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ml.chartshapes+xml"/>
  <Override PartName="/xl/charts/chart4.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ml.chartshapes+xml"/>
  <Override PartName="/xl/charts/chart1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theme/themeOverride2.xml" ContentType="application/vnd.openxmlformats-officedocument.themeOverride+xml"/>
  <Override PartName="/xl/charts/chart14.xml" ContentType="application/vnd.openxmlformats-officedocument.drawingml.chart+xml"/>
  <Override PartName="/xl/theme/themeOverride3.xml" ContentType="application/vnd.openxmlformats-officedocument.themeOverride+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theme/themeOverride4.xml" ContentType="application/vnd.openxmlformats-officedocument.themeOverride+xml"/>
  <Override PartName="/xl/charts/chart21.xml" ContentType="application/vnd.openxmlformats-officedocument.drawingml.chart+xml"/>
  <Override PartName="/xl/theme/themeOverride5.xml" ContentType="application/vnd.openxmlformats-officedocument.themeOverride+xml"/>
  <Override PartName="/xl/charts/chart22.xml" ContentType="application/vnd.openxmlformats-officedocument.drawingml.chart+xml"/>
  <Override PartName="/xl/drawings/drawing17.xml" ContentType="application/vnd.openxmlformats-officedocument.drawing+xml"/>
  <Override PartName="/xl/comments4.xml" ContentType="application/vnd.openxmlformats-officedocument.spreadsheetml.comments+xml"/>
  <Override PartName="/xl/charts/chart23.xml" ContentType="application/vnd.openxmlformats-officedocument.drawingml.chart+xml"/>
  <Override PartName="/xl/theme/themeOverride6.xml" ContentType="application/vnd.openxmlformats-officedocument.themeOverride+xml"/>
  <Override PartName="/xl/charts/chart24.xml" ContentType="application/vnd.openxmlformats-officedocument.drawingml.chart+xml"/>
  <Override PartName="/xl/theme/themeOverride7.xml" ContentType="application/vnd.openxmlformats-officedocument.themeOverride+xml"/>
  <Override PartName="/xl/drawings/drawing1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theme/themeOverride8.xml" ContentType="application/vnd.openxmlformats-officedocument.themeOverride+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2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hidePivotFieldList="1" defaultThemeVersion="124226"/>
  <workbookProtection workbookPassword="D1EC" lockStructure="1"/>
  <bookViews>
    <workbookView xWindow="2850" yWindow="0" windowWidth="15840" windowHeight="11835" tabRatio="649" firstSheet="19" activeTab="19"/>
  </bookViews>
  <sheets>
    <sheet name="Emploi-old" sheetId="15" state="hidden" r:id="rId1"/>
    <sheet name="Glossaire_old" sheetId="25" state="hidden" r:id="rId2"/>
    <sheet name="D_Ch-1" sheetId="2" state="hidden" r:id="rId3"/>
    <sheet name="D_Ch-2-1" sheetId="3" state="hidden" r:id="rId4"/>
    <sheet name="G_Ch2-2" sheetId="26" state="hidden" r:id="rId5"/>
    <sheet name="D_Ch2-2" sheetId="4" state="hidden" r:id="rId6"/>
    <sheet name="D_Ch2-2_det-BMO" sheetId="5" state="hidden" r:id="rId7"/>
    <sheet name="D_Ch-3" sheetId="6" state="hidden" r:id="rId8"/>
    <sheet name="D_Ch4-1" sheetId="9" state="hidden" r:id="rId9"/>
    <sheet name="D_Ch4-2" sheetId="10" state="hidden" r:id="rId10"/>
    <sheet name="D_Ch4-3" sheetId="11" state="hidden" r:id="rId11"/>
    <sheet name="D_Ch-5-1" sheetId="12" state="hidden" r:id="rId12"/>
    <sheet name="D_Ch5-2" sheetId="14" state="hidden" r:id="rId13"/>
    <sheet name="D_ch5-3" sheetId="30" state="hidden" r:id="rId14"/>
    <sheet name="D_Ch6-1" sheetId="17" state="hidden" r:id="rId15"/>
    <sheet name="D_Ch6-2" sheetId="18" state="hidden" r:id="rId16"/>
    <sheet name="D_Ch6-3" sheetId="19" state="hidden" r:id="rId17"/>
    <sheet name="D_Ch7-1" sheetId="21" state="hidden" r:id="rId18"/>
    <sheet name="D_Annexe" sheetId="13" state="hidden" r:id="rId19"/>
    <sheet name="Sommaire" sheetId="27" r:id="rId20"/>
    <sheet name="Dynamique de l'emploi" sheetId="29" r:id="rId21"/>
    <sheet name="Marché du travail" sheetId="7" r:id="rId22"/>
    <sheet name="Population active" sheetId="1" r:id="rId23"/>
    <sheet name="Entreprises" sheetId="8" r:id="rId24"/>
    <sheet name="Richesse et échanges" sheetId="16" r:id="rId25"/>
    <sheet name="E.S.R.I." sheetId="20" r:id="rId26"/>
    <sheet name="Tourisme" sheetId="22" r:id="rId27"/>
    <sheet name="Annexe" sheetId="24" r:id="rId28"/>
    <sheet name="Glossaire" sheetId="28" r:id="rId29"/>
  </sheets>
  <definedNames>
    <definedName name="_xlnm._FilterDatabase" localSheetId="6" hidden="1">'D_Ch2-2_det-BMO'!$A$1:$Q$2419</definedName>
    <definedName name="_xlnm.Print_Area" localSheetId="0">'Emploi-old'!$A$1:$T$104</definedName>
    <definedName name="_xlnm.Print_Area" localSheetId="1">Glossaire_old!$A$1:$G$342</definedName>
  </definedNames>
  <calcPr calcId="145621"/>
</workbook>
</file>

<file path=xl/calcChain.xml><?xml version="1.0" encoding="utf-8"?>
<calcChain xmlns="http://schemas.openxmlformats.org/spreadsheetml/2006/main">
  <c r="N73" i="29" l="1"/>
  <c r="F73" i="29"/>
  <c r="M102" i="29"/>
  <c r="L102" i="29"/>
  <c r="K102" i="29"/>
  <c r="J102" i="29"/>
  <c r="I102" i="29"/>
  <c r="H102" i="29"/>
  <c r="G102" i="29"/>
  <c r="F102" i="29"/>
  <c r="E102" i="29"/>
  <c r="D102" i="29"/>
  <c r="C102" i="29"/>
  <c r="B102" i="29"/>
  <c r="M101" i="29"/>
  <c r="L101" i="29"/>
  <c r="K101" i="29"/>
  <c r="J101" i="29"/>
  <c r="I101" i="29"/>
  <c r="H101" i="29"/>
  <c r="G101" i="29"/>
  <c r="F101" i="29"/>
  <c r="E101" i="29"/>
  <c r="D101" i="29"/>
  <c r="C101" i="29"/>
  <c r="B101" i="29"/>
  <c r="A102" i="29"/>
  <c r="A101" i="29"/>
  <c r="E179" i="7" l="1"/>
  <c r="L123" i="7"/>
  <c r="P123" i="7" s="1"/>
  <c r="L124" i="7"/>
  <c r="P124" i="7" s="1"/>
  <c r="L125" i="7"/>
  <c r="P125" i="7" s="1"/>
  <c r="L126" i="7"/>
  <c r="P126" i="7" s="1"/>
  <c r="L127" i="7"/>
  <c r="P127" i="7" s="1"/>
  <c r="L128" i="7"/>
  <c r="P128" i="7" s="1"/>
  <c r="L129" i="7"/>
  <c r="P129" i="7" s="1"/>
  <c r="L122" i="7"/>
  <c r="P122" i="7" s="1"/>
  <c r="D123" i="7"/>
  <c r="H123" i="7" s="1"/>
  <c r="D124" i="7"/>
  <c r="H124" i="7" s="1"/>
  <c r="D125" i="7"/>
  <c r="H125" i="7" s="1"/>
  <c r="D126" i="7"/>
  <c r="H126" i="7" s="1"/>
  <c r="D127" i="7"/>
  <c r="H127" i="7" s="1"/>
  <c r="D128" i="7"/>
  <c r="H128" i="7" s="1"/>
  <c r="D129" i="7"/>
  <c r="H129" i="7" s="1"/>
  <c r="D122" i="7"/>
  <c r="H122" i="7" s="1"/>
  <c r="O107" i="4"/>
  <c r="E183" i="7"/>
  <c r="E184" i="7"/>
  <c r="E185" i="7"/>
  <c r="E186" i="7"/>
  <c r="E187" i="7"/>
  <c r="E188" i="7"/>
  <c r="E189" i="7"/>
  <c r="E190" i="7"/>
  <c r="E191" i="7"/>
  <c r="E192" i="7"/>
  <c r="E193" i="7"/>
  <c r="E194" i="7"/>
  <c r="E181" i="7"/>
  <c r="E180" i="7"/>
  <c r="E182" i="7"/>
  <c r="S6" i="26"/>
  <c r="AG13" i="26" s="1"/>
  <c r="P6" i="26"/>
  <c r="AG12" i="26" s="1"/>
  <c r="M6" i="26"/>
  <c r="AG11" i="26" s="1"/>
  <c r="J6" i="26"/>
  <c r="AG10" i="26" s="1"/>
  <c r="G6" i="26"/>
  <c r="AG9" i="26" s="1"/>
  <c r="G99" i="4" l="1"/>
  <c r="N126" i="29" l="1"/>
  <c r="M126" i="29"/>
  <c r="L126" i="29"/>
  <c r="K126" i="29"/>
  <c r="E126" i="29"/>
  <c r="D126" i="29"/>
  <c r="C126" i="29"/>
  <c r="B126" i="29"/>
  <c r="E127" i="29"/>
  <c r="D127" i="29"/>
  <c r="C127" i="29"/>
  <c r="B127" i="29"/>
  <c r="M127" i="29"/>
  <c r="L127" i="29"/>
  <c r="K127" i="29"/>
  <c r="R121" i="29"/>
  <c r="O121" i="29"/>
  <c r="R120" i="29"/>
  <c r="O120" i="29"/>
  <c r="R119" i="29"/>
  <c r="O119" i="29"/>
  <c r="R118" i="29"/>
  <c r="O118" i="29"/>
  <c r="K121" i="29"/>
  <c r="H121" i="29"/>
  <c r="K120" i="29"/>
  <c r="H120" i="29"/>
  <c r="K119" i="29"/>
  <c r="H119" i="29"/>
  <c r="K118" i="29"/>
  <c r="H118" i="29"/>
  <c r="J70" i="29"/>
  <c r="G70" i="29"/>
  <c r="E70" i="29"/>
  <c r="J69" i="29"/>
  <c r="G69" i="29"/>
  <c r="E69" i="29"/>
  <c r="J68" i="29"/>
  <c r="G68" i="29"/>
  <c r="E68" i="29"/>
  <c r="J67" i="29"/>
  <c r="G67" i="29"/>
  <c r="E67" i="29"/>
  <c r="J66" i="29"/>
  <c r="G66" i="29"/>
  <c r="E66" i="29"/>
  <c r="J65" i="29"/>
  <c r="G65" i="29"/>
  <c r="E65" i="29"/>
  <c r="R70" i="29"/>
  <c r="O70" i="29"/>
  <c r="M70" i="29"/>
  <c r="R69" i="29"/>
  <c r="O69" i="29"/>
  <c r="M69" i="29"/>
  <c r="R68" i="29"/>
  <c r="O68" i="29"/>
  <c r="M68" i="29"/>
  <c r="R67" i="29"/>
  <c r="O67" i="29"/>
  <c r="M67" i="29"/>
  <c r="R66" i="29"/>
  <c r="O66" i="29"/>
  <c r="M66" i="29"/>
  <c r="R65" i="29"/>
  <c r="O65" i="29"/>
  <c r="M65" i="29"/>
  <c r="S88" i="29"/>
  <c r="Q88" i="29"/>
  <c r="S87" i="29"/>
  <c r="Q87" i="29"/>
  <c r="S86" i="29"/>
  <c r="Q86" i="29"/>
  <c r="S85" i="29"/>
  <c r="Q85" i="29"/>
  <c r="S84" i="29"/>
  <c r="Q84" i="29"/>
  <c r="S83" i="29"/>
  <c r="Q83" i="29"/>
  <c r="S82" i="29"/>
  <c r="Q82" i="29"/>
  <c r="S81" i="29"/>
  <c r="Q81" i="29"/>
  <c r="S80" i="29"/>
  <c r="Q80" i="29"/>
  <c r="S79" i="29"/>
  <c r="Q79" i="29"/>
  <c r="S78" i="29"/>
  <c r="Q78" i="29"/>
  <c r="S77" i="29"/>
  <c r="Q77" i="29"/>
  <c r="M88" i="29"/>
  <c r="K88" i="29"/>
  <c r="M87" i="29"/>
  <c r="K87" i="29"/>
  <c r="M86" i="29"/>
  <c r="K86" i="29"/>
  <c r="M85" i="29"/>
  <c r="K85" i="29"/>
  <c r="M84" i="29"/>
  <c r="K84" i="29"/>
  <c r="M83" i="29"/>
  <c r="K83" i="29"/>
  <c r="M82" i="29"/>
  <c r="K82" i="29"/>
  <c r="M81" i="29"/>
  <c r="K81" i="29"/>
  <c r="M80" i="29"/>
  <c r="K80" i="29"/>
  <c r="M79" i="29"/>
  <c r="K79" i="29"/>
  <c r="M78" i="29"/>
  <c r="K78" i="29"/>
  <c r="M77" i="29"/>
  <c r="K77" i="29"/>
  <c r="N127" i="29"/>
  <c r="J127" i="29"/>
  <c r="A127" i="29"/>
  <c r="J126" i="29"/>
  <c r="A126" i="29"/>
  <c r="N70" i="29"/>
  <c r="F70" i="29"/>
  <c r="N69" i="29"/>
  <c r="F69" i="29"/>
  <c r="N68" i="29"/>
  <c r="F68" i="29"/>
  <c r="N67" i="29"/>
  <c r="F67" i="29"/>
  <c r="N66" i="29"/>
  <c r="F66" i="29"/>
  <c r="N65" i="29"/>
  <c r="F65" i="29"/>
  <c r="I48" i="29"/>
  <c r="M48" i="29" s="1"/>
  <c r="I47" i="29"/>
  <c r="I46" i="29"/>
  <c r="M46" i="29" s="1"/>
  <c r="I45" i="29"/>
  <c r="N45" i="29" s="1"/>
  <c r="I44" i="29"/>
  <c r="M44" i="29" s="1"/>
  <c r="I43" i="29"/>
  <c r="M43" i="29"/>
  <c r="N43" i="29"/>
  <c r="O43" i="29"/>
  <c r="P43" i="29"/>
  <c r="Q43" i="29"/>
  <c r="R43" i="29"/>
  <c r="S43" i="29"/>
  <c r="M47" i="29"/>
  <c r="N47" i="29"/>
  <c r="O47" i="29"/>
  <c r="P47" i="29"/>
  <c r="Q47" i="29"/>
  <c r="R47" i="29"/>
  <c r="S47" i="29"/>
  <c r="T47" i="29"/>
  <c r="T43" i="29"/>
  <c r="D51" i="29"/>
  <c r="D50" i="29"/>
  <c r="D49" i="29"/>
  <c r="D48" i="29"/>
  <c r="D47" i="29"/>
  <c r="D46" i="29"/>
  <c r="D45" i="29"/>
  <c r="D44" i="29"/>
  <c r="D43" i="29"/>
  <c r="D42" i="29"/>
  <c r="D41" i="29"/>
  <c r="N37" i="29"/>
  <c r="N36" i="29"/>
  <c r="N35" i="29"/>
  <c r="G37" i="29"/>
  <c r="G35" i="29"/>
  <c r="G36" i="29"/>
  <c r="Q33" i="29"/>
  <c r="Q32" i="29"/>
  <c r="Q31" i="29"/>
  <c r="N33" i="29"/>
  <c r="N32" i="29"/>
  <c r="N31" i="29"/>
  <c r="I33" i="29"/>
  <c r="I32" i="29"/>
  <c r="I31" i="29"/>
  <c r="F33" i="29"/>
  <c r="F32" i="29"/>
  <c r="F31" i="29"/>
  <c r="P36" i="29"/>
  <c r="I36" i="29"/>
  <c r="D6" i="30"/>
  <c r="E6" i="30"/>
  <c r="F6" i="30"/>
  <c r="G6" i="30"/>
  <c r="H6" i="30"/>
  <c r="I6" i="30"/>
  <c r="J6" i="30"/>
  <c r="K6" i="30"/>
  <c r="L6" i="30"/>
  <c r="M6" i="30"/>
  <c r="N6" i="30"/>
  <c r="O6" i="30"/>
  <c r="P6" i="30"/>
  <c r="Q6" i="30"/>
  <c r="R6" i="30"/>
  <c r="S6" i="30"/>
  <c r="T6" i="30"/>
  <c r="C6" i="30"/>
  <c r="T44" i="29" l="1"/>
  <c r="R48" i="29"/>
  <c r="N48" i="29"/>
  <c r="T48" i="29"/>
  <c r="P48" i="29"/>
  <c r="N46" i="29"/>
  <c r="T45" i="29"/>
  <c r="S45" i="29"/>
  <c r="Q45" i="29"/>
  <c r="O45" i="29"/>
  <c r="M45" i="29"/>
  <c r="R45" i="29"/>
  <c r="P45" i="29"/>
  <c r="R46" i="29"/>
  <c r="T46" i="29"/>
  <c r="P46" i="29"/>
  <c r="P44" i="29"/>
  <c r="R44" i="29"/>
  <c r="N44" i="29"/>
  <c r="S44" i="29"/>
  <c r="Q44" i="29"/>
  <c r="O44" i="29"/>
  <c r="S46" i="29"/>
  <c r="Q46" i="29"/>
  <c r="O46" i="29"/>
  <c r="S48" i="29"/>
  <c r="Q48" i="29"/>
  <c r="O48" i="29"/>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6" i="11"/>
  <c r="H7" i="11"/>
  <c r="H8" i="11"/>
  <c r="H9" i="11"/>
  <c r="H10" i="11"/>
  <c r="H11" i="11"/>
  <c r="H12" i="11"/>
  <c r="H13" i="11"/>
  <c r="H14" i="11"/>
  <c r="H15" i="11"/>
  <c r="H16" i="11"/>
  <c r="H17" i="11"/>
  <c r="H18" i="11"/>
  <c r="H5" i="11"/>
  <c r="R38" i="20" l="1"/>
  <c r="P38" i="20"/>
  <c r="M38" i="20"/>
  <c r="J38" i="20"/>
  <c r="A44" i="20" l="1"/>
  <c r="A45" i="20"/>
  <c r="A49" i="20"/>
  <c r="A48" i="20"/>
  <c r="R39" i="20"/>
  <c r="P39" i="20"/>
  <c r="M39" i="20"/>
  <c r="J39" i="20"/>
  <c r="F39" i="20"/>
  <c r="Q74" i="16"/>
  <c r="H5" i="2" l="1"/>
  <c r="P49" i="20" l="1"/>
  <c r="P48" i="20"/>
  <c r="M49" i="20"/>
  <c r="M48" i="20"/>
  <c r="J49" i="20"/>
  <c r="J48" i="20"/>
  <c r="F49" i="20"/>
  <c r="F48" i="20"/>
  <c r="M45" i="20"/>
  <c r="M44" i="20"/>
  <c r="J45" i="20"/>
  <c r="J44" i="20"/>
  <c r="F45" i="20"/>
  <c r="F44" i="20"/>
  <c r="Q39" i="20"/>
  <c r="L11" i="18"/>
  <c r="L12" i="18"/>
  <c r="L13" i="18"/>
  <c r="L15" i="18"/>
  <c r="L16" i="18"/>
  <c r="L17" i="18"/>
  <c r="L18" i="18"/>
  <c r="L19" i="18"/>
  <c r="L20" i="18"/>
  <c r="L21" i="18"/>
  <c r="L22" i="18"/>
  <c r="L23" i="18"/>
  <c r="L10" i="18"/>
  <c r="F38" i="20"/>
  <c r="I11" i="18"/>
  <c r="I12" i="18"/>
  <c r="I13" i="18"/>
  <c r="I14" i="18"/>
  <c r="I15" i="18"/>
  <c r="I16" i="18"/>
  <c r="I17" i="18"/>
  <c r="I18" i="18"/>
  <c r="I19" i="18"/>
  <c r="I20" i="18"/>
  <c r="I21" i="18"/>
  <c r="I22" i="18"/>
  <c r="I23" i="18"/>
  <c r="I10" i="18"/>
  <c r="H11" i="18"/>
  <c r="H12" i="18"/>
  <c r="H13" i="18"/>
  <c r="H14" i="18"/>
  <c r="H15" i="18"/>
  <c r="H16" i="18"/>
  <c r="H17" i="18"/>
  <c r="H18" i="18"/>
  <c r="H19" i="18"/>
  <c r="H20" i="18"/>
  <c r="H21" i="18"/>
  <c r="H22" i="18"/>
  <c r="H23" i="18"/>
  <c r="H10" i="18"/>
  <c r="G11" i="18"/>
  <c r="G12" i="18"/>
  <c r="G13" i="18"/>
  <c r="G14" i="18"/>
  <c r="G15" i="18"/>
  <c r="G16" i="18"/>
  <c r="G17" i="18"/>
  <c r="G18" i="18"/>
  <c r="G19" i="18"/>
  <c r="G20" i="18"/>
  <c r="G21" i="18"/>
  <c r="G22" i="18"/>
  <c r="G23" i="18"/>
  <c r="G10" i="18"/>
  <c r="D154" i="11" l="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Q6" i="11" l="1"/>
  <c r="Q7" i="11"/>
  <c r="Q8" i="11"/>
  <c r="Q9" i="11"/>
  <c r="Q10" i="11"/>
  <c r="Q11" i="11"/>
  <c r="Q12" i="11"/>
  <c r="Q13" i="11"/>
  <c r="Q14" i="11"/>
  <c r="Q15" i="11"/>
  <c r="Q16" i="11"/>
  <c r="Q17" i="11"/>
  <c r="Q18" i="11"/>
  <c r="Q19" i="11"/>
  <c r="Q5" i="11"/>
  <c r="P5" i="11"/>
  <c r="N6" i="11"/>
  <c r="N7" i="11"/>
  <c r="N8" i="11"/>
  <c r="N9" i="11"/>
  <c r="N10" i="11"/>
  <c r="N11" i="11"/>
  <c r="N12" i="11"/>
  <c r="N13" i="11"/>
  <c r="N14" i="11"/>
  <c r="N15" i="11"/>
  <c r="N16" i="11"/>
  <c r="N17" i="11"/>
  <c r="N18" i="11"/>
  <c r="N19" i="11"/>
  <c r="N5" i="11"/>
  <c r="I5" i="11"/>
  <c r="R106" i="22" l="1"/>
  <c r="T105" i="22" s="1"/>
  <c r="O106" i="22"/>
  <c r="Q103" i="22" s="1"/>
  <c r="L106" i="22"/>
  <c r="N105" i="22" s="1"/>
  <c r="I106" i="22"/>
  <c r="K103" i="22" s="1"/>
  <c r="F106" i="22"/>
  <c r="H105" i="22" s="1"/>
  <c r="C106" i="22"/>
  <c r="E103" i="22" s="1"/>
  <c r="Q195" i="21"/>
  <c r="O195" i="21"/>
  <c r="Q194" i="21"/>
  <c r="O194" i="21"/>
  <c r="Q193" i="21"/>
  <c r="O193" i="21"/>
  <c r="Q192" i="21"/>
  <c r="O192" i="21"/>
  <c r="Q191" i="21"/>
  <c r="O191" i="21"/>
  <c r="Q190" i="21"/>
  <c r="O190" i="21"/>
  <c r="Q189" i="21"/>
  <c r="O189" i="21"/>
  <c r="Q188" i="21"/>
  <c r="O188" i="21"/>
  <c r="R186" i="21"/>
  <c r="Q186" i="21"/>
  <c r="P186" i="21"/>
  <c r="P195" i="21" s="1"/>
  <c r="O186" i="21"/>
  <c r="N186" i="21"/>
  <c r="N195" i="21" s="1"/>
  <c r="D165" i="21"/>
  <c r="E165" i="21"/>
  <c r="F165" i="21"/>
  <c r="G165" i="21"/>
  <c r="H165" i="21"/>
  <c r="I165" i="21"/>
  <c r="J165" i="21"/>
  <c r="K165" i="21"/>
  <c r="L165" i="21"/>
  <c r="M165" i="21"/>
  <c r="N165" i="21"/>
  <c r="O165" i="21"/>
  <c r="P165" i="21"/>
  <c r="Q165" i="21"/>
  <c r="R165" i="21"/>
  <c r="S165" i="21"/>
  <c r="U165" i="21"/>
  <c r="V165" i="21"/>
  <c r="W165" i="21"/>
  <c r="X165" i="21"/>
  <c r="Y165" i="21"/>
  <c r="D166" i="21"/>
  <c r="E166" i="21"/>
  <c r="F166" i="21"/>
  <c r="G166" i="21"/>
  <c r="H166" i="21"/>
  <c r="I166" i="21"/>
  <c r="J166" i="21"/>
  <c r="K166" i="21"/>
  <c r="L166" i="21"/>
  <c r="M166" i="21"/>
  <c r="N166" i="21"/>
  <c r="O166" i="21"/>
  <c r="P166" i="21"/>
  <c r="Q166" i="21"/>
  <c r="R166" i="21"/>
  <c r="S166" i="21"/>
  <c r="U166" i="21"/>
  <c r="V166" i="21"/>
  <c r="W166" i="21"/>
  <c r="X166" i="21"/>
  <c r="Y166" i="21"/>
  <c r="D167" i="21"/>
  <c r="E167" i="21"/>
  <c r="F167" i="21"/>
  <c r="G167" i="21"/>
  <c r="H167" i="21"/>
  <c r="I167" i="21"/>
  <c r="J167" i="21"/>
  <c r="K167" i="21"/>
  <c r="L167" i="21"/>
  <c r="M167" i="21"/>
  <c r="N167" i="21"/>
  <c r="O167" i="21"/>
  <c r="P167" i="21"/>
  <c r="Q167" i="21"/>
  <c r="R167" i="21"/>
  <c r="S167" i="21"/>
  <c r="U167" i="21"/>
  <c r="V167" i="21"/>
  <c r="W167" i="21"/>
  <c r="X167" i="21"/>
  <c r="Y167" i="21"/>
  <c r="D168" i="21"/>
  <c r="E168" i="21"/>
  <c r="F168" i="21"/>
  <c r="G168" i="21"/>
  <c r="H168" i="21"/>
  <c r="I168" i="21"/>
  <c r="J168" i="21"/>
  <c r="K168" i="21"/>
  <c r="L168" i="21"/>
  <c r="M168" i="21"/>
  <c r="N168" i="21"/>
  <c r="O168" i="21"/>
  <c r="P168" i="21"/>
  <c r="Q168" i="21"/>
  <c r="R168" i="21"/>
  <c r="S168" i="21"/>
  <c r="U168" i="21"/>
  <c r="V168" i="21"/>
  <c r="W168" i="21"/>
  <c r="X168" i="21"/>
  <c r="Y168" i="21"/>
  <c r="D169" i="21"/>
  <c r="E169" i="21"/>
  <c r="F169" i="21"/>
  <c r="G169" i="21"/>
  <c r="H169" i="21"/>
  <c r="I169" i="21"/>
  <c r="J169" i="21"/>
  <c r="K169" i="21"/>
  <c r="L169" i="21"/>
  <c r="M169" i="21"/>
  <c r="N169" i="21"/>
  <c r="O169" i="21"/>
  <c r="P169" i="21"/>
  <c r="Q169" i="21"/>
  <c r="R169" i="21"/>
  <c r="S169" i="21"/>
  <c r="U169" i="21"/>
  <c r="V169" i="21"/>
  <c r="W169" i="21"/>
  <c r="X169" i="21"/>
  <c r="Y169" i="21"/>
  <c r="D170" i="21"/>
  <c r="E170" i="21"/>
  <c r="F170" i="21"/>
  <c r="G170" i="21"/>
  <c r="H170" i="21"/>
  <c r="I170" i="21"/>
  <c r="J170" i="21"/>
  <c r="K170" i="21"/>
  <c r="L170" i="21"/>
  <c r="M170" i="21"/>
  <c r="N170" i="21"/>
  <c r="O170" i="21"/>
  <c r="P170" i="21"/>
  <c r="Q170" i="21"/>
  <c r="R170" i="21"/>
  <c r="S170" i="21"/>
  <c r="U170" i="21"/>
  <c r="V170" i="21"/>
  <c r="W170" i="21"/>
  <c r="X170" i="21"/>
  <c r="Y170" i="21"/>
  <c r="D171" i="21"/>
  <c r="E171" i="21"/>
  <c r="F171" i="21"/>
  <c r="G171" i="21"/>
  <c r="H171" i="21"/>
  <c r="I171" i="21"/>
  <c r="J171" i="21"/>
  <c r="K171" i="21"/>
  <c r="L171" i="21"/>
  <c r="M171" i="21"/>
  <c r="N171" i="21"/>
  <c r="O171" i="21"/>
  <c r="P171" i="21"/>
  <c r="Q171" i="21"/>
  <c r="R171" i="21"/>
  <c r="S171" i="21"/>
  <c r="U171" i="21"/>
  <c r="V171" i="21"/>
  <c r="W171" i="21"/>
  <c r="X171" i="21"/>
  <c r="Y171" i="21"/>
  <c r="D172" i="21"/>
  <c r="E172" i="21"/>
  <c r="F172" i="21"/>
  <c r="G172" i="21"/>
  <c r="H172" i="21"/>
  <c r="I172" i="21"/>
  <c r="J172" i="21"/>
  <c r="K172" i="21"/>
  <c r="L172" i="21"/>
  <c r="M172" i="21"/>
  <c r="N172" i="21"/>
  <c r="O172" i="21"/>
  <c r="P172" i="21"/>
  <c r="Q172" i="21"/>
  <c r="R172" i="21"/>
  <c r="S172" i="21"/>
  <c r="U172" i="21"/>
  <c r="V172" i="21"/>
  <c r="W172" i="21"/>
  <c r="X172" i="21"/>
  <c r="Y172" i="21"/>
  <c r="D173" i="21"/>
  <c r="E173" i="21"/>
  <c r="F173" i="21"/>
  <c r="G173" i="21"/>
  <c r="H173" i="21"/>
  <c r="I173" i="21"/>
  <c r="J173" i="21"/>
  <c r="K173" i="21"/>
  <c r="L173" i="21"/>
  <c r="M173" i="21"/>
  <c r="N173" i="21"/>
  <c r="O173" i="21"/>
  <c r="P173" i="21"/>
  <c r="Q173" i="21"/>
  <c r="R173" i="21"/>
  <c r="S173" i="21"/>
  <c r="U173" i="21"/>
  <c r="V173" i="21"/>
  <c r="W173" i="21"/>
  <c r="X173" i="21"/>
  <c r="Y173" i="21"/>
  <c r="D174" i="21"/>
  <c r="E174" i="21"/>
  <c r="F174" i="21"/>
  <c r="G174" i="21"/>
  <c r="H174" i="21"/>
  <c r="I174" i="21"/>
  <c r="J174" i="21"/>
  <c r="K174" i="21"/>
  <c r="L174" i="21"/>
  <c r="M174" i="21"/>
  <c r="N174" i="21"/>
  <c r="O174" i="21"/>
  <c r="P174" i="21"/>
  <c r="Q174" i="21"/>
  <c r="R174" i="21"/>
  <c r="S174" i="21"/>
  <c r="U174" i="21"/>
  <c r="V174" i="21"/>
  <c r="W174" i="21"/>
  <c r="X174" i="21"/>
  <c r="Y174" i="21"/>
  <c r="D175" i="21"/>
  <c r="E175" i="21"/>
  <c r="F175" i="21"/>
  <c r="G175" i="21"/>
  <c r="H175" i="21"/>
  <c r="I175" i="21"/>
  <c r="J175" i="21"/>
  <c r="K175" i="21"/>
  <c r="L175" i="21"/>
  <c r="M175" i="21"/>
  <c r="N175" i="21"/>
  <c r="O175" i="21"/>
  <c r="P175" i="21"/>
  <c r="Q175" i="21"/>
  <c r="R175" i="21"/>
  <c r="S175" i="21"/>
  <c r="U175" i="21"/>
  <c r="V175" i="21"/>
  <c r="W175" i="21"/>
  <c r="X175" i="21"/>
  <c r="Y175" i="21"/>
  <c r="D161" i="21"/>
  <c r="E161" i="21"/>
  <c r="F161" i="21"/>
  <c r="G161" i="21"/>
  <c r="H161" i="21"/>
  <c r="I161" i="21"/>
  <c r="J161" i="21"/>
  <c r="K161" i="21"/>
  <c r="L161" i="21"/>
  <c r="M161" i="21"/>
  <c r="N161" i="21"/>
  <c r="O161" i="21"/>
  <c r="P161" i="21"/>
  <c r="Q161" i="21"/>
  <c r="R161" i="21"/>
  <c r="S161" i="21"/>
  <c r="T161" i="21"/>
  <c r="U161" i="21"/>
  <c r="V161" i="21"/>
  <c r="W161" i="21"/>
  <c r="X161" i="21"/>
  <c r="Y161" i="21"/>
  <c r="Z161" i="21"/>
  <c r="C161" i="21"/>
  <c r="C167" i="21" s="1"/>
  <c r="C169" i="21"/>
  <c r="C171" i="21"/>
  <c r="C173" i="21"/>
  <c r="C175" i="21"/>
  <c r="D186" i="21"/>
  <c r="E186" i="21"/>
  <c r="F186" i="21"/>
  <c r="G186" i="21"/>
  <c r="H186" i="21"/>
  <c r="I186" i="21"/>
  <c r="J186" i="21"/>
  <c r="K186" i="21"/>
  <c r="L186" i="21"/>
  <c r="M186" i="21"/>
  <c r="S186" i="21"/>
  <c r="C186" i="21"/>
  <c r="C188" i="21" s="1"/>
  <c r="D188" i="21"/>
  <c r="E94" i="22" l="1"/>
  <c r="E100" i="22"/>
  <c r="E98" i="22"/>
  <c r="E96" i="22"/>
  <c r="E102" i="22"/>
  <c r="E105" i="22"/>
  <c r="H95" i="22"/>
  <c r="H97" i="22"/>
  <c r="H99" i="22"/>
  <c r="H101" i="22"/>
  <c r="H103" i="22"/>
  <c r="K94" i="22"/>
  <c r="K96" i="22"/>
  <c r="K98" i="22"/>
  <c r="K100" i="22"/>
  <c r="K102" i="22"/>
  <c r="K105" i="22"/>
  <c r="N95" i="22"/>
  <c r="N97" i="22"/>
  <c r="N99" i="22"/>
  <c r="N101" i="22"/>
  <c r="N103" i="22"/>
  <c r="Q94" i="22"/>
  <c r="Q96" i="22"/>
  <c r="Q98" i="22"/>
  <c r="Q100" i="22"/>
  <c r="Q102" i="22"/>
  <c r="Q105" i="22"/>
  <c r="T95" i="22"/>
  <c r="T97" i="22"/>
  <c r="T99" i="22"/>
  <c r="T101" i="22"/>
  <c r="T103" i="22"/>
  <c r="E101" i="22"/>
  <c r="E99" i="22"/>
  <c r="E97" i="22"/>
  <c r="E95" i="22"/>
  <c r="H94" i="22"/>
  <c r="H96" i="22"/>
  <c r="H98" i="22"/>
  <c r="H100" i="22"/>
  <c r="H102" i="22"/>
  <c r="K95" i="22"/>
  <c r="K97" i="22"/>
  <c r="K99" i="22"/>
  <c r="K101" i="22"/>
  <c r="N94" i="22"/>
  <c r="N96" i="22"/>
  <c r="N98" i="22"/>
  <c r="N100" i="22"/>
  <c r="N102" i="22"/>
  <c r="Q95" i="22"/>
  <c r="Q97" i="22"/>
  <c r="Q99" i="22"/>
  <c r="Q101" i="22"/>
  <c r="T94" i="22"/>
  <c r="T96" i="22"/>
  <c r="T98" i="22"/>
  <c r="T100" i="22"/>
  <c r="T102" i="22"/>
  <c r="N188" i="21"/>
  <c r="P188" i="21"/>
  <c r="N189" i="21"/>
  <c r="P189" i="21"/>
  <c r="N190" i="21"/>
  <c r="P190" i="21"/>
  <c r="N191" i="21"/>
  <c r="P191" i="21"/>
  <c r="N192" i="21"/>
  <c r="P192" i="21"/>
  <c r="N193" i="21"/>
  <c r="P193" i="21"/>
  <c r="N194" i="21"/>
  <c r="P194" i="21"/>
  <c r="C165" i="21"/>
  <c r="C174" i="21"/>
  <c r="C172" i="21"/>
  <c r="C170" i="21"/>
  <c r="C168" i="21"/>
  <c r="C166" i="21"/>
  <c r="T94" i="21" l="1"/>
  <c r="G14" i="22"/>
  <c r="Q76" i="21"/>
  <c r="Q71" i="21"/>
  <c r="L55" i="21"/>
  <c r="L56" i="21"/>
  <c r="L57" i="21"/>
  <c r="L59" i="21"/>
  <c r="L60" i="21"/>
  <c r="L61" i="21"/>
  <c r="L62" i="21"/>
  <c r="L63" i="21"/>
  <c r="L64" i="21"/>
  <c r="L65" i="21"/>
  <c r="L66" i="21"/>
  <c r="L67" i="21"/>
  <c r="L68" i="21"/>
  <c r="L69" i="21"/>
  <c r="L70" i="21"/>
  <c r="L71" i="21"/>
  <c r="L72" i="21"/>
  <c r="L73" i="21"/>
  <c r="L74" i="21"/>
  <c r="L75" i="21"/>
  <c r="L76" i="21"/>
  <c r="L54" i="21"/>
  <c r="D77" i="2" l="1"/>
  <c r="J4" i="17"/>
  <c r="G5" i="17"/>
  <c r="G6" i="17"/>
  <c r="G7" i="17"/>
  <c r="G8" i="17"/>
  <c r="G9" i="17"/>
  <c r="G10" i="17"/>
  <c r="G11" i="17"/>
  <c r="G12" i="17"/>
  <c r="G13" i="17"/>
  <c r="G14" i="17"/>
  <c r="G15" i="17"/>
  <c r="G16" i="17"/>
  <c r="G4" i="17"/>
  <c r="L27" i="18" l="1"/>
  <c r="D159" i="12" l="1"/>
  <c r="B14" i="9" l="1"/>
  <c r="B8" i="9"/>
  <c r="B7" i="9"/>
  <c r="X10" i="9"/>
  <c r="R9" i="9"/>
  <c r="R8" i="9"/>
  <c r="R7" i="9"/>
  <c r="C7" i="6" l="1"/>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6" i="6"/>
  <c r="K6" i="6"/>
  <c r="J6" i="6"/>
  <c r="I6" i="6"/>
  <c r="H6" i="6"/>
  <c r="G6" i="6"/>
  <c r="F6" i="6"/>
  <c r="D6" i="6"/>
  <c r="E6" i="6"/>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6" i="12"/>
  <c r="N7" i="12"/>
  <c r="O7" i="12"/>
  <c r="N8" i="12"/>
  <c r="O8" i="12"/>
  <c r="N9" i="12"/>
  <c r="O9" i="12"/>
  <c r="N10" i="12"/>
  <c r="O10" i="12"/>
  <c r="N11" i="12"/>
  <c r="O11" i="12"/>
  <c r="N12" i="12"/>
  <c r="O12" i="12"/>
  <c r="N13" i="12"/>
  <c r="O13" i="12"/>
  <c r="N14" i="12"/>
  <c r="O14" i="12"/>
  <c r="N15" i="12"/>
  <c r="O15" i="12"/>
  <c r="N16" i="12"/>
  <c r="O16" i="12"/>
  <c r="N17" i="12"/>
  <c r="O17" i="12"/>
  <c r="N18" i="12"/>
  <c r="O18" i="12"/>
  <c r="N19" i="12"/>
  <c r="O19" i="12"/>
  <c r="N20" i="12"/>
  <c r="O20" i="12"/>
  <c r="N21" i="12"/>
  <c r="O21" i="12"/>
  <c r="N22" i="12"/>
  <c r="O22" i="12"/>
  <c r="N23" i="12"/>
  <c r="O23" i="12"/>
  <c r="N24" i="12"/>
  <c r="O24" i="12"/>
  <c r="N25" i="12"/>
  <c r="O25" i="12"/>
  <c r="N26" i="12"/>
  <c r="O26" i="12"/>
  <c r="N27" i="12"/>
  <c r="O27" i="12"/>
  <c r="N28" i="12"/>
  <c r="O28" i="12"/>
  <c r="N29" i="12"/>
  <c r="O29" i="12"/>
  <c r="N30" i="12"/>
  <c r="O30" i="12"/>
  <c r="N31" i="12"/>
  <c r="O31" i="12"/>
  <c r="N32" i="12"/>
  <c r="O32" i="12"/>
  <c r="N33" i="12"/>
  <c r="O33" i="12"/>
  <c r="N34" i="12"/>
  <c r="O34" i="12"/>
  <c r="N35" i="12"/>
  <c r="O35" i="12"/>
  <c r="N36" i="12"/>
  <c r="O36" i="12"/>
  <c r="N37" i="12"/>
  <c r="O37" i="12"/>
  <c r="N38" i="12"/>
  <c r="O38" i="12"/>
  <c r="N39" i="12"/>
  <c r="O39" i="12"/>
  <c r="N40" i="12"/>
  <c r="O40" i="12"/>
  <c r="N41" i="12"/>
  <c r="O41" i="12"/>
  <c r="N42" i="12"/>
  <c r="O42" i="12"/>
  <c r="N43" i="12"/>
  <c r="O43" i="12"/>
  <c r="N44" i="12"/>
  <c r="O44" i="12"/>
  <c r="N45" i="12"/>
  <c r="O45" i="12"/>
  <c r="N46" i="12"/>
  <c r="O46" i="12"/>
  <c r="N47" i="12"/>
  <c r="O47" i="12"/>
  <c r="N48" i="12"/>
  <c r="O48" i="12"/>
  <c r="N49" i="12"/>
  <c r="O49" i="12"/>
  <c r="N50" i="12"/>
  <c r="O50" i="12"/>
  <c r="N51" i="12"/>
  <c r="O51" i="12"/>
  <c r="N52" i="12"/>
  <c r="O52" i="12"/>
  <c r="N53" i="12"/>
  <c r="O53" i="12"/>
  <c r="O6" i="12"/>
  <c r="N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6" i="12"/>
  <c r="H7" i="12"/>
  <c r="I7" i="12"/>
  <c r="H8" i="12"/>
  <c r="I8" i="12"/>
  <c r="H9" i="12"/>
  <c r="I9" i="12"/>
  <c r="H10" i="12"/>
  <c r="I10" i="12"/>
  <c r="H11" i="12"/>
  <c r="I11" i="12"/>
  <c r="H12" i="12"/>
  <c r="I12" i="12"/>
  <c r="H13" i="12"/>
  <c r="I13" i="12"/>
  <c r="H14" i="12"/>
  <c r="I14" i="12"/>
  <c r="H15" i="12"/>
  <c r="I15" i="12"/>
  <c r="H16" i="12"/>
  <c r="I16" i="12"/>
  <c r="H17" i="12"/>
  <c r="I17" i="12"/>
  <c r="H18" i="12"/>
  <c r="I18" i="12"/>
  <c r="H19" i="12"/>
  <c r="I19" i="12"/>
  <c r="H20" i="12"/>
  <c r="I20" i="12"/>
  <c r="H21" i="12"/>
  <c r="I21" i="12"/>
  <c r="H22" i="12"/>
  <c r="I22" i="12"/>
  <c r="H23" i="12"/>
  <c r="I23" i="12"/>
  <c r="H24" i="12"/>
  <c r="I24" i="12"/>
  <c r="H25" i="12"/>
  <c r="I25" i="12"/>
  <c r="H26" i="12"/>
  <c r="I26" i="12"/>
  <c r="H27" i="12"/>
  <c r="I27" i="12"/>
  <c r="H28" i="12"/>
  <c r="I28" i="12"/>
  <c r="H29" i="12"/>
  <c r="I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I6" i="12"/>
  <c r="H6" i="12"/>
  <c r="B18" i="9" l="1"/>
  <c r="C7" i="9"/>
  <c r="D7" i="9"/>
  <c r="E7" i="9"/>
  <c r="F7" i="9"/>
  <c r="G7" i="9"/>
  <c r="H7" i="9"/>
  <c r="I7" i="9"/>
  <c r="J7" i="9"/>
  <c r="K7" i="9"/>
  <c r="L7" i="9"/>
  <c r="M7" i="9"/>
  <c r="C8" i="9"/>
  <c r="D8" i="9"/>
  <c r="E8" i="9"/>
  <c r="F8" i="9"/>
  <c r="G8" i="9"/>
  <c r="H8" i="9"/>
  <c r="I8" i="9"/>
  <c r="J8" i="9"/>
  <c r="K8" i="9"/>
  <c r="L8" i="9"/>
  <c r="M8" i="9"/>
  <c r="C9" i="9"/>
  <c r="D9" i="9"/>
  <c r="E9" i="9"/>
  <c r="F9" i="9"/>
  <c r="G9" i="9"/>
  <c r="H9" i="9"/>
  <c r="I9" i="9"/>
  <c r="J9" i="9"/>
  <c r="K9" i="9"/>
  <c r="L9" i="9"/>
  <c r="M9" i="9"/>
  <c r="C10" i="9"/>
  <c r="D10" i="9"/>
  <c r="E10" i="9"/>
  <c r="F10" i="9"/>
  <c r="G10" i="9"/>
  <c r="H10" i="9"/>
  <c r="I10" i="9"/>
  <c r="J10" i="9"/>
  <c r="K10" i="9"/>
  <c r="L10" i="9"/>
  <c r="M10" i="9"/>
  <c r="C11" i="9"/>
  <c r="D11" i="9"/>
  <c r="E11" i="9"/>
  <c r="F11" i="9"/>
  <c r="G11" i="9"/>
  <c r="H11" i="9"/>
  <c r="I11" i="9"/>
  <c r="J11" i="9"/>
  <c r="K11" i="9"/>
  <c r="L11" i="9"/>
  <c r="M11" i="9"/>
  <c r="C12" i="9"/>
  <c r="D12" i="9"/>
  <c r="E12" i="9"/>
  <c r="F12" i="9"/>
  <c r="G12" i="9"/>
  <c r="H12" i="9"/>
  <c r="I12" i="9"/>
  <c r="J12" i="9"/>
  <c r="K12" i="9"/>
  <c r="L12" i="9"/>
  <c r="M12" i="9"/>
  <c r="C13" i="9"/>
  <c r="D13" i="9"/>
  <c r="E13" i="9"/>
  <c r="F13" i="9"/>
  <c r="G13" i="9"/>
  <c r="H13" i="9"/>
  <c r="I13" i="9"/>
  <c r="J13" i="9"/>
  <c r="K13" i="9"/>
  <c r="L13" i="9"/>
  <c r="M13" i="9"/>
  <c r="C14" i="9"/>
  <c r="D14" i="9"/>
  <c r="E14" i="9"/>
  <c r="F14" i="9"/>
  <c r="G14" i="9"/>
  <c r="H14" i="9"/>
  <c r="I14" i="9"/>
  <c r="J14" i="9"/>
  <c r="K14" i="9"/>
  <c r="L14" i="9"/>
  <c r="M14" i="9"/>
  <c r="C15" i="9"/>
  <c r="D15" i="9"/>
  <c r="E15" i="9"/>
  <c r="F15" i="9"/>
  <c r="G15" i="9"/>
  <c r="H15" i="9"/>
  <c r="I15" i="9"/>
  <c r="J15" i="9"/>
  <c r="K15" i="9"/>
  <c r="L15" i="9"/>
  <c r="M15" i="9"/>
  <c r="C16" i="9"/>
  <c r="D16" i="9"/>
  <c r="E16" i="9"/>
  <c r="F16" i="9"/>
  <c r="G16" i="9"/>
  <c r="H16" i="9"/>
  <c r="I16" i="9"/>
  <c r="J16" i="9"/>
  <c r="K16" i="9"/>
  <c r="L16" i="9"/>
  <c r="M16" i="9"/>
  <c r="B9" i="9"/>
  <c r="B10" i="9"/>
  <c r="B11" i="9"/>
  <c r="B12" i="9"/>
  <c r="B13" i="9"/>
  <c r="B15" i="9"/>
  <c r="B16" i="9"/>
  <c r="B33" i="9"/>
  <c r="C33" i="9"/>
  <c r="D33" i="9"/>
  <c r="E33" i="9"/>
  <c r="F33" i="9"/>
  <c r="G33" i="9"/>
  <c r="H33" i="9"/>
  <c r="I33" i="9"/>
  <c r="J33" i="9"/>
  <c r="K33" i="9"/>
  <c r="L33" i="9"/>
  <c r="M33" i="9"/>
  <c r="S7" i="9"/>
  <c r="T7" i="9"/>
  <c r="U7" i="9"/>
  <c r="V7" i="9"/>
  <c r="W7" i="9"/>
  <c r="X7" i="9"/>
  <c r="Y7" i="9"/>
  <c r="Z7" i="9"/>
  <c r="AA7" i="9"/>
  <c r="AB7" i="9"/>
  <c r="AC7" i="9"/>
  <c r="S8" i="9"/>
  <c r="T8" i="9"/>
  <c r="U8" i="9"/>
  <c r="V8" i="9"/>
  <c r="W8" i="9"/>
  <c r="X8" i="9"/>
  <c r="Y8" i="9"/>
  <c r="Z8" i="9"/>
  <c r="AA8" i="9"/>
  <c r="AB8" i="9"/>
  <c r="AC8" i="9"/>
  <c r="S9" i="9"/>
  <c r="T9" i="9"/>
  <c r="U9" i="9"/>
  <c r="V9" i="9"/>
  <c r="W9" i="9"/>
  <c r="X9" i="9"/>
  <c r="Y9" i="9"/>
  <c r="Z9" i="9"/>
  <c r="AA9" i="9"/>
  <c r="AB9" i="9"/>
  <c r="AC9" i="9"/>
  <c r="S10" i="9"/>
  <c r="T10" i="9"/>
  <c r="U10" i="9"/>
  <c r="V10" i="9"/>
  <c r="W10" i="9"/>
  <c r="Y10" i="9"/>
  <c r="Z10" i="9"/>
  <c r="AA10" i="9"/>
  <c r="AB10" i="9"/>
  <c r="AC10" i="9"/>
  <c r="S11" i="9"/>
  <c r="T11" i="9"/>
  <c r="U11" i="9"/>
  <c r="V11" i="9"/>
  <c r="W11" i="9"/>
  <c r="X11" i="9"/>
  <c r="Y11" i="9"/>
  <c r="Z11" i="9"/>
  <c r="AA11" i="9"/>
  <c r="AB11" i="9"/>
  <c r="AC11" i="9"/>
  <c r="S12" i="9"/>
  <c r="T12" i="9"/>
  <c r="U12" i="9"/>
  <c r="V12" i="9"/>
  <c r="W12" i="9"/>
  <c r="X12" i="9"/>
  <c r="Y12" i="9"/>
  <c r="Z12" i="9"/>
  <c r="AA12" i="9"/>
  <c r="AB12" i="9"/>
  <c r="AC12" i="9"/>
  <c r="S13" i="9"/>
  <c r="T13" i="9"/>
  <c r="U13" i="9"/>
  <c r="V13" i="9"/>
  <c r="W13" i="9"/>
  <c r="X13" i="9"/>
  <c r="Y13" i="9"/>
  <c r="Z13" i="9"/>
  <c r="AA13" i="9"/>
  <c r="AB13" i="9"/>
  <c r="AC13" i="9"/>
  <c r="S14" i="9"/>
  <c r="T14" i="9"/>
  <c r="U14" i="9"/>
  <c r="V14" i="9"/>
  <c r="W14" i="9"/>
  <c r="X14" i="9"/>
  <c r="Y14" i="9"/>
  <c r="Z14" i="9"/>
  <c r="AA14" i="9"/>
  <c r="AB14" i="9"/>
  <c r="AC14" i="9"/>
  <c r="S15" i="9"/>
  <c r="T15" i="9"/>
  <c r="U15" i="9"/>
  <c r="V15" i="9"/>
  <c r="W15" i="9"/>
  <c r="X15" i="9"/>
  <c r="Y15" i="9"/>
  <c r="Z15" i="9"/>
  <c r="AA15" i="9"/>
  <c r="AB15" i="9"/>
  <c r="AC15" i="9"/>
  <c r="S16" i="9"/>
  <c r="T16" i="9"/>
  <c r="U16" i="9"/>
  <c r="V16" i="9"/>
  <c r="W16" i="9"/>
  <c r="X16" i="9"/>
  <c r="Y16" i="9"/>
  <c r="Z16" i="9"/>
  <c r="AA16" i="9"/>
  <c r="AB16" i="9"/>
  <c r="AC16" i="9"/>
  <c r="R10" i="9"/>
  <c r="R11" i="9"/>
  <c r="R12" i="9"/>
  <c r="R13" i="9"/>
  <c r="R14" i="9"/>
  <c r="R15" i="9"/>
  <c r="R16" i="9"/>
  <c r="S33" i="9"/>
  <c r="R33" i="9"/>
  <c r="T33" i="9"/>
  <c r="U33" i="9"/>
  <c r="V33" i="9"/>
  <c r="W33" i="9"/>
  <c r="X33" i="9"/>
  <c r="Y33" i="9"/>
  <c r="Z33" i="9"/>
  <c r="AA33" i="9"/>
  <c r="AB33" i="9"/>
  <c r="AC33" i="9"/>
  <c r="K52" i="9"/>
  <c r="K53" i="9"/>
  <c r="L53" i="9"/>
  <c r="M53" i="9"/>
  <c r="N53" i="9"/>
  <c r="O53" i="9"/>
  <c r="K54" i="9"/>
  <c r="L54" i="9"/>
  <c r="M54" i="9"/>
  <c r="N54" i="9"/>
  <c r="O54" i="9"/>
  <c r="K55" i="9"/>
  <c r="L55" i="9"/>
  <c r="M55" i="9"/>
  <c r="N55" i="9"/>
  <c r="O55" i="9"/>
  <c r="K56" i="9"/>
  <c r="L56" i="9"/>
  <c r="M56" i="9"/>
  <c r="N56" i="9"/>
  <c r="O56" i="9"/>
  <c r="K57" i="9"/>
  <c r="L57" i="9"/>
  <c r="M57" i="9"/>
  <c r="N57" i="9"/>
  <c r="O57" i="9"/>
  <c r="K58" i="9"/>
  <c r="L58" i="9"/>
  <c r="M58" i="9"/>
  <c r="N58" i="9"/>
  <c r="O58" i="9"/>
  <c r="K59" i="9"/>
  <c r="L59" i="9"/>
  <c r="M59" i="9"/>
  <c r="N59" i="9"/>
  <c r="O59" i="9"/>
  <c r="K60" i="9"/>
  <c r="L60" i="9"/>
  <c r="M60" i="9"/>
  <c r="N60" i="9"/>
  <c r="O60" i="9"/>
  <c r="K61" i="9"/>
  <c r="L61" i="9"/>
  <c r="M61" i="9"/>
  <c r="N61" i="9"/>
  <c r="O61" i="9"/>
  <c r="K62" i="9"/>
  <c r="L62" i="9"/>
  <c r="M62" i="9"/>
  <c r="N62" i="9"/>
  <c r="O62" i="9"/>
  <c r="L52" i="9"/>
  <c r="M52" i="9"/>
  <c r="N52" i="9"/>
  <c r="O52" i="9"/>
  <c r="C53" i="9"/>
  <c r="D53" i="9"/>
  <c r="E53" i="9"/>
  <c r="F53" i="9"/>
  <c r="G53" i="9"/>
  <c r="C54" i="9"/>
  <c r="D54" i="9"/>
  <c r="E54" i="9"/>
  <c r="F54" i="9"/>
  <c r="G54" i="9"/>
  <c r="C55" i="9"/>
  <c r="D55" i="9"/>
  <c r="E55" i="9"/>
  <c r="F55" i="9"/>
  <c r="G55" i="9"/>
  <c r="C56" i="9"/>
  <c r="D56" i="9"/>
  <c r="E56" i="9"/>
  <c r="F56" i="9"/>
  <c r="G56" i="9"/>
  <c r="C57" i="9"/>
  <c r="D57" i="9"/>
  <c r="E57" i="9"/>
  <c r="F57" i="9"/>
  <c r="G57" i="9"/>
  <c r="C58" i="9"/>
  <c r="D58" i="9"/>
  <c r="E58" i="9"/>
  <c r="F58" i="9"/>
  <c r="G58" i="9"/>
  <c r="C59" i="9"/>
  <c r="D59" i="9"/>
  <c r="E59" i="9"/>
  <c r="F59" i="9"/>
  <c r="G59" i="9"/>
  <c r="C60" i="9"/>
  <c r="D60" i="9"/>
  <c r="E60" i="9"/>
  <c r="F60" i="9"/>
  <c r="G60" i="9"/>
  <c r="C61" i="9"/>
  <c r="D61" i="9"/>
  <c r="E61" i="9"/>
  <c r="F61" i="9"/>
  <c r="G61" i="9"/>
  <c r="D52" i="9"/>
  <c r="E52" i="9"/>
  <c r="F52" i="9"/>
  <c r="G52" i="9"/>
  <c r="C52" i="9"/>
  <c r="N60" i="6" l="1"/>
  <c r="L60" i="6"/>
  <c r="L75" i="6" l="1"/>
  <c r="N61" i="6"/>
  <c r="N62" i="6"/>
  <c r="N63" i="6"/>
  <c r="N64" i="6"/>
  <c r="N65" i="6"/>
  <c r="N66" i="6"/>
  <c r="N67" i="6"/>
  <c r="N68" i="6"/>
  <c r="N69" i="6"/>
  <c r="N70" i="6"/>
  <c r="N71" i="6"/>
  <c r="N72" i="6"/>
  <c r="N73" i="6"/>
  <c r="N74" i="6"/>
  <c r="N75" i="6"/>
  <c r="L61" i="6"/>
  <c r="L62" i="6"/>
  <c r="L63" i="6"/>
  <c r="L64" i="6"/>
  <c r="L65" i="6"/>
  <c r="L66" i="6"/>
  <c r="L67" i="6"/>
  <c r="L68" i="6"/>
  <c r="L69" i="6"/>
  <c r="L70" i="6"/>
  <c r="L71" i="6"/>
  <c r="L72" i="6"/>
  <c r="L73" i="6"/>
  <c r="L74" i="6"/>
  <c r="I56" i="4" l="1"/>
  <c r="H56" i="4"/>
  <c r="F56" i="4"/>
  <c r="B56" i="4"/>
  <c r="E42" i="4"/>
  <c r="R100" i="4" l="1"/>
  <c r="S100" i="4"/>
  <c r="R101" i="4"/>
  <c r="S101" i="4"/>
  <c r="R102" i="4"/>
  <c r="S102" i="4"/>
  <c r="R105" i="4"/>
  <c r="S105" i="4"/>
  <c r="R104" i="4"/>
  <c r="S104" i="4"/>
  <c r="R106" i="4"/>
  <c r="S106" i="4"/>
  <c r="R107" i="4"/>
  <c r="S107" i="4"/>
  <c r="R103" i="4"/>
  <c r="S103" i="4"/>
  <c r="R108" i="4"/>
  <c r="S108" i="4"/>
  <c r="R109" i="4"/>
  <c r="S109" i="4"/>
  <c r="R111" i="4"/>
  <c r="S111" i="4"/>
  <c r="R110" i="4"/>
  <c r="S110" i="4"/>
  <c r="R112" i="4"/>
  <c r="S112" i="4"/>
  <c r="R113" i="4"/>
  <c r="S113" i="4"/>
  <c r="R114" i="4"/>
  <c r="S114" i="4"/>
  <c r="S99" i="4"/>
  <c r="R99" i="4"/>
  <c r="O102" i="4"/>
  <c r="O100" i="4"/>
  <c r="O103" i="4"/>
  <c r="O111" i="4"/>
  <c r="O104" i="4"/>
  <c r="O108" i="4"/>
  <c r="O101" i="4"/>
  <c r="O105" i="4"/>
  <c r="O114" i="4"/>
  <c r="O106" i="4"/>
  <c r="O99" i="4"/>
  <c r="P99" i="4" s="1"/>
  <c r="Q99" i="4" s="1"/>
  <c r="O110" i="4"/>
  <c r="O113" i="4"/>
  <c r="O112" i="4"/>
  <c r="O109" i="4"/>
  <c r="P109" i="4" s="1"/>
  <c r="Q109" i="4" s="1"/>
  <c r="H99" i="4"/>
  <c r="P107" i="4" l="1"/>
  <c r="Q107" i="4" s="1"/>
  <c r="P112" i="4"/>
  <c r="Q112" i="4" s="1"/>
  <c r="P110" i="4"/>
  <c r="Q110" i="4" s="1"/>
  <c r="P106" i="4"/>
  <c r="Q106" i="4" s="1"/>
  <c r="P105" i="4"/>
  <c r="Q105" i="4" s="1"/>
  <c r="P108" i="4"/>
  <c r="Q108" i="4" s="1"/>
  <c r="P111" i="4"/>
  <c r="Q111" i="4" s="1"/>
  <c r="P100" i="4"/>
  <c r="Q100" i="4" s="1"/>
  <c r="P113" i="4"/>
  <c r="Q113" i="4" s="1"/>
  <c r="P114" i="4"/>
  <c r="Q114" i="4" s="1"/>
  <c r="P101" i="4"/>
  <c r="Q101" i="4" s="1"/>
  <c r="P104" i="4"/>
  <c r="Q104" i="4" s="1"/>
  <c r="P103" i="4"/>
  <c r="Q103" i="4" s="1"/>
  <c r="P102" i="4"/>
  <c r="Q102" i="4" s="1"/>
  <c r="M2419" i="5"/>
  <c r="L2419" i="5"/>
  <c r="C2419" i="5"/>
  <c r="D2419" i="5" s="1"/>
  <c r="F2419" i="5" s="1"/>
  <c r="M2418" i="5"/>
  <c r="L2418" i="5"/>
  <c r="C2418" i="5"/>
  <c r="D2418" i="5" s="1"/>
  <c r="F2418" i="5" s="1"/>
  <c r="M2417" i="5"/>
  <c r="L2417" i="5"/>
  <c r="C2417" i="5"/>
  <c r="D2417" i="5" s="1"/>
  <c r="F2417" i="5" s="1"/>
  <c r="M2416" i="5"/>
  <c r="L2416" i="5"/>
  <c r="C2416" i="5"/>
  <c r="D2416" i="5" s="1"/>
  <c r="F2416" i="5" s="1"/>
  <c r="M2415" i="5"/>
  <c r="L2415" i="5"/>
  <c r="C2415" i="5"/>
  <c r="D2415" i="5" s="1"/>
  <c r="F2415" i="5" s="1"/>
  <c r="M2414" i="5"/>
  <c r="L2414" i="5"/>
  <c r="C2414" i="5"/>
  <c r="D2414" i="5" s="1"/>
  <c r="F2414" i="5" s="1"/>
  <c r="M2413" i="5"/>
  <c r="L2413" i="5"/>
  <c r="C2413" i="5"/>
  <c r="D2413" i="5" s="1"/>
  <c r="F2413" i="5" s="1"/>
  <c r="M2412" i="5"/>
  <c r="L2412" i="5"/>
  <c r="D2412" i="5"/>
  <c r="F2412" i="5" s="1"/>
  <c r="C2412" i="5"/>
  <c r="M2411" i="5"/>
  <c r="L2411" i="5"/>
  <c r="C2411" i="5"/>
  <c r="D2411" i="5" s="1"/>
  <c r="F2411" i="5" s="1"/>
  <c r="M2410" i="5"/>
  <c r="L2410" i="5"/>
  <c r="C2410" i="5"/>
  <c r="D2410" i="5" s="1"/>
  <c r="F2410" i="5" s="1"/>
  <c r="M2409" i="5"/>
  <c r="L2409" i="5"/>
  <c r="C2409" i="5"/>
  <c r="D2409" i="5" s="1"/>
  <c r="F2409" i="5" s="1"/>
  <c r="M2408" i="5"/>
  <c r="L2408" i="5"/>
  <c r="C2408" i="5"/>
  <c r="D2408" i="5" s="1"/>
  <c r="F2408" i="5" s="1"/>
  <c r="M2407" i="5"/>
  <c r="L2407" i="5"/>
  <c r="C2407" i="5"/>
  <c r="D2407" i="5" s="1"/>
  <c r="F2407" i="5" s="1"/>
  <c r="M2406" i="5"/>
  <c r="L2406" i="5"/>
  <c r="C2406" i="5"/>
  <c r="D2406" i="5" s="1"/>
  <c r="F2406" i="5" s="1"/>
  <c r="M2405" i="5"/>
  <c r="L2405" i="5"/>
  <c r="C2405" i="5"/>
  <c r="D2405" i="5" s="1"/>
  <c r="F2405" i="5" s="1"/>
  <c r="M2404" i="5"/>
  <c r="L2404" i="5"/>
  <c r="D2404" i="5"/>
  <c r="F2404" i="5" s="1"/>
  <c r="C2404" i="5"/>
  <c r="M2403" i="5"/>
  <c r="L2403" i="5"/>
  <c r="C2403" i="5"/>
  <c r="D2403" i="5" s="1"/>
  <c r="F2403" i="5" s="1"/>
  <c r="M2402" i="5"/>
  <c r="L2402" i="5"/>
  <c r="C2402" i="5"/>
  <c r="D2402" i="5" s="1"/>
  <c r="F2402" i="5" s="1"/>
  <c r="M2401" i="5"/>
  <c r="L2401" i="5"/>
  <c r="C2401" i="5"/>
  <c r="D2401" i="5" s="1"/>
  <c r="F2401" i="5" s="1"/>
  <c r="M2400" i="5"/>
  <c r="L2400" i="5"/>
  <c r="C2400" i="5"/>
  <c r="D2400" i="5" s="1"/>
  <c r="F2400" i="5" s="1"/>
  <c r="M2399" i="5"/>
  <c r="L2399" i="5"/>
  <c r="C2399" i="5"/>
  <c r="D2399" i="5" s="1"/>
  <c r="F2399" i="5" s="1"/>
  <c r="M2398" i="5"/>
  <c r="L2398" i="5"/>
  <c r="C2398" i="5"/>
  <c r="D2398" i="5" s="1"/>
  <c r="F2398" i="5" s="1"/>
  <c r="M2397" i="5"/>
  <c r="L2397" i="5"/>
  <c r="C2397" i="5"/>
  <c r="D2397" i="5" s="1"/>
  <c r="F2397" i="5" s="1"/>
  <c r="M2396" i="5"/>
  <c r="L2396" i="5"/>
  <c r="D2396" i="5"/>
  <c r="F2396" i="5" s="1"/>
  <c r="C2396" i="5"/>
  <c r="M2395" i="5"/>
  <c r="L2395" i="5"/>
  <c r="C2395" i="5"/>
  <c r="D2395" i="5" s="1"/>
  <c r="F2395" i="5" s="1"/>
  <c r="M2394" i="5"/>
  <c r="L2394" i="5"/>
  <c r="C2394" i="5"/>
  <c r="D2394" i="5" s="1"/>
  <c r="F2394" i="5" s="1"/>
  <c r="M2393" i="5"/>
  <c r="L2393" i="5"/>
  <c r="C2393" i="5"/>
  <c r="D2393" i="5" s="1"/>
  <c r="F2393" i="5" s="1"/>
  <c r="M2392" i="5"/>
  <c r="L2392" i="5"/>
  <c r="C2392" i="5"/>
  <c r="D2392" i="5" s="1"/>
  <c r="F2392" i="5" s="1"/>
  <c r="M2391" i="5"/>
  <c r="L2391" i="5"/>
  <c r="C2391" i="5"/>
  <c r="D2391" i="5" s="1"/>
  <c r="F2391" i="5" s="1"/>
  <c r="M2390" i="5"/>
  <c r="L2390" i="5"/>
  <c r="C2390" i="5"/>
  <c r="D2390" i="5" s="1"/>
  <c r="F2390" i="5" s="1"/>
  <c r="M2389" i="5"/>
  <c r="L2389" i="5"/>
  <c r="C2389" i="5"/>
  <c r="D2389" i="5" s="1"/>
  <c r="F2389" i="5" s="1"/>
  <c r="M2388" i="5"/>
  <c r="L2388" i="5"/>
  <c r="D2388" i="5"/>
  <c r="F2388" i="5" s="1"/>
  <c r="C2388" i="5"/>
  <c r="M2387" i="5"/>
  <c r="L2387" i="5"/>
  <c r="C2387" i="5"/>
  <c r="D2387" i="5" s="1"/>
  <c r="F2387" i="5" s="1"/>
  <c r="M2386" i="5"/>
  <c r="L2386" i="5"/>
  <c r="C2386" i="5"/>
  <c r="D2386" i="5" s="1"/>
  <c r="F2386" i="5" s="1"/>
  <c r="M2385" i="5"/>
  <c r="L2385" i="5"/>
  <c r="C2385" i="5"/>
  <c r="D2385" i="5" s="1"/>
  <c r="F2385" i="5" s="1"/>
  <c r="M2384" i="5"/>
  <c r="L2384" i="5"/>
  <c r="C2384" i="5"/>
  <c r="D2384" i="5" s="1"/>
  <c r="F2384" i="5" s="1"/>
  <c r="M2383" i="5"/>
  <c r="L2383" i="5"/>
  <c r="C2383" i="5"/>
  <c r="D2383" i="5" s="1"/>
  <c r="F2383" i="5" s="1"/>
  <c r="M2382" i="5"/>
  <c r="L2382" i="5"/>
  <c r="C2382" i="5"/>
  <c r="D2382" i="5" s="1"/>
  <c r="F2382" i="5" s="1"/>
  <c r="M2381" i="5"/>
  <c r="L2381" i="5"/>
  <c r="C2381" i="5"/>
  <c r="D2381" i="5" s="1"/>
  <c r="F2381" i="5" s="1"/>
  <c r="M2380" i="5"/>
  <c r="L2380" i="5"/>
  <c r="D2380" i="5"/>
  <c r="F2380" i="5" s="1"/>
  <c r="C2380" i="5"/>
  <c r="M2379" i="5"/>
  <c r="L2379" i="5"/>
  <c r="C2379" i="5"/>
  <c r="D2379" i="5" s="1"/>
  <c r="F2379" i="5" s="1"/>
  <c r="M2378" i="5"/>
  <c r="L2378" i="5"/>
  <c r="C2378" i="5"/>
  <c r="D2378" i="5" s="1"/>
  <c r="F2378" i="5" s="1"/>
  <c r="M2377" i="5"/>
  <c r="L2377" i="5"/>
  <c r="C2377" i="5"/>
  <c r="D2377" i="5" s="1"/>
  <c r="F2377" i="5" s="1"/>
  <c r="M2376" i="5"/>
  <c r="L2376" i="5"/>
  <c r="C2376" i="5"/>
  <c r="D2376" i="5" s="1"/>
  <c r="F2376" i="5" s="1"/>
  <c r="M2375" i="5"/>
  <c r="L2375" i="5"/>
  <c r="C2375" i="5"/>
  <c r="D2375" i="5" s="1"/>
  <c r="F2375" i="5" s="1"/>
  <c r="M2374" i="5"/>
  <c r="L2374" i="5"/>
  <c r="C2374" i="5"/>
  <c r="D2374" i="5" s="1"/>
  <c r="F2374" i="5" s="1"/>
  <c r="M2373" i="5"/>
  <c r="L2373" i="5"/>
  <c r="C2373" i="5"/>
  <c r="D2373" i="5" s="1"/>
  <c r="F2373" i="5" s="1"/>
  <c r="M2372" i="5"/>
  <c r="L2372" i="5"/>
  <c r="D2372" i="5"/>
  <c r="F2372" i="5" s="1"/>
  <c r="C2372" i="5"/>
  <c r="M2371" i="5"/>
  <c r="L2371" i="5"/>
  <c r="C2371" i="5"/>
  <c r="D2371" i="5" s="1"/>
  <c r="F2371" i="5" s="1"/>
  <c r="M2370" i="5"/>
  <c r="L2370" i="5"/>
  <c r="C2370" i="5"/>
  <c r="D2370" i="5" s="1"/>
  <c r="F2370" i="5" s="1"/>
  <c r="M2369" i="5"/>
  <c r="L2369" i="5"/>
  <c r="C2369" i="5"/>
  <c r="D2369" i="5" s="1"/>
  <c r="F2369" i="5" s="1"/>
  <c r="M2368" i="5"/>
  <c r="L2368" i="5"/>
  <c r="C2368" i="5"/>
  <c r="D2368" i="5" s="1"/>
  <c r="F2368" i="5" s="1"/>
  <c r="M2367" i="5"/>
  <c r="L2367" i="5"/>
  <c r="C2367" i="5"/>
  <c r="D2367" i="5" s="1"/>
  <c r="F2367" i="5" s="1"/>
  <c r="M2366" i="5"/>
  <c r="L2366" i="5"/>
  <c r="C2366" i="5"/>
  <c r="D2366" i="5" s="1"/>
  <c r="F2366" i="5" s="1"/>
  <c r="M2365" i="5"/>
  <c r="L2365" i="5"/>
  <c r="C2365" i="5"/>
  <c r="D2365" i="5" s="1"/>
  <c r="F2365" i="5" s="1"/>
  <c r="M2364" i="5"/>
  <c r="L2364" i="5"/>
  <c r="C2364" i="5"/>
  <c r="D2364" i="5" s="1"/>
  <c r="F2364" i="5" s="1"/>
  <c r="M2363" i="5"/>
  <c r="L2363" i="5"/>
  <c r="C2363" i="5"/>
  <c r="D2363" i="5" s="1"/>
  <c r="F2363" i="5" s="1"/>
  <c r="M2362" i="5"/>
  <c r="L2362" i="5"/>
  <c r="C2362" i="5"/>
  <c r="D2362" i="5" s="1"/>
  <c r="F2362" i="5" s="1"/>
  <c r="M2361" i="5"/>
  <c r="L2361" i="5"/>
  <c r="C2361" i="5"/>
  <c r="D2361" i="5" s="1"/>
  <c r="F2361" i="5" s="1"/>
  <c r="M2360" i="5"/>
  <c r="L2360" i="5"/>
  <c r="D2360" i="5"/>
  <c r="F2360" i="5" s="1"/>
  <c r="C2360" i="5"/>
  <c r="M2359" i="5"/>
  <c r="L2359" i="5"/>
  <c r="C2359" i="5"/>
  <c r="D2359" i="5" s="1"/>
  <c r="F2359" i="5" s="1"/>
  <c r="M2358" i="5"/>
  <c r="L2358" i="5"/>
  <c r="C2358" i="5"/>
  <c r="D2358" i="5" s="1"/>
  <c r="F2358" i="5" s="1"/>
  <c r="M2357" i="5"/>
  <c r="L2357" i="5"/>
  <c r="C2357" i="5"/>
  <c r="D2357" i="5" s="1"/>
  <c r="F2357" i="5" s="1"/>
  <c r="M2356" i="5"/>
  <c r="L2356" i="5"/>
  <c r="C2356" i="5"/>
  <c r="D2356" i="5" s="1"/>
  <c r="F2356" i="5" s="1"/>
  <c r="M2355" i="5"/>
  <c r="L2355" i="5"/>
  <c r="C2355" i="5"/>
  <c r="D2355" i="5" s="1"/>
  <c r="F2355" i="5" s="1"/>
  <c r="M2354" i="5"/>
  <c r="L2354" i="5"/>
  <c r="C2354" i="5"/>
  <c r="D2354" i="5" s="1"/>
  <c r="F2354" i="5" s="1"/>
  <c r="M2353" i="5"/>
  <c r="L2353" i="5"/>
  <c r="C2353" i="5"/>
  <c r="D2353" i="5" s="1"/>
  <c r="F2353" i="5" s="1"/>
  <c r="M2352" i="5"/>
  <c r="L2352" i="5"/>
  <c r="D2352" i="5"/>
  <c r="F2352" i="5" s="1"/>
  <c r="C2352" i="5"/>
  <c r="M2351" i="5"/>
  <c r="L2351" i="5"/>
  <c r="C2351" i="5"/>
  <c r="D2351" i="5" s="1"/>
  <c r="F2351" i="5" s="1"/>
  <c r="M2350" i="5"/>
  <c r="L2350" i="5"/>
  <c r="C2350" i="5"/>
  <c r="D2350" i="5" s="1"/>
  <c r="F2350" i="5" s="1"/>
  <c r="M2349" i="5"/>
  <c r="L2349" i="5"/>
  <c r="C2349" i="5"/>
  <c r="D2349" i="5" s="1"/>
  <c r="F2349" i="5" s="1"/>
  <c r="M2348" i="5"/>
  <c r="L2348" i="5"/>
  <c r="C2348" i="5"/>
  <c r="D2348" i="5" s="1"/>
  <c r="F2348" i="5" s="1"/>
  <c r="M2347" i="5"/>
  <c r="L2347" i="5"/>
  <c r="C2347" i="5"/>
  <c r="D2347" i="5" s="1"/>
  <c r="F2347" i="5" s="1"/>
  <c r="M2346" i="5"/>
  <c r="L2346" i="5"/>
  <c r="C2346" i="5"/>
  <c r="D2346" i="5" s="1"/>
  <c r="F2346" i="5" s="1"/>
  <c r="M2345" i="5"/>
  <c r="L2345" i="5"/>
  <c r="C2345" i="5"/>
  <c r="D2345" i="5" s="1"/>
  <c r="F2345" i="5" s="1"/>
  <c r="M2344" i="5"/>
  <c r="L2344" i="5"/>
  <c r="D2344" i="5"/>
  <c r="F2344" i="5" s="1"/>
  <c r="C2344" i="5"/>
  <c r="M2343" i="5"/>
  <c r="L2343" i="5"/>
  <c r="C2343" i="5"/>
  <c r="D2343" i="5" s="1"/>
  <c r="F2343" i="5" s="1"/>
  <c r="M2342" i="5"/>
  <c r="L2342" i="5"/>
  <c r="C2342" i="5"/>
  <c r="D2342" i="5" s="1"/>
  <c r="F2342" i="5" s="1"/>
  <c r="M2341" i="5"/>
  <c r="L2341" i="5"/>
  <c r="C2341" i="5"/>
  <c r="D2341" i="5" s="1"/>
  <c r="F2341" i="5" s="1"/>
  <c r="M2340" i="5"/>
  <c r="L2340" i="5"/>
  <c r="C2340" i="5"/>
  <c r="D2340" i="5" s="1"/>
  <c r="F2340" i="5" s="1"/>
  <c r="M2339" i="5"/>
  <c r="L2339" i="5"/>
  <c r="C2339" i="5"/>
  <c r="D2339" i="5" s="1"/>
  <c r="F2339" i="5" s="1"/>
  <c r="M2338" i="5"/>
  <c r="L2338" i="5"/>
  <c r="C2338" i="5"/>
  <c r="D2338" i="5" s="1"/>
  <c r="F2338" i="5" s="1"/>
  <c r="M2337" i="5"/>
  <c r="L2337" i="5"/>
  <c r="C2337" i="5"/>
  <c r="D2337" i="5" s="1"/>
  <c r="F2337" i="5" s="1"/>
  <c r="M2336" i="5"/>
  <c r="L2336" i="5"/>
  <c r="D2336" i="5"/>
  <c r="F2336" i="5" s="1"/>
  <c r="C2336" i="5"/>
  <c r="M2335" i="5"/>
  <c r="L2335" i="5"/>
  <c r="C2335" i="5"/>
  <c r="D2335" i="5" s="1"/>
  <c r="F2335" i="5" s="1"/>
  <c r="M2334" i="5"/>
  <c r="L2334" i="5"/>
  <c r="C2334" i="5"/>
  <c r="D2334" i="5" s="1"/>
  <c r="F2334" i="5" s="1"/>
  <c r="M2333" i="5"/>
  <c r="L2333" i="5"/>
  <c r="C2333" i="5"/>
  <c r="D2333" i="5" s="1"/>
  <c r="F2333" i="5" s="1"/>
  <c r="M2332" i="5"/>
  <c r="L2332" i="5"/>
  <c r="C2332" i="5"/>
  <c r="D2332" i="5" s="1"/>
  <c r="F2332" i="5" s="1"/>
  <c r="M2331" i="5"/>
  <c r="L2331" i="5"/>
  <c r="C2331" i="5"/>
  <c r="D2331" i="5" s="1"/>
  <c r="F2331" i="5" s="1"/>
  <c r="M2330" i="5"/>
  <c r="L2330" i="5"/>
  <c r="C2330" i="5"/>
  <c r="D2330" i="5" s="1"/>
  <c r="F2330" i="5" s="1"/>
  <c r="M2329" i="5"/>
  <c r="L2329" i="5"/>
  <c r="C2329" i="5"/>
  <c r="D2329" i="5" s="1"/>
  <c r="F2329" i="5" s="1"/>
  <c r="M2328" i="5"/>
  <c r="L2328" i="5"/>
  <c r="D2328" i="5"/>
  <c r="F2328" i="5" s="1"/>
  <c r="C2328" i="5"/>
  <c r="M2327" i="5"/>
  <c r="L2327" i="5"/>
  <c r="C2327" i="5"/>
  <c r="D2327" i="5" s="1"/>
  <c r="F2327" i="5" s="1"/>
  <c r="M2326" i="5"/>
  <c r="L2326" i="5"/>
  <c r="C2326" i="5"/>
  <c r="D2326" i="5" s="1"/>
  <c r="F2326" i="5" s="1"/>
  <c r="M2325" i="5"/>
  <c r="L2325" i="5"/>
  <c r="C2325" i="5"/>
  <c r="D2325" i="5" s="1"/>
  <c r="F2325" i="5" s="1"/>
  <c r="M2324" i="5"/>
  <c r="L2324" i="5"/>
  <c r="C2324" i="5"/>
  <c r="D2324" i="5" s="1"/>
  <c r="F2324" i="5" s="1"/>
  <c r="M2323" i="5"/>
  <c r="L2323" i="5"/>
  <c r="C2323" i="5"/>
  <c r="D2323" i="5" s="1"/>
  <c r="F2323" i="5" s="1"/>
  <c r="M2322" i="5"/>
  <c r="L2322" i="5"/>
  <c r="C2322" i="5"/>
  <c r="D2322" i="5" s="1"/>
  <c r="F2322" i="5" s="1"/>
  <c r="M2321" i="5"/>
  <c r="L2321" i="5"/>
  <c r="C2321" i="5"/>
  <c r="D2321" i="5" s="1"/>
  <c r="F2321" i="5" s="1"/>
  <c r="M2320" i="5"/>
  <c r="L2320" i="5"/>
  <c r="D2320" i="5"/>
  <c r="F2320" i="5" s="1"/>
  <c r="C2320" i="5"/>
  <c r="M2319" i="5"/>
  <c r="L2319" i="5"/>
  <c r="C2319" i="5"/>
  <c r="D2319" i="5" s="1"/>
  <c r="F2319" i="5" s="1"/>
  <c r="M2318" i="5"/>
  <c r="L2318" i="5"/>
  <c r="C2318" i="5"/>
  <c r="D2318" i="5" s="1"/>
  <c r="F2318" i="5" s="1"/>
  <c r="M2317" i="5"/>
  <c r="L2317" i="5"/>
  <c r="C2317" i="5"/>
  <c r="D2317" i="5" s="1"/>
  <c r="F2317" i="5" s="1"/>
  <c r="M2316" i="5"/>
  <c r="L2316" i="5"/>
  <c r="C2316" i="5"/>
  <c r="D2316" i="5" s="1"/>
  <c r="F2316" i="5" s="1"/>
  <c r="M2315" i="5"/>
  <c r="L2315" i="5"/>
  <c r="C2315" i="5"/>
  <c r="D2315" i="5" s="1"/>
  <c r="F2315" i="5" s="1"/>
  <c r="M2314" i="5"/>
  <c r="L2314" i="5"/>
  <c r="C2314" i="5"/>
  <c r="D2314" i="5" s="1"/>
  <c r="F2314" i="5" s="1"/>
  <c r="M2313" i="5"/>
  <c r="L2313" i="5"/>
  <c r="C2313" i="5"/>
  <c r="D2313" i="5" s="1"/>
  <c r="F2313" i="5" s="1"/>
  <c r="M2312" i="5"/>
  <c r="L2312" i="5"/>
  <c r="D2312" i="5"/>
  <c r="F2312" i="5" s="1"/>
  <c r="C2312" i="5"/>
  <c r="M2311" i="5"/>
  <c r="L2311" i="5"/>
  <c r="C2311" i="5"/>
  <c r="D2311" i="5" s="1"/>
  <c r="F2311" i="5" s="1"/>
  <c r="M2310" i="5"/>
  <c r="L2310" i="5"/>
  <c r="C2310" i="5"/>
  <c r="D2310" i="5" s="1"/>
  <c r="F2310" i="5" s="1"/>
  <c r="M2309" i="5"/>
  <c r="L2309" i="5"/>
  <c r="C2309" i="5"/>
  <c r="D2309" i="5" s="1"/>
  <c r="F2309" i="5" s="1"/>
  <c r="M2308" i="5"/>
  <c r="L2308" i="5"/>
  <c r="C2308" i="5"/>
  <c r="D2308" i="5" s="1"/>
  <c r="F2308" i="5" s="1"/>
  <c r="M2307" i="5"/>
  <c r="L2307" i="5"/>
  <c r="C2307" i="5"/>
  <c r="D2307" i="5" s="1"/>
  <c r="F2307" i="5" s="1"/>
  <c r="M2306" i="5"/>
  <c r="L2306" i="5"/>
  <c r="C2306" i="5"/>
  <c r="D2306" i="5" s="1"/>
  <c r="F2306" i="5" s="1"/>
  <c r="M2305" i="5"/>
  <c r="L2305" i="5"/>
  <c r="C2305" i="5"/>
  <c r="D2305" i="5" s="1"/>
  <c r="F2305" i="5" s="1"/>
  <c r="M2304" i="5"/>
  <c r="L2304" i="5"/>
  <c r="D2304" i="5"/>
  <c r="F2304" i="5" s="1"/>
  <c r="C2304" i="5"/>
  <c r="M2303" i="5"/>
  <c r="L2303" i="5"/>
  <c r="C2303" i="5"/>
  <c r="D2303" i="5" s="1"/>
  <c r="F2303" i="5" s="1"/>
  <c r="M2302" i="5"/>
  <c r="L2302" i="5"/>
  <c r="C2302" i="5"/>
  <c r="D2302" i="5" s="1"/>
  <c r="F2302" i="5" s="1"/>
  <c r="M2301" i="5"/>
  <c r="L2301" i="5"/>
  <c r="C2301" i="5"/>
  <c r="D2301" i="5" s="1"/>
  <c r="F2301" i="5" s="1"/>
  <c r="M2300" i="5"/>
  <c r="L2300" i="5"/>
  <c r="C2300" i="5"/>
  <c r="D2300" i="5" s="1"/>
  <c r="F2300" i="5" s="1"/>
  <c r="M2299" i="5"/>
  <c r="L2299" i="5"/>
  <c r="C2299" i="5"/>
  <c r="D2299" i="5" s="1"/>
  <c r="F2299" i="5" s="1"/>
  <c r="M2298" i="5"/>
  <c r="L2298" i="5"/>
  <c r="C2298" i="5"/>
  <c r="D2298" i="5" s="1"/>
  <c r="F2298" i="5" s="1"/>
  <c r="M2297" i="5"/>
  <c r="L2297" i="5"/>
  <c r="C2297" i="5"/>
  <c r="D2297" i="5" s="1"/>
  <c r="F2297" i="5" s="1"/>
  <c r="M2296" i="5"/>
  <c r="L2296" i="5"/>
  <c r="D2296" i="5"/>
  <c r="F2296" i="5" s="1"/>
  <c r="C2296" i="5"/>
  <c r="M2295" i="5"/>
  <c r="L2295" i="5"/>
  <c r="C2295" i="5"/>
  <c r="D2295" i="5" s="1"/>
  <c r="F2295" i="5" s="1"/>
  <c r="M2294" i="5"/>
  <c r="L2294" i="5"/>
  <c r="C2294" i="5"/>
  <c r="D2294" i="5" s="1"/>
  <c r="F2294" i="5" s="1"/>
  <c r="M2293" i="5"/>
  <c r="L2293" i="5"/>
  <c r="C2293" i="5"/>
  <c r="D2293" i="5" s="1"/>
  <c r="F2293" i="5" s="1"/>
  <c r="M2292" i="5"/>
  <c r="L2292" i="5"/>
  <c r="C2292" i="5"/>
  <c r="D2292" i="5" s="1"/>
  <c r="F2292" i="5" s="1"/>
  <c r="M2291" i="5"/>
  <c r="L2291" i="5"/>
  <c r="C2291" i="5"/>
  <c r="D2291" i="5" s="1"/>
  <c r="F2291" i="5" s="1"/>
  <c r="M2290" i="5"/>
  <c r="L2290" i="5"/>
  <c r="C2290" i="5"/>
  <c r="D2290" i="5" s="1"/>
  <c r="F2290" i="5" s="1"/>
  <c r="M2289" i="5"/>
  <c r="L2289" i="5"/>
  <c r="C2289" i="5"/>
  <c r="D2289" i="5" s="1"/>
  <c r="F2289" i="5" s="1"/>
  <c r="M2288" i="5"/>
  <c r="L2288" i="5"/>
  <c r="D2288" i="5"/>
  <c r="F2288" i="5" s="1"/>
  <c r="C2288" i="5"/>
  <c r="M2287" i="5"/>
  <c r="L2287" i="5"/>
  <c r="C2287" i="5"/>
  <c r="D2287" i="5" s="1"/>
  <c r="F2287" i="5" s="1"/>
  <c r="M2286" i="5"/>
  <c r="L2286" i="5"/>
  <c r="C2286" i="5"/>
  <c r="D2286" i="5" s="1"/>
  <c r="F2286" i="5" s="1"/>
  <c r="M2285" i="5"/>
  <c r="L2285" i="5"/>
  <c r="C2285" i="5"/>
  <c r="D2285" i="5" s="1"/>
  <c r="F2285" i="5" s="1"/>
  <c r="M2284" i="5"/>
  <c r="L2284" i="5"/>
  <c r="C2284" i="5"/>
  <c r="D2284" i="5" s="1"/>
  <c r="F2284" i="5" s="1"/>
  <c r="M2283" i="5"/>
  <c r="L2283" i="5"/>
  <c r="C2283" i="5"/>
  <c r="D2283" i="5" s="1"/>
  <c r="F2283" i="5" s="1"/>
  <c r="M2282" i="5"/>
  <c r="L2282" i="5"/>
  <c r="C2282" i="5"/>
  <c r="D2282" i="5" s="1"/>
  <c r="F2282" i="5" s="1"/>
  <c r="M2281" i="5"/>
  <c r="L2281" i="5"/>
  <c r="C2281" i="5"/>
  <c r="D2281" i="5" s="1"/>
  <c r="F2281" i="5" s="1"/>
  <c r="M2280" i="5"/>
  <c r="L2280" i="5"/>
  <c r="D2280" i="5"/>
  <c r="F2280" i="5" s="1"/>
  <c r="C2280" i="5"/>
  <c r="M2279" i="5"/>
  <c r="L2279" i="5"/>
  <c r="C2279" i="5"/>
  <c r="D2279" i="5" s="1"/>
  <c r="F2279" i="5" s="1"/>
  <c r="M2278" i="5"/>
  <c r="L2278" i="5"/>
  <c r="C2278" i="5"/>
  <c r="D2278" i="5" s="1"/>
  <c r="F2278" i="5" s="1"/>
  <c r="M2277" i="5"/>
  <c r="L2277" i="5"/>
  <c r="C2277" i="5"/>
  <c r="D2277" i="5" s="1"/>
  <c r="F2277" i="5" s="1"/>
  <c r="M2276" i="5"/>
  <c r="L2276" i="5"/>
  <c r="C2276" i="5"/>
  <c r="D2276" i="5" s="1"/>
  <c r="F2276" i="5" s="1"/>
  <c r="M2275" i="5"/>
  <c r="L2275" i="5"/>
  <c r="C2275" i="5"/>
  <c r="D2275" i="5" s="1"/>
  <c r="F2275" i="5" s="1"/>
  <c r="M2274" i="5"/>
  <c r="L2274" i="5"/>
  <c r="C2274" i="5"/>
  <c r="D2274" i="5" s="1"/>
  <c r="F2274" i="5" s="1"/>
  <c r="M2273" i="5"/>
  <c r="L2273" i="5"/>
  <c r="C2273" i="5"/>
  <c r="D2273" i="5" s="1"/>
  <c r="F2273" i="5" s="1"/>
  <c r="M2272" i="5"/>
  <c r="L2272" i="5"/>
  <c r="D2272" i="5"/>
  <c r="F2272" i="5" s="1"/>
  <c r="C2272" i="5"/>
  <c r="M2271" i="5"/>
  <c r="L2271" i="5"/>
  <c r="C2271" i="5"/>
  <c r="D2271" i="5" s="1"/>
  <c r="F2271" i="5" s="1"/>
  <c r="M2270" i="5"/>
  <c r="L2270" i="5"/>
  <c r="C2270" i="5"/>
  <c r="D2270" i="5" s="1"/>
  <c r="F2270" i="5" s="1"/>
  <c r="M2269" i="5"/>
  <c r="L2269" i="5"/>
  <c r="C2269" i="5"/>
  <c r="D2269" i="5" s="1"/>
  <c r="F2269" i="5" s="1"/>
  <c r="M2268" i="5"/>
  <c r="L2268" i="5"/>
  <c r="C2268" i="5"/>
  <c r="D2268" i="5" s="1"/>
  <c r="F2268" i="5" s="1"/>
  <c r="M2267" i="5"/>
  <c r="L2267" i="5"/>
  <c r="C2267" i="5"/>
  <c r="D2267" i="5" s="1"/>
  <c r="F2267" i="5" s="1"/>
  <c r="M2266" i="5"/>
  <c r="L2266" i="5"/>
  <c r="C2266" i="5"/>
  <c r="D2266" i="5" s="1"/>
  <c r="F2266" i="5" s="1"/>
  <c r="M2265" i="5"/>
  <c r="L2265" i="5"/>
  <c r="C2265" i="5"/>
  <c r="D2265" i="5" s="1"/>
  <c r="F2265" i="5" s="1"/>
  <c r="M2264" i="5"/>
  <c r="L2264" i="5"/>
  <c r="D2264" i="5"/>
  <c r="F2264" i="5" s="1"/>
  <c r="C2264" i="5"/>
  <c r="M2263" i="5"/>
  <c r="L2263" i="5"/>
  <c r="C2263" i="5"/>
  <c r="D2263" i="5" s="1"/>
  <c r="F2263" i="5" s="1"/>
  <c r="M2262" i="5"/>
  <c r="L2262" i="5"/>
  <c r="C2262" i="5"/>
  <c r="D2262" i="5" s="1"/>
  <c r="F2262" i="5" s="1"/>
  <c r="M2261" i="5"/>
  <c r="L2261" i="5"/>
  <c r="C2261" i="5"/>
  <c r="D2261" i="5" s="1"/>
  <c r="F2261" i="5" s="1"/>
  <c r="M2260" i="5"/>
  <c r="L2260" i="5"/>
  <c r="C2260" i="5"/>
  <c r="D2260" i="5" s="1"/>
  <c r="F2260" i="5" s="1"/>
  <c r="M2259" i="5"/>
  <c r="L2259" i="5"/>
  <c r="C2259" i="5"/>
  <c r="D2259" i="5" s="1"/>
  <c r="F2259" i="5" s="1"/>
  <c r="M2258" i="5"/>
  <c r="L2258" i="5"/>
  <c r="C2258" i="5"/>
  <c r="D2258" i="5" s="1"/>
  <c r="F2258" i="5" s="1"/>
  <c r="M2257" i="5"/>
  <c r="L2257" i="5"/>
  <c r="C2257" i="5"/>
  <c r="D2257" i="5" s="1"/>
  <c r="F2257" i="5" s="1"/>
  <c r="M2256" i="5"/>
  <c r="L2256" i="5"/>
  <c r="D2256" i="5"/>
  <c r="F2256" i="5" s="1"/>
  <c r="C2256" i="5"/>
  <c r="M2255" i="5"/>
  <c r="L2255" i="5"/>
  <c r="C2255" i="5"/>
  <c r="D2255" i="5" s="1"/>
  <c r="F2255" i="5" s="1"/>
  <c r="M2254" i="5"/>
  <c r="L2254" i="5"/>
  <c r="C2254" i="5"/>
  <c r="D2254" i="5" s="1"/>
  <c r="F2254" i="5" s="1"/>
  <c r="M2253" i="5"/>
  <c r="L2253" i="5"/>
  <c r="C2253" i="5"/>
  <c r="D2253" i="5" s="1"/>
  <c r="F2253" i="5" s="1"/>
  <c r="M2252" i="5"/>
  <c r="L2252" i="5"/>
  <c r="C2252" i="5"/>
  <c r="D2252" i="5" s="1"/>
  <c r="F2252" i="5" s="1"/>
  <c r="M2251" i="5"/>
  <c r="L2251" i="5"/>
  <c r="C2251" i="5"/>
  <c r="D2251" i="5" s="1"/>
  <c r="F2251" i="5" s="1"/>
  <c r="M2250" i="5"/>
  <c r="L2250" i="5"/>
  <c r="C2250" i="5"/>
  <c r="D2250" i="5" s="1"/>
  <c r="F2250" i="5" s="1"/>
  <c r="M2249" i="5"/>
  <c r="L2249" i="5"/>
  <c r="C2249" i="5"/>
  <c r="D2249" i="5" s="1"/>
  <c r="F2249" i="5" s="1"/>
  <c r="M2248" i="5"/>
  <c r="L2248" i="5"/>
  <c r="D2248" i="5"/>
  <c r="F2248" i="5" s="1"/>
  <c r="C2248" i="5"/>
  <c r="M2247" i="5"/>
  <c r="L2247" i="5"/>
  <c r="C2247" i="5"/>
  <c r="D2247" i="5" s="1"/>
  <c r="F2247" i="5" s="1"/>
  <c r="M2246" i="5"/>
  <c r="L2246" i="5"/>
  <c r="C2246" i="5"/>
  <c r="D2246" i="5" s="1"/>
  <c r="F2246" i="5" s="1"/>
  <c r="M2245" i="5"/>
  <c r="L2245" i="5"/>
  <c r="C2245" i="5"/>
  <c r="D2245" i="5" s="1"/>
  <c r="F2245" i="5" s="1"/>
  <c r="M2244" i="5"/>
  <c r="L2244" i="5"/>
  <c r="C2244" i="5"/>
  <c r="D2244" i="5" s="1"/>
  <c r="F2244" i="5" s="1"/>
  <c r="M2243" i="5"/>
  <c r="L2243" i="5"/>
  <c r="C2243" i="5"/>
  <c r="D2243" i="5" s="1"/>
  <c r="F2243" i="5" s="1"/>
  <c r="M2242" i="5"/>
  <c r="L2242" i="5"/>
  <c r="C2242" i="5"/>
  <c r="D2242" i="5" s="1"/>
  <c r="F2242" i="5" s="1"/>
  <c r="M2241" i="5"/>
  <c r="L2241" i="5"/>
  <c r="C2241" i="5"/>
  <c r="D2241" i="5" s="1"/>
  <c r="F2241" i="5" s="1"/>
  <c r="M2240" i="5"/>
  <c r="L2240" i="5"/>
  <c r="D2240" i="5"/>
  <c r="F2240" i="5" s="1"/>
  <c r="C2240" i="5"/>
  <c r="M2239" i="5"/>
  <c r="L2239" i="5"/>
  <c r="C2239" i="5"/>
  <c r="D2239" i="5" s="1"/>
  <c r="F2239" i="5" s="1"/>
  <c r="M2238" i="5"/>
  <c r="L2238" i="5"/>
  <c r="C2238" i="5"/>
  <c r="D2238" i="5" s="1"/>
  <c r="F2238" i="5" s="1"/>
  <c r="M2237" i="5"/>
  <c r="L2237" i="5"/>
  <c r="C2237" i="5"/>
  <c r="D2237" i="5" s="1"/>
  <c r="F2237" i="5" s="1"/>
  <c r="M2236" i="5"/>
  <c r="L2236" i="5"/>
  <c r="C2236" i="5"/>
  <c r="D2236" i="5" s="1"/>
  <c r="F2236" i="5" s="1"/>
  <c r="M2235" i="5"/>
  <c r="L2235" i="5"/>
  <c r="C2235" i="5"/>
  <c r="D2235" i="5" s="1"/>
  <c r="F2235" i="5" s="1"/>
  <c r="M2234" i="5"/>
  <c r="L2234" i="5"/>
  <c r="C2234" i="5"/>
  <c r="D2234" i="5" s="1"/>
  <c r="F2234" i="5" s="1"/>
  <c r="M2233" i="5"/>
  <c r="L2233" i="5"/>
  <c r="C2233" i="5"/>
  <c r="D2233" i="5" s="1"/>
  <c r="F2233" i="5" s="1"/>
  <c r="M2232" i="5"/>
  <c r="L2232" i="5"/>
  <c r="D2232" i="5"/>
  <c r="F2232" i="5" s="1"/>
  <c r="C2232" i="5"/>
  <c r="M2231" i="5"/>
  <c r="L2231" i="5"/>
  <c r="C2231" i="5"/>
  <c r="D2231" i="5" s="1"/>
  <c r="F2231" i="5" s="1"/>
  <c r="M2230" i="5"/>
  <c r="L2230" i="5"/>
  <c r="C2230" i="5"/>
  <c r="D2230" i="5" s="1"/>
  <c r="F2230" i="5" s="1"/>
  <c r="M2229" i="5"/>
  <c r="L2229" i="5"/>
  <c r="C2229" i="5"/>
  <c r="D2229" i="5" s="1"/>
  <c r="F2229" i="5" s="1"/>
  <c r="M2228" i="5"/>
  <c r="L2228" i="5"/>
  <c r="C2228" i="5"/>
  <c r="D2228" i="5" s="1"/>
  <c r="F2228" i="5" s="1"/>
  <c r="M2227" i="5"/>
  <c r="L2227" i="5"/>
  <c r="C2227" i="5"/>
  <c r="D2227" i="5" s="1"/>
  <c r="F2227" i="5" s="1"/>
  <c r="M2226" i="5"/>
  <c r="L2226" i="5"/>
  <c r="C2226" i="5"/>
  <c r="D2226" i="5" s="1"/>
  <c r="F2226" i="5" s="1"/>
  <c r="M2225" i="5"/>
  <c r="L2225" i="5"/>
  <c r="C2225" i="5"/>
  <c r="D2225" i="5" s="1"/>
  <c r="F2225" i="5" s="1"/>
  <c r="M2224" i="5"/>
  <c r="L2224" i="5"/>
  <c r="D2224" i="5"/>
  <c r="F2224" i="5" s="1"/>
  <c r="C2224" i="5"/>
  <c r="M2223" i="5"/>
  <c r="L2223" i="5"/>
  <c r="C2223" i="5"/>
  <c r="D2223" i="5" s="1"/>
  <c r="F2223" i="5" s="1"/>
  <c r="M2222" i="5"/>
  <c r="L2222" i="5"/>
  <c r="C2222" i="5"/>
  <c r="D2222" i="5" s="1"/>
  <c r="F2222" i="5" s="1"/>
  <c r="M2221" i="5"/>
  <c r="L2221" i="5"/>
  <c r="C2221" i="5"/>
  <c r="D2221" i="5" s="1"/>
  <c r="F2221" i="5" s="1"/>
  <c r="M2220" i="5"/>
  <c r="L2220" i="5"/>
  <c r="C2220" i="5"/>
  <c r="D2220" i="5" s="1"/>
  <c r="F2220" i="5" s="1"/>
  <c r="M2219" i="5"/>
  <c r="L2219" i="5"/>
  <c r="C2219" i="5"/>
  <c r="D2219" i="5" s="1"/>
  <c r="F2219" i="5" s="1"/>
  <c r="M2218" i="5"/>
  <c r="L2218" i="5"/>
  <c r="C2218" i="5"/>
  <c r="D2218" i="5" s="1"/>
  <c r="F2218" i="5" s="1"/>
  <c r="M2217" i="5"/>
  <c r="L2217" i="5"/>
  <c r="C2217" i="5"/>
  <c r="D2217" i="5" s="1"/>
  <c r="F2217" i="5" s="1"/>
  <c r="M2216" i="5"/>
  <c r="L2216" i="5"/>
  <c r="D2216" i="5"/>
  <c r="F2216" i="5" s="1"/>
  <c r="C2216" i="5"/>
  <c r="M2215" i="5"/>
  <c r="L2215" i="5"/>
  <c r="F2215" i="5"/>
  <c r="C2215" i="5"/>
  <c r="D2215" i="5" s="1"/>
  <c r="M2214" i="5"/>
  <c r="L2214" i="5"/>
  <c r="D2214" i="5"/>
  <c r="F2214" i="5" s="1"/>
  <c r="C2214" i="5"/>
  <c r="M2213" i="5"/>
  <c r="L2213" i="5"/>
  <c r="F2213" i="5"/>
  <c r="C2213" i="5"/>
  <c r="D2213" i="5" s="1"/>
  <c r="M2212" i="5"/>
  <c r="L2212" i="5"/>
  <c r="D2212" i="5"/>
  <c r="F2212" i="5" s="1"/>
  <c r="C2212" i="5"/>
  <c r="M2211" i="5"/>
  <c r="L2211" i="5"/>
  <c r="F2211" i="5"/>
  <c r="C2211" i="5"/>
  <c r="D2211" i="5" s="1"/>
  <c r="M2210" i="5"/>
  <c r="L2210" i="5"/>
  <c r="D2210" i="5"/>
  <c r="F2210" i="5" s="1"/>
  <c r="C2210" i="5"/>
  <c r="M2209" i="5"/>
  <c r="L2209" i="5"/>
  <c r="F2209" i="5"/>
  <c r="C2209" i="5"/>
  <c r="D2209" i="5" s="1"/>
  <c r="M2208" i="5"/>
  <c r="L2208" i="5"/>
  <c r="D2208" i="5"/>
  <c r="F2208" i="5" s="1"/>
  <c r="C2208" i="5"/>
  <c r="M2207" i="5"/>
  <c r="L2207" i="5"/>
  <c r="F2207" i="5"/>
  <c r="C2207" i="5"/>
  <c r="D2207" i="5" s="1"/>
  <c r="M2206" i="5"/>
  <c r="L2206" i="5"/>
  <c r="C2206" i="5"/>
  <c r="D2206" i="5" s="1"/>
  <c r="F2206" i="5" s="1"/>
  <c r="M2205" i="5"/>
  <c r="L2205" i="5"/>
  <c r="C2205" i="5"/>
  <c r="D2205" i="5" s="1"/>
  <c r="F2205" i="5" s="1"/>
  <c r="M2204" i="5"/>
  <c r="L2204" i="5"/>
  <c r="C2204" i="5"/>
  <c r="D2204" i="5" s="1"/>
  <c r="F2204" i="5" s="1"/>
  <c r="M2203" i="5"/>
  <c r="L2203" i="5"/>
  <c r="C2203" i="5"/>
  <c r="D2203" i="5" s="1"/>
  <c r="F2203" i="5" s="1"/>
  <c r="M2202" i="5"/>
  <c r="L2202" i="5"/>
  <c r="C2202" i="5"/>
  <c r="D2202" i="5" s="1"/>
  <c r="F2202" i="5" s="1"/>
  <c r="M2201" i="5"/>
  <c r="L2201" i="5"/>
  <c r="C2201" i="5"/>
  <c r="D2201" i="5" s="1"/>
  <c r="F2201" i="5" s="1"/>
  <c r="M2200" i="5"/>
  <c r="L2200" i="5"/>
  <c r="C2200" i="5"/>
  <c r="D2200" i="5" s="1"/>
  <c r="F2200" i="5" s="1"/>
  <c r="M2199" i="5"/>
  <c r="L2199" i="5"/>
  <c r="C2199" i="5"/>
  <c r="D2199" i="5" s="1"/>
  <c r="F2199" i="5" s="1"/>
  <c r="M2198" i="5"/>
  <c r="L2198" i="5"/>
  <c r="D2198" i="5"/>
  <c r="F2198" i="5" s="1"/>
  <c r="C2198" i="5"/>
  <c r="M2197" i="5"/>
  <c r="L2197" i="5"/>
  <c r="C2197" i="5"/>
  <c r="D2197" i="5" s="1"/>
  <c r="F2197" i="5" s="1"/>
  <c r="M2196" i="5"/>
  <c r="L2196" i="5"/>
  <c r="C2196" i="5"/>
  <c r="D2196" i="5" s="1"/>
  <c r="F2196" i="5" s="1"/>
  <c r="M2195" i="5"/>
  <c r="L2195" i="5"/>
  <c r="C2195" i="5"/>
  <c r="D2195" i="5" s="1"/>
  <c r="F2195" i="5" s="1"/>
  <c r="M2194" i="5"/>
  <c r="L2194" i="5"/>
  <c r="C2194" i="5"/>
  <c r="D2194" i="5" s="1"/>
  <c r="F2194" i="5" s="1"/>
  <c r="M2193" i="5"/>
  <c r="L2193" i="5"/>
  <c r="C2193" i="5"/>
  <c r="D2193" i="5" s="1"/>
  <c r="F2193" i="5" s="1"/>
  <c r="M2192" i="5"/>
  <c r="L2192" i="5"/>
  <c r="C2192" i="5"/>
  <c r="D2192" i="5" s="1"/>
  <c r="F2192" i="5" s="1"/>
  <c r="M2191" i="5"/>
  <c r="L2191" i="5"/>
  <c r="C2191" i="5"/>
  <c r="D2191" i="5" s="1"/>
  <c r="F2191" i="5" s="1"/>
  <c r="M2190" i="5"/>
  <c r="L2190" i="5"/>
  <c r="D2190" i="5"/>
  <c r="F2190" i="5" s="1"/>
  <c r="C2190" i="5"/>
  <c r="M2189" i="5"/>
  <c r="L2189" i="5"/>
  <c r="C2189" i="5"/>
  <c r="D2189" i="5" s="1"/>
  <c r="F2189" i="5" s="1"/>
  <c r="M2188" i="5"/>
  <c r="L2188" i="5"/>
  <c r="C2188" i="5"/>
  <c r="D2188" i="5" s="1"/>
  <c r="F2188" i="5" s="1"/>
  <c r="M2187" i="5"/>
  <c r="L2187" i="5"/>
  <c r="C2187" i="5"/>
  <c r="D2187" i="5" s="1"/>
  <c r="F2187" i="5" s="1"/>
  <c r="M2186" i="5"/>
  <c r="L2186" i="5"/>
  <c r="C2186" i="5"/>
  <c r="D2186" i="5" s="1"/>
  <c r="F2186" i="5" s="1"/>
  <c r="M2185" i="5"/>
  <c r="L2185" i="5"/>
  <c r="C2185" i="5"/>
  <c r="D2185" i="5" s="1"/>
  <c r="F2185" i="5" s="1"/>
  <c r="M2184" i="5"/>
  <c r="L2184" i="5"/>
  <c r="C2184" i="5"/>
  <c r="D2184" i="5" s="1"/>
  <c r="F2184" i="5" s="1"/>
  <c r="M2183" i="5"/>
  <c r="L2183" i="5"/>
  <c r="C2183" i="5"/>
  <c r="D2183" i="5" s="1"/>
  <c r="F2183" i="5" s="1"/>
  <c r="M2182" i="5"/>
  <c r="L2182" i="5"/>
  <c r="D2182" i="5"/>
  <c r="F2182" i="5" s="1"/>
  <c r="C2182" i="5"/>
  <c r="M2181" i="5"/>
  <c r="L2181" i="5"/>
  <c r="C2181" i="5"/>
  <c r="D2181" i="5" s="1"/>
  <c r="F2181" i="5" s="1"/>
  <c r="M2180" i="5"/>
  <c r="L2180" i="5"/>
  <c r="C2180" i="5"/>
  <c r="D2180" i="5" s="1"/>
  <c r="F2180" i="5" s="1"/>
  <c r="M2179" i="5"/>
  <c r="L2179" i="5"/>
  <c r="C2179" i="5"/>
  <c r="D2179" i="5" s="1"/>
  <c r="F2179" i="5" s="1"/>
  <c r="M2178" i="5"/>
  <c r="L2178" i="5"/>
  <c r="C2178" i="5"/>
  <c r="D2178" i="5" s="1"/>
  <c r="F2178" i="5" s="1"/>
  <c r="M2177" i="5"/>
  <c r="L2177" i="5"/>
  <c r="C2177" i="5"/>
  <c r="D2177" i="5" s="1"/>
  <c r="F2177" i="5" s="1"/>
  <c r="M2176" i="5"/>
  <c r="L2176" i="5"/>
  <c r="C2176" i="5"/>
  <c r="D2176" i="5" s="1"/>
  <c r="F2176" i="5" s="1"/>
  <c r="M2175" i="5"/>
  <c r="L2175" i="5"/>
  <c r="C2175" i="5"/>
  <c r="D2175" i="5" s="1"/>
  <c r="F2175" i="5" s="1"/>
  <c r="M2174" i="5"/>
  <c r="L2174" i="5"/>
  <c r="D2174" i="5"/>
  <c r="F2174" i="5" s="1"/>
  <c r="C2174" i="5"/>
  <c r="M2173" i="5"/>
  <c r="L2173" i="5"/>
  <c r="C2173" i="5"/>
  <c r="D2173" i="5" s="1"/>
  <c r="F2173" i="5" s="1"/>
  <c r="M2172" i="5"/>
  <c r="L2172" i="5"/>
  <c r="C2172" i="5"/>
  <c r="D2172" i="5" s="1"/>
  <c r="F2172" i="5" s="1"/>
  <c r="M2171" i="5"/>
  <c r="L2171" i="5"/>
  <c r="C2171" i="5"/>
  <c r="D2171" i="5" s="1"/>
  <c r="F2171" i="5" s="1"/>
  <c r="M2170" i="5"/>
  <c r="L2170" i="5"/>
  <c r="C2170" i="5"/>
  <c r="D2170" i="5" s="1"/>
  <c r="F2170" i="5" s="1"/>
  <c r="M2169" i="5"/>
  <c r="L2169" i="5"/>
  <c r="C2169" i="5"/>
  <c r="D2169" i="5" s="1"/>
  <c r="F2169" i="5" s="1"/>
  <c r="M2168" i="5"/>
  <c r="L2168" i="5"/>
  <c r="C2168" i="5"/>
  <c r="D2168" i="5" s="1"/>
  <c r="F2168" i="5" s="1"/>
  <c r="M2167" i="5"/>
  <c r="L2167" i="5"/>
  <c r="C2167" i="5"/>
  <c r="D2167" i="5" s="1"/>
  <c r="F2167" i="5" s="1"/>
  <c r="M2166" i="5"/>
  <c r="L2166" i="5"/>
  <c r="D2166" i="5"/>
  <c r="F2166" i="5" s="1"/>
  <c r="C2166" i="5"/>
  <c r="M2165" i="5"/>
  <c r="L2165" i="5"/>
  <c r="C2165" i="5"/>
  <c r="D2165" i="5" s="1"/>
  <c r="F2165" i="5" s="1"/>
  <c r="M2164" i="5"/>
  <c r="L2164" i="5"/>
  <c r="C2164" i="5"/>
  <c r="D2164" i="5" s="1"/>
  <c r="F2164" i="5" s="1"/>
  <c r="M2163" i="5"/>
  <c r="L2163" i="5"/>
  <c r="C2163" i="5"/>
  <c r="D2163" i="5" s="1"/>
  <c r="F2163" i="5" s="1"/>
  <c r="M2162" i="5"/>
  <c r="L2162" i="5"/>
  <c r="C2162" i="5"/>
  <c r="D2162" i="5" s="1"/>
  <c r="F2162" i="5" s="1"/>
  <c r="M2161" i="5"/>
  <c r="L2161" i="5"/>
  <c r="C2161" i="5"/>
  <c r="D2161" i="5" s="1"/>
  <c r="F2161" i="5" s="1"/>
  <c r="M2160" i="5"/>
  <c r="L2160" i="5"/>
  <c r="C2160" i="5"/>
  <c r="D2160" i="5" s="1"/>
  <c r="F2160" i="5" s="1"/>
  <c r="M2159" i="5"/>
  <c r="L2159" i="5"/>
  <c r="C2159" i="5"/>
  <c r="D2159" i="5" s="1"/>
  <c r="F2159" i="5" s="1"/>
  <c r="M2158" i="5"/>
  <c r="L2158" i="5"/>
  <c r="D2158" i="5"/>
  <c r="F2158" i="5" s="1"/>
  <c r="C2158" i="5"/>
  <c r="M2157" i="5"/>
  <c r="L2157" i="5"/>
  <c r="C2157" i="5"/>
  <c r="D2157" i="5" s="1"/>
  <c r="F2157" i="5" s="1"/>
  <c r="M2156" i="5"/>
  <c r="L2156" i="5"/>
  <c r="C2156" i="5"/>
  <c r="D2156" i="5" s="1"/>
  <c r="F2156" i="5" s="1"/>
  <c r="M2155" i="5"/>
  <c r="L2155" i="5"/>
  <c r="C2155" i="5"/>
  <c r="D2155" i="5" s="1"/>
  <c r="F2155" i="5" s="1"/>
  <c r="M2154" i="5"/>
  <c r="L2154" i="5"/>
  <c r="C2154" i="5"/>
  <c r="D2154" i="5" s="1"/>
  <c r="F2154" i="5" s="1"/>
  <c r="M2153" i="5"/>
  <c r="L2153" i="5"/>
  <c r="C2153" i="5"/>
  <c r="D2153" i="5" s="1"/>
  <c r="F2153" i="5" s="1"/>
  <c r="M2152" i="5"/>
  <c r="L2152" i="5"/>
  <c r="C2152" i="5"/>
  <c r="D2152" i="5" s="1"/>
  <c r="F2152" i="5" s="1"/>
  <c r="M2151" i="5"/>
  <c r="L2151" i="5"/>
  <c r="C2151" i="5"/>
  <c r="D2151" i="5" s="1"/>
  <c r="F2151" i="5" s="1"/>
  <c r="M2150" i="5"/>
  <c r="L2150" i="5"/>
  <c r="D2150" i="5"/>
  <c r="F2150" i="5" s="1"/>
  <c r="C2150" i="5"/>
  <c r="M2149" i="5"/>
  <c r="L2149" i="5"/>
  <c r="C2149" i="5"/>
  <c r="D2149" i="5" s="1"/>
  <c r="F2149" i="5" s="1"/>
  <c r="M2148" i="5"/>
  <c r="L2148" i="5"/>
  <c r="C2148" i="5"/>
  <c r="D2148" i="5" s="1"/>
  <c r="F2148" i="5" s="1"/>
  <c r="M2147" i="5"/>
  <c r="L2147" i="5"/>
  <c r="C2147" i="5"/>
  <c r="D2147" i="5" s="1"/>
  <c r="F2147" i="5" s="1"/>
  <c r="M2146" i="5"/>
  <c r="L2146" i="5"/>
  <c r="C2146" i="5"/>
  <c r="D2146" i="5" s="1"/>
  <c r="F2146" i="5" s="1"/>
  <c r="M2145" i="5"/>
  <c r="L2145" i="5"/>
  <c r="C2145" i="5"/>
  <c r="D2145" i="5" s="1"/>
  <c r="F2145" i="5" s="1"/>
  <c r="M2144" i="5"/>
  <c r="L2144" i="5"/>
  <c r="C2144" i="5"/>
  <c r="D2144" i="5" s="1"/>
  <c r="F2144" i="5" s="1"/>
  <c r="M2143" i="5"/>
  <c r="L2143" i="5"/>
  <c r="C2143" i="5"/>
  <c r="D2143" i="5" s="1"/>
  <c r="F2143" i="5" s="1"/>
  <c r="M2142" i="5"/>
  <c r="L2142" i="5"/>
  <c r="D2142" i="5"/>
  <c r="F2142" i="5" s="1"/>
  <c r="C2142" i="5"/>
  <c r="M2141" i="5"/>
  <c r="L2141" i="5"/>
  <c r="C2141" i="5"/>
  <c r="D2141" i="5" s="1"/>
  <c r="F2141" i="5" s="1"/>
  <c r="M2140" i="5"/>
  <c r="L2140" i="5"/>
  <c r="C2140" i="5"/>
  <c r="D2140" i="5" s="1"/>
  <c r="F2140" i="5" s="1"/>
  <c r="M2139" i="5"/>
  <c r="L2139" i="5"/>
  <c r="C2139" i="5"/>
  <c r="D2139" i="5" s="1"/>
  <c r="F2139" i="5" s="1"/>
  <c r="M2138" i="5"/>
  <c r="L2138" i="5"/>
  <c r="C2138" i="5"/>
  <c r="D2138" i="5" s="1"/>
  <c r="F2138" i="5" s="1"/>
  <c r="M2137" i="5"/>
  <c r="L2137" i="5"/>
  <c r="C2137" i="5"/>
  <c r="D2137" i="5" s="1"/>
  <c r="F2137" i="5" s="1"/>
  <c r="M2136" i="5"/>
  <c r="L2136" i="5"/>
  <c r="C2136" i="5"/>
  <c r="D2136" i="5" s="1"/>
  <c r="F2136" i="5" s="1"/>
  <c r="M2135" i="5"/>
  <c r="L2135" i="5"/>
  <c r="C2135" i="5"/>
  <c r="D2135" i="5" s="1"/>
  <c r="F2135" i="5" s="1"/>
  <c r="M2134" i="5"/>
  <c r="L2134" i="5"/>
  <c r="D2134" i="5"/>
  <c r="F2134" i="5" s="1"/>
  <c r="C2134" i="5"/>
  <c r="M2133" i="5"/>
  <c r="L2133" i="5"/>
  <c r="C2133" i="5"/>
  <c r="D2133" i="5" s="1"/>
  <c r="F2133" i="5" s="1"/>
  <c r="M2132" i="5"/>
  <c r="L2132" i="5"/>
  <c r="C2132" i="5"/>
  <c r="D2132" i="5" s="1"/>
  <c r="F2132" i="5" s="1"/>
  <c r="M2131" i="5"/>
  <c r="L2131" i="5"/>
  <c r="C2131" i="5"/>
  <c r="D2131" i="5" s="1"/>
  <c r="F2131" i="5" s="1"/>
  <c r="M2130" i="5"/>
  <c r="L2130" i="5"/>
  <c r="C2130" i="5"/>
  <c r="D2130" i="5" s="1"/>
  <c r="F2130" i="5" s="1"/>
  <c r="M2129" i="5"/>
  <c r="L2129" i="5"/>
  <c r="C2129" i="5"/>
  <c r="D2129" i="5" s="1"/>
  <c r="F2129" i="5" s="1"/>
  <c r="M2128" i="5"/>
  <c r="L2128" i="5"/>
  <c r="C2128" i="5"/>
  <c r="D2128" i="5" s="1"/>
  <c r="F2128" i="5" s="1"/>
  <c r="M2127" i="5"/>
  <c r="L2127" i="5"/>
  <c r="C2127" i="5"/>
  <c r="D2127" i="5" s="1"/>
  <c r="F2127" i="5" s="1"/>
  <c r="M2126" i="5"/>
  <c r="L2126" i="5"/>
  <c r="D2126" i="5"/>
  <c r="F2126" i="5" s="1"/>
  <c r="C2126" i="5"/>
  <c r="M2125" i="5"/>
  <c r="L2125" i="5"/>
  <c r="C2125" i="5"/>
  <c r="D2125" i="5" s="1"/>
  <c r="F2125" i="5" s="1"/>
  <c r="M2124" i="5"/>
  <c r="L2124" i="5"/>
  <c r="C2124" i="5"/>
  <c r="D2124" i="5" s="1"/>
  <c r="F2124" i="5" s="1"/>
  <c r="M2123" i="5"/>
  <c r="L2123" i="5"/>
  <c r="C2123" i="5"/>
  <c r="D2123" i="5" s="1"/>
  <c r="F2123" i="5" s="1"/>
  <c r="M2122" i="5"/>
  <c r="L2122" i="5"/>
  <c r="C2122" i="5"/>
  <c r="D2122" i="5" s="1"/>
  <c r="F2122" i="5" s="1"/>
  <c r="M2121" i="5"/>
  <c r="L2121" i="5"/>
  <c r="C2121" i="5"/>
  <c r="D2121" i="5" s="1"/>
  <c r="F2121" i="5" s="1"/>
  <c r="M2120" i="5"/>
  <c r="L2120" i="5"/>
  <c r="C2120" i="5"/>
  <c r="D2120" i="5" s="1"/>
  <c r="F2120" i="5" s="1"/>
  <c r="M2119" i="5"/>
  <c r="L2119" i="5"/>
  <c r="C2119" i="5"/>
  <c r="D2119" i="5" s="1"/>
  <c r="F2119" i="5" s="1"/>
  <c r="M2118" i="5"/>
  <c r="L2118" i="5"/>
  <c r="D2118" i="5"/>
  <c r="F2118" i="5" s="1"/>
  <c r="C2118" i="5"/>
  <c r="M2117" i="5"/>
  <c r="L2117" i="5"/>
  <c r="C2117" i="5"/>
  <c r="D2117" i="5" s="1"/>
  <c r="F2117" i="5" s="1"/>
  <c r="M2116" i="5"/>
  <c r="L2116" i="5"/>
  <c r="C2116" i="5"/>
  <c r="D2116" i="5" s="1"/>
  <c r="F2116" i="5" s="1"/>
  <c r="M2115" i="5"/>
  <c r="L2115" i="5"/>
  <c r="C2115" i="5"/>
  <c r="D2115" i="5" s="1"/>
  <c r="F2115" i="5" s="1"/>
  <c r="M2114" i="5"/>
  <c r="L2114" i="5"/>
  <c r="C2114" i="5"/>
  <c r="D2114" i="5" s="1"/>
  <c r="F2114" i="5" s="1"/>
  <c r="M2113" i="5"/>
  <c r="L2113" i="5"/>
  <c r="C2113" i="5"/>
  <c r="D2113" i="5" s="1"/>
  <c r="F2113" i="5" s="1"/>
  <c r="M2112" i="5"/>
  <c r="L2112" i="5"/>
  <c r="C2112" i="5"/>
  <c r="D2112" i="5" s="1"/>
  <c r="F2112" i="5" s="1"/>
  <c r="M2111" i="5"/>
  <c r="L2111" i="5"/>
  <c r="C2111" i="5"/>
  <c r="D2111" i="5" s="1"/>
  <c r="F2111" i="5" s="1"/>
  <c r="M2110" i="5"/>
  <c r="L2110" i="5"/>
  <c r="D2110" i="5"/>
  <c r="F2110" i="5" s="1"/>
  <c r="C2110" i="5"/>
  <c r="M2109" i="5"/>
  <c r="L2109" i="5"/>
  <c r="C2109" i="5"/>
  <c r="D2109" i="5" s="1"/>
  <c r="F2109" i="5" s="1"/>
  <c r="M2108" i="5"/>
  <c r="L2108" i="5"/>
  <c r="C2108" i="5"/>
  <c r="D2108" i="5" s="1"/>
  <c r="F2108" i="5" s="1"/>
  <c r="M2107" i="5"/>
  <c r="L2107" i="5"/>
  <c r="C2107" i="5"/>
  <c r="D2107" i="5" s="1"/>
  <c r="F2107" i="5" s="1"/>
  <c r="M2106" i="5"/>
  <c r="L2106" i="5"/>
  <c r="C2106" i="5"/>
  <c r="D2106" i="5" s="1"/>
  <c r="F2106" i="5" s="1"/>
  <c r="M2105" i="5"/>
  <c r="L2105" i="5"/>
  <c r="C2105" i="5"/>
  <c r="D2105" i="5" s="1"/>
  <c r="F2105" i="5" s="1"/>
  <c r="M2104" i="5"/>
  <c r="L2104" i="5"/>
  <c r="C2104" i="5"/>
  <c r="D2104" i="5" s="1"/>
  <c r="F2104" i="5" s="1"/>
  <c r="M2103" i="5"/>
  <c r="L2103" i="5"/>
  <c r="C2103" i="5"/>
  <c r="D2103" i="5" s="1"/>
  <c r="F2103" i="5" s="1"/>
  <c r="M2102" i="5"/>
  <c r="L2102" i="5"/>
  <c r="D2102" i="5"/>
  <c r="F2102" i="5" s="1"/>
  <c r="C2102" i="5"/>
  <c r="M2101" i="5"/>
  <c r="L2101" i="5"/>
  <c r="C2101" i="5"/>
  <c r="D2101" i="5" s="1"/>
  <c r="F2101" i="5" s="1"/>
  <c r="M2100" i="5"/>
  <c r="L2100" i="5"/>
  <c r="C2100" i="5"/>
  <c r="D2100" i="5" s="1"/>
  <c r="F2100" i="5" s="1"/>
  <c r="M2099" i="5"/>
  <c r="L2099" i="5"/>
  <c r="C2099" i="5"/>
  <c r="D2099" i="5" s="1"/>
  <c r="F2099" i="5" s="1"/>
  <c r="M2098" i="5"/>
  <c r="L2098" i="5"/>
  <c r="C2098" i="5"/>
  <c r="D2098" i="5" s="1"/>
  <c r="F2098" i="5" s="1"/>
  <c r="M2097" i="5"/>
  <c r="L2097" i="5"/>
  <c r="C2097" i="5"/>
  <c r="D2097" i="5" s="1"/>
  <c r="F2097" i="5" s="1"/>
  <c r="M2096" i="5"/>
  <c r="L2096" i="5"/>
  <c r="C2096" i="5"/>
  <c r="D2096" i="5" s="1"/>
  <c r="F2096" i="5" s="1"/>
  <c r="M2095" i="5"/>
  <c r="L2095" i="5"/>
  <c r="C2095" i="5"/>
  <c r="D2095" i="5" s="1"/>
  <c r="F2095" i="5" s="1"/>
  <c r="M2094" i="5"/>
  <c r="L2094" i="5"/>
  <c r="D2094" i="5"/>
  <c r="F2094" i="5" s="1"/>
  <c r="C2094" i="5"/>
  <c r="M2093" i="5"/>
  <c r="L2093" i="5"/>
  <c r="C2093" i="5"/>
  <c r="D2093" i="5" s="1"/>
  <c r="F2093" i="5" s="1"/>
  <c r="M2092" i="5"/>
  <c r="L2092" i="5"/>
  <c r="C2092" i="5"/>
  <c r="D2092" i="5" s="1"/>
  <c r="F2092" i="5" s="1"/>
  <c r="M2091" i="5"/>
  <c r="L2091" i="5"/>
  <c r="C2091" i="5"/>
  <c r="D2091" i="5" s="1"/>
  <c r="F2091" i="5" s="1"/>
  <c r="M2090" i="5"/>
  <c r="L2090" i="5"/>
  <c r="C2090" i="5"/>
  <c r="D2090" i="5" s="1"/>
  <c r="F2090" i="5" s="1"/>
  <c r="M2089" i="5"/>
  <c r="L2089" i="5"/>
  <c r="C2089" i="5"/>
  <c r="D2089" i="5" s="1"/>
  <c r="F2089" i="5" s="1"/>
  <c r="M2088" i="5"/>
  <c r="L2088" i="5"/>
  <c r="C2088" i="5"/>
  <c r="D2088" i="5" s="1"/>
  <c r="F2088" i="5" s="1"/>
  <c r="M2087" i="5"/>
  <c r="L2087" i="5"/>
  <c r="C2087" i="5"/>
  <c r="D2087" i="5" s="1"/>
  <c r="F2087" i="5" s="1"/>
  <c r="M2086" i="5"/>
  <c r="L2086" i="5"/>
  <c r="D2086" i="5"/>
  <c r="F2086" i="5" s="1"/>
  <c r="C2086" i="5"/>
  <c r="M2085" i="5"/>
  <c r="L2085" i="5"/>
  <c r="C2085" i="5"/>
  <c r="D2085" i="5" s="1"/>
  <c r="F2085" i="5" s="1"/>
  <c r="M2084" i="5"/>
  <c r="L2084" i="5"/>
  <c r="C2084" i="5"/>
  <c r="D2084" i="5" s="1"/>
  <c r="F2084" i="5" s="1"/>
  <c r="M2083" i="5"/>
  <c r="L2083" i="5"/>
  <c r="C2083" i="5"/>
  <c r="D2083" i="5" s="1"/>
  <c r="F2083" i="5" s="1"/>
  <c r="M2082" i="5"/>
  <c r="L2082" i="5"/>
  <c r="C2082" i="5"/>
  <c r="D2082" i="5" s="1"/>
  <c r="F2082" i="5" s="1"/>
  <c r="M2081" i="5"/>
  <c r="L2081" i="5"/>
  <c r="C2081" i="5"/>
  <c r="D2081" i="5" s="1"/>
  <c r="F2081" i="5" s="1"/>
  <c r="M2080" i="5"/>
  <c r="L2080" i="5"/>
  <c r="C2080" i="5"/>
  <c r="D2080" i="5" s="1"/>
  <c r="F2080" i="5" s="1"/>
  <c r="M2079" i="5"/>
  <c r="L2079" i="5"/>
  <c r="C2079" i="5"/>
  <c r="D2079" i="5" s="1"/>
  <c r="F2079" i="5" s="1"/>
  <c r="M2078" i="5"/>
  <c r="L2078" i="5"/>
  <c r="D2078" i="5"/>
  <c r="F2078" i="5" s="1"/>
  <c r="C2078" i="5"/>
  <c r="M2077" i="5"/>
  <c r="L2077" i="5"/>
  <c r="C2077" i="5"/>
  <c r="D2077" i="5" s="1"/>
  <c r="F2077" i="5" s="1"/>
  <c r="M2076" i="5"/>
  <c r="L2076" i="5"/>
  <c r="C2076" i="5"/>
  <c r="D2076" i="5" s="1"/>
  <c r="F2076" i="5" s="1"/>
  <c r="M2075" i="5"/>
  <c r="L2075" i="5"/>
  <c r="C2075" i="5"/>
  <c r="D2075" i="5" s="1"/>
  <c r="F2075" i="5" s="1"/>
  <c r="M2074" i="5"/>
  <c r="L2074" i="5"/>
  <c r="C2074" i="5"/>
  <c r="D2074" i="5" s="1"/>
  <c r="F2074" i="5" s="1"/>
  <c r="M2073" i="5"/>
  <c r="L2073" i="5"/>
  <c r="C2073" i="5"/>
  <c r="D2073" i="5" s="1"/>
  <c r="F2073" i="5" s="1"/>
  <c r="M2072" i="5"/>
  <c r="L2072" i="5"/>
  <c r="C2072" i="5"/>
  <c r="D2072" i="5" s="1"/>
  <c r="F2072" i="5" s="1"/>
  <c r="M2071" i="5"/>
  <c r="L2071" i="5"/>
  <c r="C2071" i="5"/>
  <c r="D2071" i="5" s="1"/>
  <c r="F2071" i="5" s="1"/>
  <c r="M2070" i="5"/>
  <c r="L2070" i="5"/>
  <c r="D2070" i="5"/>
  <c r="F2070" i="5" s="1"/>
  <c r="C2070" i="5"/>
  <c r="M2069" i="5"/>
  <c r="L2069" i="5"/>
  <c r="C2069" i="5"/>
  <c r="D2069" i="5" s="1"/>
  <c r="F2069" i="5" s="1"/>
  <c r="M2068" i="5"/>
  <c r="L2068" i="5"/>
  <c r="C2068" i="5"/>
  <c r="D2068" i="5" s="1"/>
  <c r="F2068" i="5" s="1"/>
  <c r="M2067" i="5"/>
  <c r="L2067" i="5"/>
  <c r="C2067" i="5"/>
  <c r="D2067" i="5" s="1"/>
  <c r="F2067" i="5" s="1"/>
  <c r="M2066" i="5"/>
  <c r="L2066" i="5"/>
  <c r="C2066" i="5"/>
  <c r="D2066" i="5" s="1"/>
  <c r="F2066" i="5" s="1"/>
  <c r="M2065" i="5"/>
  <c r="L2065" i="5"/>
  <c r="C2065" i="5"/>
  <c r="D2065" i="5" s="1"/>
  <c r="F2065" i="5" s="1"/>
  <c r="M2064" i="5"/>
  <c r="L2064" i="5"/>
  <c r="C2064" i="5"/>
  <c r="D2064" i="5" s="1"/>
  <c r="F2064" i="5" s="1"/>
  <c r="M2063" i="5"/>
  <c r="L2063" i="5"/>
  <c r="C2063" i="5"/>
  <c r="D2063" i="5" s="1"/>
  <c r="F2063" i="5" s="1"/>
  <c r="M2062" i="5"/>
  <c r="L2062" i="5"/>
  <c r="D2062" i="5"/>
  <c r="F2062" i="5" s="1"/>
  <c r="C2062" i="5"/>
  <c r="M2061" i="5"/>
  <c r="L2061" i="5"/>
  <c r="C2061" i="5"/>
  <c r="D2061" i="5" s="1"/>
  <c r="F2061" i="5" s="1"/>
  <c r="M2060" i="5"/>
  <c r="L2060" i="5"/>
  <c r="C2060" i="5"/>
  <c r="D2060" i="5" s="1"/>
  <c r="F2060" i="5" s="1"/>
  <c r="M2059" i="5"/>
  <c r="L2059" i="5"/>
  <c r="C2059" i="5"/>
  <c r="D2059" i="5" s="1"/>
  <c r="F2059" i="5" s="1"/>
  <c r="M2058" i="5"/>
  <c r="L2058" i="5"/>
  <c r="C2058" i="5"/>
  <c r="D2058" i="5" s="1"/>
  <c r="F2058" i="5" s="1"/>
  <c r="M2057" i="5"/>
  <c r="L2057" i="5"/>
  <c r="C2057" i="5"/>
  <c r="D2057" i="5" s="1"/>
  <c r="F2057" i="5" s="1"/>
  <c r="M2056" i="5"/>
  <c r="L2056" i="5"/>
  <c r="C2056" i="5"/>
  <c r="D2056" i="5" s="1"/>
  <c r="F2056" i="5" s="1"/>
  <c r="M2055" i="5"/>
  <c r="L2055" i="5"/>
  <c r="C2055" i="5"/>
  <c r="D2055" i="5" s="1"/>
  <c r="F2055" i="5" s="1"/>
  <c r="M2054" i="5"/>
  <c r="L2054" i="5"/>
  <c r="D2054" i="5"/>
  <c r="F2054" i="5" s="1"/>
  <c r="C2054" i="5"/>
  <c r="M2053" i="5"/>
  <c r="L2053" i="5"/>
  <c r="C2053" i="5"/>
  <c r="D2053" i="5" s="1"/>
  <c r="F2053" i="5" s="1"/>
  <c r="M2052" i="5"/>
  <c r="L2052" i="5"/>
  <c r="C2052" i="5"/>
  <c r="D2052" i="5" s="1"/>
  <c r="F2052" i="5" s="1"/>
  <c r="M2051" i="5"/>
  <c r="L2051" i="5"/>
  <c r="C2051" i="5"/>
  <c r="D2051" i="5" s="1"/>
  <c r="F2051" i="5" s="1"/>
  <c r="M2050" i="5"/>
  <c r="L2050" i="5"/>
  <c r="C2050" i="5"/>
  <c r="D2050" i="5" s="1"/>
  <c r="F2050" i="5" s="1"/>
  <c r="M2049" i="5"/>
  <c r="L2049" i="5"/>
  <c r="C2049" i="5"/>
  <c r="D2049" i="5" s="1"/>
  <c r="F2049" i="5" s="1"/>
  <c r="M2048" i="5"/>
  <c r="L2048" i="5"/>
  <c r="C2048" i="5"/>
  <c r="D2048" i="5" s="1"/>
  <c r="F2048" i="5" s="1"/>
  <c r="M2047" i="5"/>
  <c r="L2047" i="5"/>
  <c r="C2047" i="5"/>
  <c r="D2047" i="5" s="1"/>
  <c r="F2047" i="5" s="1"/>
  <c r="M2046" i="5"/>
  <c r="L2046" i="5"/>
  <c r="D2046" i="5"/>
  <c r="F2046" i="5" s="1"/>
  <c r="C2046" i="5"/>
  <c r="M2045" i="5"/>
  <c r="L2045" i="5"/>
  <c r="C2045" i="5"/>
  <c r="D2045" i="5" s="1"/>
  <c r="F2045" i="5" s="1"/>
  <c r="M2044" i="5"/>
  <c r="L2044" i="5"/>
  <c r="C2044" i="5"/>
  <c r="D2044" i="5" s="1"/>
  <c r="F2044" i="5" s="1"/>
  <c r="M2043" i="5"/>
  <c r="L2043" i="5"/>
  <c r="C2043" i="5"/>
  <c r="D2043" i="5" s="1"/>
  <c r="F2043" i="5" s="1"/>
  <c r="M2042" i="5"/>
  <c r="L2042" i="5"/>
  <c r="C2042" i="5"/>
  <c r="D2042" i="5" s="1"/>
  <c r="F2042" i="5" s="1"/>
  <c r="M2041" i="5"/>
  <c r="L2041" i="5"/>
  <c r="C2041" i="5"/>
  <c r="D2041" i="5" s="1"/>
  <c r="F2041" i="5" s="1"/>
  <c r="M2040" i="5"/>
  <c r="L2040" i="5"/>
  <c r="C2040" i="5"/>
  <c r="D2040" i="5" s="1"/>
  <c r="F2040" i="5" s="1"/>
  <c r="M2039" i="5"/>
  <c r="L2039" i="5"/>
  <c r="C2039" i="5"/>
  <c r="D2039" i="5" s="1"/>
  <c r="F2039" i="5" s="1"/>
  <c r="M2038" i="5"/>
  <c r="L2038" i="5"/>
  <c r="D2038" i="5"/>
  <c r="F2038" i="5" s="1"/>
  <c r="C2038" i="5"/>
  <c r="M2037" i="5"/>
  <c r="L2037" i="5"/>
  <c r="C2037" i="5"/>
  <c r="D2037" i="5" s="1"/>
  <c r="F2037" i="5" s="1"/>
  <c r="M2036" i="5"/>
  <c r="L2036" i="5"/>
  <c r="C2036" i="5"/>
  <c r="D2036" i="5" s="1"/>
  <c r="F2036" i="5" s="1"/>
  <c r="M2035" i="5"/>
  <c r="L2035" i="5"/>
  <c r="C2035" i="5"/>
  <c r="D2035" i="5" s="1"/>
  <c r="F2035" i="5" s="1"/>
  <c r="M2034" i="5"/>
  <c r="L2034" i="5"/>
  <c r="C2034" i="5"/>
  <c r="D2034" i="5" s="1"/>
  <c r="F2034" i="5" s="1"/>
  <c r="M2033" i="5"/>
  <c r="L2033" i="5"/>
  <c r="C2033" i="5"/>
  <c r="D2033" i="5" s="1"/>
  <c r="F2033" i="5" s="1"/>
  <c r="M2032" i="5"/>
  <c r="L2032" i="5"/>
  <c r="C2032" i="5"/>
  <c r="D2032" i="5" s="1"/>
  <c r="F2032" i="5" s="1"/>
  <c r="M2031" i="5"/>
  <c r="L2031" i="5"/>
  <c r="C2031" i="5"/>
  <c r="D2031" i="5" s="1"/>
  <c r="F2031" i="5" s="1"/>
  <c r="M2030" i="5"/>
  <c r="L2030" i="5"/>
  <c r="D2030" i="5"/>
  <c r="F2030" i="5" s="1"/>
  <c r="C2030" i="5"/>
  <c r="M2029" i="5"/>
  <c r="L2029" i="5"/>
  <c r="C2029" i="5"/>
  <c r="D2029" i="5" s="1"/>
  <c r="F2029" i="5" s="1"/>
  <c r="M2028" i="5"/>
  <c r="L2028" i="5"/>
  <c r="C2028" i="5"/>
  <c r="D2028" i="5" s="1"/>
  <c r="F2028" i="5" s="1"/>
  <c r="M2027" i="5"/>
  <c r="L2027" i="5"/>
  <c r="C2027" i="5"/>
  <c r="D2027" i="5" s="1"/>
  <c r="F2027" i="5" s="1"/>
  <c r="M2026" i="5"/>
  <c r="L2026" i="5"/>
  <c r="C2026" i="5"/>
  <c r="D2026" i="5" s="1"/>
  <c r="F2026" i="5" s="1"/>
  <c r="M2025" i="5"/>
  <c r="L2025" i="5"/>
  <c r="C2025" i="5"/>
  <c r="D2025" i="5" s="1"/>
  <c r="F2025" i="5" s="1"/>
  <c r="M2024" i="5"/>
  <c r="L2024" i="5"/>
  <c r="C2024" i="5"/>
  <c r="D2024" i="5" s="1"/>
  <c r="F2024" i="5" s="1"/>
  <c r="M2023" i="5"/>
  <c r="L2023" i="5"/>
  <c r="C2023" i="5"/>
  <c r="D2023" i="5" s="1"/>
  <c r="F2023" i="5" s="1"/>
  <c r="M2022" i="5"/>
  <c r="L2022" i="5"/>
  <c r="D2022" i="5"/>
  <c r="F2022" i="5" s="1"/>
  <c r="C2022" i="5"/>
  <c r="M2021" i="5"/>
  <c r="L2021" i="5"/>
  <c r="C2021" i="5"/>
  <c r="D2021" i="5" s="1"/>
  <c r="F2021" i="5" s="1"/>
  <c r="M2020" i="5"/>
  <c r="L2020" i="5"/>
  <c r="C2020" i="5"/>
  <c r="D2020" i="5" s="1"/>
  <c r="F2020" i="5" s="1"/>
  <c r="M2019" i="5"/>
  <c r="L2019" i="5"/>
  <c r="C2019" i="5"/>
  <c r="D2019" i="5" s="1"/>
  <c r="F2019" i="5" s="1"/>
  <c r="M2018" i="5"/>
  <c r="L2018" i="5"/>
  <c r="C2018" i="5"/>
  <c r="D2018" i="5" s="1"/>
  <c r="F2018" i="5" s="1"/>
  <c r="M2017" i="5"/>
  <c r="L2017" i="5"/>
  <c r="C2017" i="5"/>
  <c r="D2017" i="5" s="1"/>
  <c r="F2017" i="5" s="1"/>
  <c r="M2016" i="5"/>
  <c r="L2016" i="5"/>
  <c r="C2016" i="5"/>
  <c r="D2016" i="5" s="1"/>
  <c r="F2016" i="5" s="1"/>
  <c r="M2015" i="5"/>
  <c r="L2015" i="5"/>
  <c r="C2015" i="5"/>
  <c r="D2015" i="5" s="1"/>
  <c r="F2015" i="5" s="1"/>
  <c r="M2014" i="5"/>
  <c r="L2014" i="5"/>
  <c r="D2014" i="5"/>
  <c r="F2014" i="5" s="1"/>
  <c r="C2014" i="5"/>
  <c r="M2013" i="5"/>
  <c r="L2013" i="5"/>
  <c r="C2013" i="5"/>
  <c r="D2013" i="5" s="1"/>
  <c r="F2013" i="5" s="1"/>
  <c r="M2012" i="5"/>
  <c r="L2012" i="5"/>
  <c r="C2012" i="5"/>
  <c r="D2012" i="5" s="1"/>
  <c r="F2012" i="5" s="1"/>
  <c r="M2011" i="5"/>
  <c r="L2011" i="5"/>
  <c r="C2011" i="5"/>
  <c r="D2011" i="5" s="1"/>
  <c r="F2011" i="5" s="1"/>
  <c r="M2010" i="5"/>
  <c r="L2010" i="5"/>
  <c r="C2010" i="5"/>
  <c r="D2010" i="5" s="1"/>
  <c r="F2010" i="5" s="1"/>
  <c r="M2009" i="5"/>
  <c r="L2009" i="5"/>
  <c r="C2009" i="5"/>
  <c r="D2009" i="5" s="1"/>
  <c r="F2009" i="5" s="1"/>
  <c r="M2008" i="5"/>
  <c r="L2008" i="5"/>
  <c r="C2008" i="5"/>
  <c r="D2008" i="5" s="1"/>
  <c r="F2008" i="5" s="1"/>
  <c r="M2007" i="5"/>
  <c r="L2007" i="5"/>
  <c r="C2007" i="5"/>
  <c r="D2007" i="5" s="1"/>
  <c r="F2007" i="5" s="1"/>
  <c r="M2006" i="5"/>
  <c r="L2006" i="5"/>
  <c r="D2006" i="5"/>
  <c r="F2006" i="5" s="1"/>
  <c r="C2006" i="5"/>
  <c r="M2005" i="5"/>
  <c r="L2005" i="5"/>
  <c r="C2005" i="5"/>
  <c r="D2005" i="5" s="1"/>
  <c r="F2005" i="5" s="1"/>
  <c r="M2004" i="5"/>
  <c r="L2004" i="5"/>
  <c r="C2004" i="5"/>
  <c r="D2004" i="5" s="1"/>
  <c r="F2004" i="5" s="1"/>
  <c r="M2003" i="5"/>
  <c r="L2003" i="5"/>
  <c r="C2003" i="5"/>
  <c r="D2003" i="5" s="1"/>
  <c r="F2003" i="5" s="1"/>
  <c r="M2002" i="5"/>
  <c r="L2002" i="5"/>
  <c r="C2002" i="5"/>
  <c r="D2002" i="5" s="1"/>
  <c r="F2002" i="5" s="1"/>
  <c r="M2001" i="5"/>
  <c r="L2001" i="5"/>
  <c r="C2001" i="5"/>
  <c r="D2001" i="5" s="1"/>
  <c r="F2001" i="5" s="1"/>
  <c r="M2000" i="5"/>
  <c r="L2000" i="5"/>
  <c r="C2000" i="5"/>
  <c r="D2000" i="5" s="1"/>
  <c r="F2000" i="5" s="1"/>
  <c r="M1999" i="5"/>
  <c r="L1999" i="5"/>
  <c r="C1999" i="5"/>
  <c r="D1999" i="5" s="1"/>
  <c r="F1999" i="5" s="1"/>
  <c r="M1998" i="5"/>
  <c r="L1998" i="5"/>
  <c r="D1998" i="5"/>
  <c r="F1998" i="5" s="1"/>
  <c r="C1998" i="5"/>
  <c r="M1997" i="5"/>
  <c r="L1997" i="5"/>
  <c r="C1997" i="5"/>
  <c r="D1997" i="5" s="1"/>
  <c r="F1997" i="5" s="1"/>
  <c r="M1996" i="5"/>
  <c r="L1996" i="5"/>
  <c r="C1996" i="5"/>
  <c r="D1996" i="5" s="1"/>
  <c r="F1996" i="5" s="1"/>
  <c r="M1995" i="5"/>
  <c r="L1995" i="5"/>
  <c r="C1995" i="5"/>
  <c r="D1995" i="5" s="1"/>
  <c r="F1995" i="5" s="1"/>
  <c r="M1994" i="5"/>
  <c r="L1994" i="5"/>
  <c r="C1994" i="5"/>
  <c r="D1994" i="5" s="1"/>
  <c r="F1994" i="5" s="1"/>
  <c r="M1993" i="5"/>
  <c r="L1993" i="5"/>
  <c r="C1993" i="5"/>
  <c r="D1993" i="5" s="1"/>
  <c r="F1993" i="5" s="1"/>
  <c r="M1992" i="5"/>
  <c r="L1992" i="5"/>
  <c r="C1992" i="5"/>
  <c r="D1992" i="5" s="1"/>
  <c r="F1992" i="5" s="1"/>
  <c r="M1991" i="5"/>
  <c r="L1991" i="5"/>
  <c r="C1991" i="5"/>
  <c r="D1991" i="5" s="1"/>
  <c r="F1991" i="5" s="1"/>
  <c r="M1990" i="5"/>
  <c r="L1990" i="5"/>
  <c r="D1990" i="5"/>
  <c r="F1990" i="5" s="1"/>
  <c r="C1990" i="5"/>
  <c r="M1989" i="5"/>
  <c r="L1989" i="5"/>
  <c r="C1989" i="5"/>
  <c r="D1989" i="5" s="1"/>
  <c r="F1989" i="5" s="1"/>
  <c r="M1988" i="5"/>
  <c r="L1988" i="5"/>
  <c r="C1988" i="5"/>
  <c r="D1988" i="5" s="1"/>
  <c r="F1988" i="5" s="1"/>
  <c r="M1987" i="5"/>
  <c r="L1987" i="5"/>
  <c r="C1987" i="5"/>
  <c r="D1987" i="5" s="1"/>
  <c r="F1987" i="5" s="1"/>
  <c r="M1986" i="5"/>
  <c r="L1986" i="5"/>
  <c r="C1986" i="5"/>
  <c r="D1986" i="5" s="1"/>
  <c r="F1986" i="5" s="1"/>
  <c r="M1985" i="5"/>
  <c r="L1985" i="5"/>
  <c r="C1985" i="5"/>
  <c r="D1985" i="5" s="1"/>
  <c r="F1985" i="5" s="1"/>
  <c r="M1984" i="5"/>
  <c r="L1984" i="5"/>
  <c r="C1984" i="5"/>
  <c r="D1984" i="5" s="1"/>
  <c r="F1984" i="5" s="1"/>
  <c r="M1983" i="5"/>
  <c r="L1983" i="5"/>
  <c r="C1983" i="5"/>
  <c r="D1983" i="5" s="1"/>
  <c r="F1983" i="5" s="1"/>
  <c r="M1982" i="5"/>
  <c r="L1982" i="5"/>
  <c r="D1982" i="5"/>
  <c r="F1982" i="5" s="1"/>
  <c r="C1982" i="5"/>
  <c r="M1981" i="5"/>
  <c r="L1981" i="5"/>
  <c r="C1981" i="5"/>
  <c r="D1981" i="5" s="1"/>
  <c r="F1981" i="5" s="1"/>
  <c r="M1980" i="5"/>
  <c r="L1980" i="5"/>
  <c r="C1980" i="5"/>
  <c r="D1980" i="5" s="1"/>
  <c r="F1980" i="5" s="1"/>
  <c r="M1979" i="5"/>
  <c r="L1979" i="5"/>
  <c r="C1979" i="5"/>
  <c r="D1979" i="5" s="1"/>
  <c r="F1979" i="5" s="1"/>
  <c r="M1978" i="5"/>
  <c r="L1978" i="5"/>
  <c r="C1978" i="5"/>
  <c r="D1978" i="5" s="1"/>
  <c r="F1978" i="5" s="1"/>
  <c r="M1977" i="5"/>
  <c r="L1977" i="5"/>
  <c r="C1977" i="5"/>
  <c r="D1977" i="5" s="1"/>
  <c r="F1977" i="5" s="1"/>
  <c r="M1976" i="5"/>
  <c r="L1976" i="5"/>
  <c r="C1976" i="5"/>
  <c r="D1976" i="5" s="1"/>
  <c r="F1976" i="5" s="1"/>
  <c r="M1975" i="5"/>
  <c r="L1975" i="5"/>
  <c r="C1975" i="5"/>
  <c r="D1975" i="5" s="1"/>
  <c r="F1975" i="5" s="1"/>
  <c r="M1974" i="5"/>
  <c r="L1974" i="5"/>
  <c r="D1974" i="5"/>
  <c r="F1974" i="5" s="1"/>
  <c r="C1974" i="5"/>
  <c r="M1973" i="5"/>
  <c r="L1973" i="5"/>
  <c r="C1973" i="5"/>
  <c r="D1973" i="5" s="1"/>
  <c r="F1973" i="5" s="1"/>
  <c r="M1972" i="5"/>
  <c r="L1972" i="5"/>
  <c r="C1972" i="5"/>
  <c r="D1972" i="5" s="1"/>
  <c r="F1972" i="5" s="1"/>
  <c r="M1971" i="5"/>
  <c r="L1971" i="5"/>
  <c r="C1971" i="5"/>
  <c r="D1971" i="5" s="1"/>
  <c r="F1971" i="5" s="1"/>
  <c r="M1970" i="5"/>
  <c r="L1970" i="5"/>
  <c r="C1970" i="5"/>
  <c r="D1970" i="5" s="1"/>
  <c r="F1970" i="5" s="1"/>
  <c r="M1969" i="5"/>
  <c r="L1969" i="5"/>
  <c r="C1969" i="5"/>
  <c r="D1969" i="5" s="1"/>
  <c r="F1969" i="5" s="1"/>
  <c r="M1968" i="5"/>
  <c r="L1968" i="5"/>
  <c r="C1968" i="5"/>
  <c r="D1968" i="5" s="1"/>
  <c r="F1968" i="5" s="1"/>
  <c r="M1967" i="5"/>
  <c r="L1967" i="5"/>
  <c r="C1967" i="5"/>
  <c r="D1967" i="5" s="1"/>
  <c r="F1967" i="5" s="1"/>
  <c r="M1966" i="5"/>
  <c r="L1966" i="5"/>
  <c r="D1966" i="5"/>
  <c r="F1966" i="5" s="1"/>
  <c r="C1966" i="5"/>
  <c r="M1965" i="5"/>
  <c r="L1965" i="5"/>
  <c r="C1965" i="5"/>
  <c r="D1965" i="5" s="1"/>
  <c r="F1965" i="5" s="1"/>
  <c r="M1964" i="5"/>
  <c r="L1964" i="5"/>
  <c r="C1964" i="5"/>
  <c r="D1964" i="5" s="1"/>
  <c r="F1964" i="5" s="1"/>
  <c r="M1963" i="5"/>
  <c r="L1963" i="5"/>
  <c r="C1963" i="5"/>
  <c r="D1963" i="5" s="1"/>
  <c r="F1963" i="5" s="1"/>
  <c r="M1962" i="5"/>
  <c r="L1962" i="5"/>
  <c r="C1962" i="5"/>
  <c r="D1962" i="5" s="1"/>
  <c r="F1962" i="5" s="1"/>
  <c r="M1961" i="5"/>
  <c r="L1961" i="5"/>
  <c r="C1961" i="5"/>
  <c r="D1961" i="5" s="1"/>
  <c r="F1961" i="5" s="1"/>
  <c r="M1960" i="5"/>
  <c r="L1960" i="5"/>
  <c r="C1960" i="5"/>
  <c r="D1960" i="5" s="1"/>
  <c r="F1960" i="5" s="1"/>
  <c r="M1959" i="5"/>
  <c r="L1959" i="5"/>
  <c r="C1959" i="5"/>
  <c r="D1959" i="5" s="1"/>
  <c r="F1959" i="5" s="1"/>
  <c r="M1958" i="5"/>
  <c r="L1958" i="5"/>
  <c r="D1958" i="5"/>
  <c r="F1958" i="5" s="1"/>
  <c r="C1958" i="5"/>
  <c r="M1957" i="5"/>
  <c r="L1957" i="5"/>
  <c r="C1957" i="5"/>
  <c r="D1957" i="5" s="1"/>
  <c r="F1957" i="5" s="1"/>
  <c r="M1956" i="5"/>
  <c r="L1956" i="5"/>
  <c r="C1956" i="5"/>
  <c r="D1956" i="5" s="1"/>
  <c r="F1956" i="5" s="1"/>
  <c r="M1955" i="5"/>
  <c r="L1955" i="5"/>
  <c r="C1955" i="5"/>
  <c r="D1955" i="5" s="1"/>
  <c r="F1955" i="5" s="1"/>
  <c r="M1954" i="5"/>
  <c r="L1954" i="5"/>
  <c r="C1954" i="5"/>
  <c r="D1954" i="5" s="1"/>
  <c r="F1954" i="5" s="1"/>
  <c r="M1953" i="5"/>
  <c r="L1953" i="5"/>
  <c r="C1953" i="5"/>
  <c r="D1953" i="5" s="1"/>
  <c r="F1953" i="5" s="1"/>
  <c r="M1952" i="5"/>
  <c r="L1952" i="5"/>
  <c r="C1952" i="5"/>
  <c r="D1952" i="5" s="1"/>
  <c r="F1952" i="5" s="1"/>
  <c r="M1951" i="5"/>
  <c r="L1951" i="5"/>
  <c r="C1951" i="5"/>
  <c r="D1951" i="5" s="1"/>
  <c r="F1951" i="5" s="1"/>
  <c r="M1950" i="5"/>
  <c r="L1950" i="5"/>
  <c r="D1950" i="5"/>
  <c r="F1950" i="5" s="1"/>
  <c r="C1950" i="5"/>
  <c r="M1949" i="5"/>
  <c r="L1949" i="5"/>
  <c r="C1949" i="5"/>
  <c r="D1949" i="5" s="1"/>
  <c r="F1949" i="5" s="1"/>
  <c r="M1948" i="5"/>
  <c r="L1948" i="5"/>
  <c r="C1948" i="5"/>
  <c r="D1948" i="5" s="1"/>
  <c r="F1948" i="5" s="1"/>
  <c r="M1947" i="5"/>
  <c r="L1947" i="5"/>
  <c r="C1947" i="5"/>
  <c r="D1947" i="5" s="1"/>
  <c r="F1947" i="5" s="1"/>
  <c r="M1946" i="5"/>
  <c r="L1946" i="5"/>
  <c r="C1946" i="5"/>
  <c r="D1946" i="5" s="1"/>
  <c r="F1946" i="5" s="1"/>
  <c r="M1945" i="5"/>
  <c r="L1945" i="5"/>
  <c r="C1945" i="5"/>
  <c r="D1945" i="5" s="1"/>
  <c r="F1945" i="5" s="1"/>
  <c r="M1944" i="5"/>
  <c r="L1944" i="5"/>
  <c r="C1944" i="5"/>
  <c r="D1944" i="5" s="1"/>
  <c r="F1944" i="5" s="1"/>
  <c r="M1943" i="5"/>
  <c r="L1943" i="5"/>
  <c r="C1943" i="5"/>
  <c r="D1943" i="5" s="1"/>
  <c r="F1943" i="5" s="1"/>
  <c r="M1942" i="5"/>
  <c r="L1942" i="5"/>
  <c r="D1942" i="5"/>
  <c r="F1942" i="5" s="1"/>
  <c r="C1942" i="5"/>
  <c r="M1941" i="5"/>
  <c r="L1941" i="5"/>
  <c r="C1941" i="5"/>
  <c r="D1941" i="5" s="1"/>
  <c r="F1941" i="5" s="1"/>
  <c r="M1940" i="5"/>
  <c r="L1940" i="5"/>
  <c r="C1940" i="5"/>
  <c r="D1940" i="5" s="1"/>
  <c r="F1940" i="5" s="1"/>
  <c r="M1939" i="5"/>
  <c r="L1939" i="5"/>
  <c r="C1939" i="5"/>
  <c r="D1939" i="5" s="1"/>
  <c r="F1939" i="5" s="1"/>
  <c r="M1938" i="5"/>
  <c r="L1938" i="5"/>
  <c r="C1938" i="5"/>
  <c r="D1938" i="5" s="1"/>
  <c r="F1938" i="5" s="1"/>
  <c r="M1937" i="5"/>
  <c r="L1937" i="5"/>
  <c r="C1937" i="5"/>
  <c r="D1937" i="5" s="1"/>
  <c r="F1937" i="5" s="1"/>
  <c r="M1936" i="5"/>
  <c r="L1936" i="5"/>
  <c r="C1936" i="5"/>
  <c r="D1936" i="5" s="1"/>
  <c r="F1936" i="5" s="1"/>
  <c r="M1935" i="5"/>
  <c r="L1935" i="5"/>
  <c r="C1935" i="5"/>
  <c r="D1935" i="5" s="1"/>
  <c r="F1935" i="5" s="1"/>
  <c r="M1934" i="5"/>
  <c r="L1934" i="5"/>
  <c r="D1934" i="5"/>
  <c r="F1934" i="5" s="1"/>
  <c r="C1934" i="5"/>
  <c r="M1933" i="5"/>
  <c r="L1933" i="5"/>
  <c r="C1933" i="5"/>
  <c r="D1933" i="5" s="1"/>
  <c r="F1933" i="5" s="1"/>
  <c r="M1932" i="5"/>
  <c r="L1932" i="5"/>
  <c r="C1932" i="5"/>
  <c r="D1932" i="5" s="1"/>
  <c r="F1932" i="5" s="1"/>
  <c r="M1931" i="5"/>
  <c r="L1931" i="5"/>
  <c r="C1931" i="5"/>
  <c r="D1931" i="5" s="1"/>
  <c r="F1931" i="5" s="1"/>
  <c r="M1930" i="5"/>
  <c r="L1930" i="5"/>
  <c r="C1930" i="5"/>
  <c r="D1930" i="5" s="1"/>
  <c r="F1930" i="5" s="1"/>
  <c r="M1929" i="5"/>
  <c r="L1929" i="5"/>
  <c r="C1929" i="5"/>
  <c r="D1929" i="5" s="1"/>
  <c r="F1929" i="5" s="1"/>
  <c r="M1928" i="5"/>
  <c r="L1928" i="5"/>
  <c r="C1928" i="5"/>
  <c r="D1928" i="5" s="1"/>
  <c r="F1928" i="5" s="1"/>
  <c r="M1927" i="5"/>
  <c r="L1927" i="5"/>
  <c r="C1927" i="5"/>
  <c r="D1927" i="5" s="1"/>
  <c r="F1927" i="5" s="1"/>
  <c r="M1926" i="5"/>
  <c r="L1926" i="5"/>
  <c r="D1926" i="5"/>
  <c r="F1926" i="5" s="1"/>
  <c r="C1926" i="5"/>
  <c r="M1925" i="5"/>
  <c r="L1925" i="5"/>
  <c r="C1925" i="5"/>
  <c r="D1925" i="5" s="1"/>
  <c r="F1925" i="5" s="1"/>
  <c r="M1924" i="5"/>
  <c r="L1924" i="5"/>
  <c r="C1924" i="5"/>
  <c r="D1924" i="5" s="1"/>
  <c r="F1924" i="5" s="1"/>
  <c r="M1923" i="5"/>
  <c r="L1923" i="5"/>
  <c r="C1923" i="5"/>
  <c r="D1923" i="5" s="1"/>
  <c r="F1923" i="5" s="1"/>
  <c r="M1922" i="5"/>
  <c r="L1922" i="5"/>
  <c r="C1922" i="5"/>
  <c r="D1922" i="5" s="1"/>
  <c r="F1922" i="5" s="1"/>
  <c r="M1921" i="5"/>
  <c r="L1921" i="5"/>
  <c r="C1921" i="5"/>
  <c r="D1921" i="5" s="1"/>
  <c r="F1921" i="5" s="1"/>
  <c r="M1920" i="5"/>
  <c r="L1920" i="5"/>
  <c r="C1920" i="5"/>
  <c r="D1920" i="5" s="1"/>
  <c r="F1920" i="5" s="1"/>
  <c r="M1919" i="5"/>
  <c r="L1919" i="5"/>
  <c r="C1919" i="5"/>
  <c r="D1919" i="5" s="1"/>
  <c r="F1919" i="5" s="1"/>
  <c r="M1918" i="5"/>
  <c r="L1918" i="5"/>
  <c r="D1918" i="5"/>
  <c r="F1918" i="5" s="1"/>
  <c r="C1918" i="5"/>
  <c r="M1917" i="5"/>
  <c r="L1917" i="5"/>
  <c r="C1917" i="5"/>
  <c r="D1917" i="5" s="1"/>
  <c r="F1917" i="5" s="1"/>
  <c r="M1916" i="5"/>
  <c r="L1916" i="5"/>
  <c r="C1916" i="5"/>
  <c r="D1916" i="5" s="1"/>
  <c r="F1916" i="5" s="1"/>
  <c r="M1915" i="5"/>
  <c r="L1915" i="5"/>
  <c r="C1915" i="5"/>
  <c r="D1915" i="5" s="1"/>
  <c r="F1915" i="5" s="1"/>
  <c r="M1914" i="5"/>
  <c r="L1914" i="5"/>
  <c r="C1914" i="5"/>
  <c r="D1914" i="5" s="1"/>
  <c r="F1914" i="5" s="1"/>
  <c r="M1913" i="5"/>
  <c r="L1913" i="5"/>
  <c r="C1913" i="5"/>
  <c r="D1913" i="5" s="1"/>
  <c r="F1913" i="5" s="1"/>
  <c r="M1912" i="5"/>
  <c r="L1912" i="5"/>
  <c r="C1912" i="5"/>
  <c r="D1912" i="5" s="1"/>
  <c r="F1912" i="5" s="1"/>
  <c r="M1911" i="5"/>
  <c r="L1911" i="5"/>
  <c r="C1911" i="5"/>
  <c r="D1911" i="5" s="1"/>
  <c r="F1911" i="5" s="1"/>
  <c r="M1910" i="5"/>
  <c r="L1910" i="5"/>
  <c r="D1910" i="5"/>
  <c r="F1910" i="5" s="1"/>
  <c r="C1910" i="5"/>
  <c r="M1909" i="5"/>
  <c r="L1909" i="5"/>
  <c r="C1909" i="5"/>
  <c r="D1909" i="5" s="1"/>
  <c r="F1909" i="5" s="1"/>
  <c r="M1908" i="5"/>
  <c r="L1908" i="5"/>
  <c r="C1908" i="5"/>
  <c r="D1908" i="5" s="1"/>
  <c r="F1908" i="5" s="1"/>
  <c r="M1907" i="5"/>
  <c r="L1907" i="5"/>
  <c r="C1907" i="5"/>
  <c r="D1907" i="5" s="1"/>
  <c r="F1907" i="5" s="1"/>
  <c r="M1906" i="5"/>
  <c r="L1906" i="5"/>
  <c r="C1906" i="5"/>
  <c r="D1906" i="5" s="1"/>
  <c r="F1906" i="5" s="1"/>
  <c r="M1905" i="5"/>
  <c r="L1905" i="5"/>
  <c r="C1905" i="5"/>
  <c r="D1905" i="5" s="1"/>
  <c r="F1905" i="5" s="1"/>
  <c r="M1904" i="5"/>
  <c r="L1904" i="5"/>
  <c r="C1904" i="5"/>
  <c r="D1904" i="5" s="1"/>
  <c r="F1904" i="5" s="1"/>
  <c r="M1903" i="5"/>
  <c r="L1903" i="5"/>
  <c r="C1903" i="5"/>
  <c r="D1903" i="5" s="1"/>
  <c r="F1903" i="5" s="1"/>
  <c r="M1902" i="5"/>
  <c r="L1902" i="5"/>
  <c r="D1902" i="5"/>
  <c r="F1902" i="5" s="1"/>
  <c r="C1902" i="5"/>
  <c r="M1901" i="5"/>
  <c r="L1901" i="5"/>
  <c r="C1901" i="5"/>
  <c r="D1901" i="5" s="1"/>
  <c r="F1901" i="5" s="1"/>
  <c r="M1900" i="5"/>
  <c r="L1900" i="5"/>
  <c r="C1900" i="5"/>
  <c r="D1900" i="5" s="1"/>
  <c r="F1900" i="5" s="1"/>
  <c r="M1899" i="5"/>
  <c r="L1899" i="5"/>
  <c r="C1899" i="5"/>
  <c r="D1899" i="5" s="1"/>
  <c r="F1899" i="5" s="1"/>
  <c r="M1898" i="5"/>
  <c r="L1898" i="5"/>
  <c r="C1898" i="5"/>
  <c r="D1898" i="5" s="1"/>
  <c r="F1898" i="5" s="1"/>
  <c r="M1897" i="5"/>
  <c r="L1897" i="5"/>
  <c r="C1897" i="5"/>
  <c r="D1897" i="5" s="1"/>
  <c r="F1897" i="5" s="1"/>
  <c r="M1896" i="5"/>
  <c r="L1896" i="5"/>
  <c r="C1896" i="5"/>
  <c r="D1896" i="5" s="1"/>
  <c r="F1896" i="5" s="1"/>
  <c r="M1895" i="5"/>
  <c r="L1895" i="5"/>
  <c r="C1895" i="5"/>
  <c r="D1895" i="5" s="1"/>
  <c r="F1895" i="5" s="1"/>
  <c r="M1894" i="5"/>
  <c r="L1894" i="5"/>
  <c r="D1894" i="5"/>
  <c r="F1894" i="5" s="1"/>
  <c r="C1894" i="5"/>
  <c r="M1893" i="5"/>
  <c r="L1893" i="5"/>
  <c r="C1893" i="5"/>
  <c r="D1893" i="5" s="1"/>
  <c r="F1893" i="5" s="1"/>
  <c r="M1892" i="5"/>
  <c r="L1892" i="5"/>
  <c r="C1892" i="5"/>
  <c r="D1892" i="5" s="1"/>
  <c r="F1892" i="5" s="1"/>
  <c r="M1891" i="5"/>
  <c r="L1891" i="5"/>
  <c r="C1891" i="5"/>
  <c r="D1891" i="5" s="1"/>
  <c r="F1891" i="5" s="1"/>
  <c r="M1890" i="5"/>
  <c r="L1890" i="5"/>
  <c r="C1890" i="5"/>
  <c r="D1890" i="5" s="1"/>
  <c r="F1890" i="5" s="1"/>
  <c r="M1889" i="5"/>
  <c r="L1889" i="5"/>
  <c r="C1889" i="5"/>
  <c r="D1889" i="5" s="1"/>
  <c r="F1889" i="5" s="1"/>
  <c r="M1888" i="5"/>
  <c r="L1888" i="5"/>
  <c r="C1888" i="5"/>
  <c r="D1888" i="5" s="1"/>
  <c r="F1888" i="5" s="1"/>
  <c r="M1887" i="5"/>
  <c r="L1887" i="5"/>
  <c r="C1887" i="5"/>
  <c r="D1887" i="5" s="1"/>
  <c r="F1887" i="5" s="1"/>
  <c r="M1886" i="5"/>
  <c r="L1886" i="5"/>
  <c r="C1886" i="5"/>
  <c r="D1886" i="5" s="1"/>
  <c r="F1886" i="5" s="1"/>
  <c r="M1885" i="5"/>
  <c r="L1885" i="5"/>
  <c r="C1885" i="5"/>
  <c r="D1885" i="5" s="1"/>
  <c r="F1885" i="5" s="1"/>
  <c r="M1884" i="5"/>
  <c r="L1884" i="5"/>
  <c r="D1884" i="5"/>
  <c r="F1884" i="5" s="1"/>
  <c r="C1884" i="5"/>
  <c r="M1883" i="5"/>
  <c r="L1883" i="5"/>
  <c r="C1883" i="5"/>
  <c r="D1883" i="5" s="1"/>
  <c r="F1883" i="5" s="1"/>
  <c r="M1882" i="5"/>
  <c r="L1882" i="5"/>
  <c r="C1882" i="5"/>
  <c r="D1882" i="5" s="1"/>
  <c r="F1882" i="5" s="1"/>
  <c r="M1881" i="5"/>
  <c r="L1881" i="5"/>
  <c r="C1881" i="5"/>
  <c r="D1881" i="5" s="1"/>
  <c r="F1881" i="5" s="1"/>
  <c r="M1880" i="5"/>
  <c r="L1880" i="5"/>
  <c r="C1880" i="5"/>
  <c r="D1880" i="5" s="1"/>
  <c r="F1880" i="5" s="1"/>
  <c r="M1879" i="5"/>
  <c r="L1879" i="5"/>
  <c r="C1879" i="5"/>
  <c r="D1879" i="5" s="1"/>
  <c r="F1879" i="5" s="1"/>
  <c r="M1878" i="5"/>
  <c r="L1878" i="5"/>
  <c r="C1878" i="5"/>
  <c r="D1878" i="5" s="1"/>
  <c r="F1878" i="5" s="1"/>
  <c r="M1877" i="5"/>
  <c r="L1877" i="5"/>
  <c r="C1877" i="5"/>
  <c r="D1877" i="5" s="1"/>
  <c r="F1877" i="5" s="1"/>
  <c r="M1876" i="5"/>
  <c r="L1876" i="5"/>
  <c r="D1876" i="5"/>
  <c r="F1876" i="5" s="1"/>
  <c r="C1876" i="5"/>
  <c r="M1875" i="5"/>
  <c r="L1875" i="5"/>
  <c r="C1875" i="5"/>
  <c r="D1875" i="5" s="1"/>
  <c r="F1875" i="5" s="1"/>
  <c r="M1874" i="5"/>
  <c r="L1874" i="5"/>
  <c r="C1874" i="5"/>
  <c r="D1874" i="5" s="1"/>
  <c r="F1874" i="5" s="1"/>
  <c r="M1873" i="5"/>
  <c r="L1873" i="5"/>
  <c r="C1873" i="5"/>
  <c r="D1873" i="5" s="1"/>
  <c r="F1873" i="5" s="1"/>
  <c r="M1872" i="5"/>
  <c r="L1872" i="5"/>
  <c r="C1872" i="5"/>
  <c r="D1872" i="5" s="1"/>
  <c r="F1872" i="5" s="1"/>
  <c r="M1871" i="5"/>
  <c r="L1871" i="5"/>
  <c r="C1871" i="5"/>
  <c r="D1871" i="5" s="1"/>
  <c r="F1871" i="5" s="1"/>
  <c r="M1870" i="5"/>
  <c r="L1870" i="5"/>
  <c r="C1870" i="5"/>
  <c r="D1870" i="5" s="1"/>
  <c r="F1870" i="5" s="1"/>
  <c r="M1869" i="5"/>
  <c r="L1869" i="5"/>
  <c r="C1869" i="5"/>
  <c r="D1869" i="5" s="1"/>
  <c r="F1869" i="5" s="1"/>
  <c r="M1868" i="5"/>
  <c r="L1868" i="5"/>
  <c r="D1868" i="5"/>
  <c r="F1868" i="5" s="1"/>
  <c r="C1868" i="5"/>
  <c r="M1867" i="5"/>
  <c r="L1867" i="5"/>
  <c r="C1867" i="5"/>
  <c r="D1867" i="5" s="1"/>
  <c r="F1867" i="5" s="1"/>
  <c r="M1866" i="5"/>
  <c r="L1866" i="5"/>
  <c r="C1866" i="5"/>
  <c r="D1866" i="5" s="1"/>
  <c r="F1866" i="5" s="1"/>
  <c r="M1865" i="5"/>
  <c r="L1865" i="5"/>
  <c r="C1865" i="5"/>
  <c r="D1865" i="5" s="1"/>
  <c r="F1865" i="5" s="1"/>
  <c r="M1864" i="5"/>
  <c r="L1864" i="5"/>
  <c r="C1864" i="5"/>
  <c r="D1864" i="5" s="1"/>
  <c r="F1864" i="5" s="1"/>
  <c r="M1863" i="5"/>
  <c r="L1863" i="5"/>
  <c r="C1863" i="5"/>
  <c r="D1863" i="5" s="1"/>
  <c r="F1863" i="5" s="1"/>
  <c r="M1862" i="5"/>
  <c r="L1862" i="5"/>
  <c r="C1862" i="5"/>
  <c r="D1862" i="5" s="1"/>
  <c r="F1862" i="5" s="1"/>
  <c r="M1861" i="5"/>
  <c r="L1861" i="5"/>
  <c r="C1861" i="5"/>
  <c r="D1861" i="5" s="1"/>
  <c r="F1861" i="5" s="1"/>
  <c r="M1860" i="5"/>
  <c r="L1860" i="5"/>
  <c r="D1860" i="5"/>
  <c r="F1860" i="5" s="1"/>
  <c r="C1860" i="5"/>
  <c r="M1859" i="5"/>
  <c r="L1859" i="5"/>
  <c r="C1859" i="5"/>
  <c r="D1859" i="5" s="1"/>
  <c r="F1859" i="5" s="1"/>
  <c r="M1858" i="5"/>
  <c r="L1858" i="5"/>
  <c r="C1858" i="5"/>
  <c r="D1858" i="5" s="1"/>
  <c r="F1858" i="5" s="1"/>
  <c r="M1857" i="5"/>
  <c r="L1857" i="5"/>
  <c r="C1857" i="5"/>
  <c r="D1857" i="5" s="1"/>
  <c r="F1857" i="5" s="1"/>
  <c r="M1856" i="5"/>
  <c r="L1856" i="5"/>
  <c r="C1856" i="5"/>
  <c r="D1856" i="5" s="1"/>
  <c r="F1856" i="5" s="1"/>
  <c r="M1855" i="5"/>
  <c r="L1855" i="5"/>
  <c r="C1855" i="5"/>
  <c r="D1855" i="5" s="1"/>
  <c r="F1855" i="5" s="1"/>
  <c r="M1854" i="5"/>
  <c r="L1854" i="5"/>
  <c r="C1854" i="5"/>
  <c r="D1854" i="5" s="1"/>
  <c r="F1854" i="5" s="1"/>
  <c r="M1853" i="5"/>
  <c r="L1853" i="5"/>
  <c r="C1853" i="5"/>
  <c r="D1853" i="5" s="1"/>
  <c r="F1853" i="5" s="1"/>
  <c r="M1852" i="5"/>
  <c r="L1852" i="5"/>
  <c r="D1852" i="5"/>
  <c r="F1852" i="5" s="1"/>
  <c r="C1852" i="5"/>
  <c r="M1851" i="5"/>
  <c r="L1851" i="5"/>
  <c r="C1851" i="5"/>
  <c r="D1851" i="5" s="1"/>
  <c r="F1851" i="5" s="1"/>
  <c r="M1850" i="5"/>
  <c r="L1850" i="5"/>
  <c r="C1850" i="5"/>
  <c r="D1850" i="5" s="1"/>
  <c r="F1850" i="5" s="1"/>
  <c r="M1849" i="5"/>
  <c r="L1849" i="5"/>
  <c r="C1849" i="5"/>
  <c r="D1849" i="5" s="1"/>
  <c r="F1849" i="5" s="1"/>
  <c r="M1848" i="5"/>
  <c r="L1848" i="5"/>
  <c r="C1848" i="5"/>
  <c r="D1848" i="5" s="1"/>
  <c r="F1848" i="5" s="1"/>
  <c r="M1847" i="5"/>
  <c r="L1847" i="5"/>
  <c r="C1847" i="5"/>
  <c r="D1847" i="5" s="1"/>
  <c r="F1847" i="5" s="1"/>
  <c r="M1846" i="5"/>
  <c r="L1846" i="5"/>
  <c r="C1846" i="5"/>
  <c r="D1846" i="5" s="1"/>
  <c r="F1846" i="5" s="1"/>
  <c r="M1845" i="5"/>
  <c r="L1845" i="5"/>
  <c r="C1845" i="5"/>
  <c r="D1845" i="5" s="1"/>
  <c r="F1845" i="5" s="1"/>
  <c r="M1844" i="5"/>
  <c r="L1844" i="5"/>
  <c r="D1844" i="5"/>
  <c r="F1844" i="5" s="1"/>
  <c r="C1844" i="5"/>
  <c r="M1843" i="5"/>
  <c r="L1843" i="5"/>
  <c r="C1843" i="5"/>
  <c r="D1843" i="5" s="1"/>
  <c r="F1843" i="5" s="1"/>
  <c r="M1842" i="5"/>
  <c r="L1842" i="5"/>
  <c r="C1842" i="5"/>
  <c r="D1842" i="5" s="1"/>
  <c r="F1842" i="5" s="1"/>
  <c r="M1841" i="5"/>
  <c r="L1841" i="5"/>
  <c r="C1841" i="5"/>
  <c r="D1841" i="5" s="1"/>
  <c r="F1841" i="5" s="1"/>
  <c r="M1840" i="5"/>
  <c r="L1840" i="5"/>
  <c r="C1840" i="5"/>
  <c r="D1840" i="5" s="1"/>
  <c r="F1840" i="5" s="1"/>
  <c r="M1839" i="5"/>
  <c r="L1839" i="5"/>
  <c r="C1839" i="5"/>
  <c r="D1839" i="5" s="1"/>
  <c r="F1839" i="5" s="1"/>
  <c r="M1838" i="5"/>
  <c r="L1838" i="5"/>
  <c r="C1838" i="5"/>
  <c r="D1838" i="5" s="1"/>
  <c r="F1838" i="5" s="1"/>
  <c r="M1837" i="5"/>
  <c r="L1837" i="5"/>
  <c r="C1837" i="5"/>
  <c r="D1837" i="5" s="1"/>
  <c r="F1837" i="5" s="1"/>
  <c r="M1836" i="5"/>
  <c r="L1836" i="5"/>
  <c r="D1836" i="5"/>
  <c r="F1836" i="5" s="1"/>
  <c r="C1836" i="5"/>
  <c r="M1835" i="5"/>
  <c r="L1835" i="5"/>
  <c r="C1835" i="5"/>
  <c r="D1835" i="5" s="1"/>
  <c r="F1835" i="5" s="1"/>
  <c r="M1834" i="5"/>
  <c r="L1834" i="5"/>
  <c r="C1834" i="5"/>
  <c r="D1834" i="5" s="1"/>
  <c r="F1834" i="5" s="1"/>
  <c r="M1833" i="5"/>
  <c r="L1833" i="5"/>
  <c r="C1833" i="5"/>
  <c r="D1833" i="5" s="1"/>
  <c r="F1833" i="5" s="1"/>
  <c r="M1832" i="5"/>
  <c r="L1832" i="5"/>
  <c r="C1832" i="5"/>
  <c r="D1832" i="5" s="1"/>
  <c r="F1832" i="5" s="1"/>
  <c r="M1831" i="5"/>
  <c r="L1831" i="5"/>
  <c r="C1831" i="5"/>
  <c r="D1831" i="5" s="1"/>
  <c r="F1831" i="5" s="1"/>
  <c r="M1830" i="5"/>
  <c r="L1830" i="5"/>
  <c r="C1830" i="5"/>
  <c r="D1830" i="5" s="1"/>
  <c r="F1830" i="5" s="1"/>
  <c r="M1829" i="5"/>
  <c r="L1829" i="5"/>
  <c r="C1829" i="5"/>
  <c r="D1829" i="5" s="1"/>
  <c r="F1829" i="5" s="1"/>
  <c r="M1828" i="5"/>
  <c r="L1828" i="5"/>
  <c r="D1828" i="5"/>
  <c r="F1828" i="5" s="1"/>
  <c r="C1828" i="5"/>
  <c r="M1827" i="5"/>
  <c r="L1827" i="5"/>
  <c r="C1827" i="5"/>
  <c r="D1827" i="5" s="1"/>
  <c r="F1827" i="5" s="1"/>
  <c r="M1826" i="5"/>
  <c r="L1826" i="5"/>
  <c r="C1826" i="5"/>
  <c r="D1826" i="5" s="1"/>
  <c r="F1826" i="5" s="1"/>
  <c r="M1825" i="5"/>
  <c r="L1825" i="5"/>
  <c r="C1825" i="5"/>
  <c r="D1825" i="5" s="1"/>
  <c r="F1825" i="5" s="1"/>
  <c r="M1824" i="5"/>
  <c r="L1824" i="5"/>
  <c r="C1824" i="5"/>
  <c r="D1824" i="5" s="1"/>
  <c r="F1824" i="5" s="1"/>
  <c r="M1823" i="5"/>
  <c r="L1823" i="5"/>
  <c r="C1823" i="5"/>
  <c r="D1823" i="5" s="1"/>
  <c r="F1823" i="5" s="1"/>
  <c r="M1822" i="5"/>
  <c r="L1822" i="5"/>
  <c r="D1822" i="5"/>
  <c r="F1822" i="5" s="1"/>
  <c r="C1822" i="5"/>
  <c r="M1821" i="5"/>
  <c r="L1821" i="5"/>
  <c r="C1821" i="5"/>
  <c r="D1821" i="5" s="1"/>
  <c r="F1821" i="5" s="1"/>
  <c r="M1820" i="5"/>
  <c r="L1820" i="5"/>
  <c r="C1820" i="5"/>
  <c r="D1820" i="5" s="1"/>
  <c r="F1820" i="5" s="1"/>
  <c r="M1819" i="5"/>
  <c r="L1819" i="5"/>
  <c r="C1819" i="5"/>
  <c r="D1819" i="5" s="1"/>
  <c r="F1819" i="5" s="1"/>
  <c r="M1818" i="5"/>
  <c r="L1818" i="5"/>
  <c r="D1818" i="5"/>
  <c r="F1818" i="5" s="1"/>
  <c r="C1818" i="5"/>
  <c r="M1817" i="5"/>
  <c r="L1817" i="5"/>
  <c r="C1817" i="5"/>
  <c r="D1817" i="5" s="1"/>
  <c r="F1817" i="5" s="1"/>
  <c r="M1816" i="5"/>
  <c r="L1816" i="5"/>
  <c r="C1816" i="5"/>
  <c r="D1816" i="5" s="1"/>
  <c r="F1816" i="5" s="1"/>
  <c r="M1815" i="5"/>
  <c r="L1815" i="5"/>
  <c r="C1815" i="5"/>
  <c r="D1815" i="5" s="1"/>
  <c r="F1815" i="5" s="1"/>
  <c r="M1814" i="5"/>
  <c r="L1814" i="5"/>
  <c r="D1814" i="5"/>
  <c r="F1814" i="5" s="1"/>
  <c r="C1814" i="5"/>
  <c r="M1813" i="5"/>
  <c r="L1813" i="5"/>
  <c r="C1813" i="5"/>
  <c r="D1813" i="5" s="1"/>
  <c r="F1813" i="5" s="1"/>
  <c r="M1812" i="5"/>
  <c r="L1812" i="5"/>
  <c r="C1812" i="5"/>
  <c r="D1812" i="5" s="1"/>
  <c r="F1812" i="5" s="1"/>
  <c r="M1811" i="5"/>
  <c r="L1811" i="5"/>
  <c r="C1811" i="5"/>
  <c r="D1811" i="5" s="1"/>
  <c r="F1811" i="5" s="1"/>
  <c r="M1810" i="5"/>
  <c r="L1810" i="5"/>
  <c r="C1810" i="5"/>
  <c r="D1810" i="5" s="1"/>
  <c r="F1810" i="5" s="1"/>
  <c r="M1809" i="5"/>
  <c r="L1809" i="5"/>
  <c r="C1809" i="5"/>
  <c r="D1809" i="5" s="1"/>
  <c r="F1809" i="5" s="1"/>
  <c r="M1808" i="5"/>
  <c r="L1808" i="5"/>
  <c r="D1808" i="5"/>
  <c r="F1808" i="5" s="1"/>
  <c r="C1808" i="5"/>
  <c r="M1807" i="5"/>
  <c r="L1807" i="5"/>
  <c r="C1807" i="5"/>
  <c r="D1807" i="5" s="1"/>
  <c r="F1807" i="5" s="1"/>
  <c r="M1806" i="5"/>
  <c r="L1806" i="5"/>
  <c r="C1806" i="5"/>
  <c r="D1806" i="5" s="1"/>
  <c r="F1806" i="5" s="1"/>
  <c r="M1805" i="5"/>
  <c r="L1805" i="5"/>
  <c r="C1805" i="5"/>
  <c r="D1805" i="5" s="1"/>
  <c r="F1805" i="5" s="1"/>
  <c r="M1804" i="5"/>
  <c r="L1804" i="5"/>
  <c r="C1804" i="5"/>
  <c r="D1804" i="5" s="1"/>
  <c r="F1804" i="5" s="1"/>
  <c r="M1803" i="5"/>
  <c r="L1803" i="5"/>
  <c r="C1803" i="5"/>
  <c r="D1803" i="5" s="1"/>
  <c r="F1803" i="5" s="1"/>
  <c r="M1802" i="5"/>
  <c r="L1802" i="5"/>
  <c r="C1802" i="5"/>
  <c r="D1802" i="5" s="1"/>
  <c r="F1802" i="5" s="1"/>
  <c r="M1801" i="5"/>
  <c r="L1801" i="5"/>
  <c r="C1801" i="5"/>
  <c r="D1801" i="5" s="1"/>
  <c r="F1801" i="5" s="1"/>
  <c r="M1800" i="5"/>
  <c r="L1800" i="5"/>
  <c r="D1800" i="5"/>
  <c r="F1800" i="5" s="1"/>
  <c r="C1800" i="5"/>
  <c r="M1799" i="5"/>
  <c r="L1799" i="5"/>
  <c r="C1799" i="5"/>
  <c r="D1799" i="5" s="1"/>
  <c r="F1799" i="5" s="1"/>
  <c r="M1798" i="5"/>
  <c r="L1798" i="5"/>
  <c r="C1798" i="5"/>
  <c r="D1798" i="5" s="1"/>
  <c r="F1798" i="5" s="1"/>
  <c r="M1797" i="5"/>
  <c r="L1797" i="5"/>
  <c r="C1797" i="5"/>
  <c r="D1797" i="5" s="1"/>
  <c r="F1797" i="5" s="1"/>
  <c r="M1796" i="5"/>
  <c r="L1796" i="5"/>
  <c r="C1796" i="5"/>
  <c r="D1796" i="5" s="1"/>
  <c r="F1796" i="5" s="1"/>
  <c r="M1795" i="5"/>
  <c r="L1795" i="5"/>
  <c r="C1795" i="5"/>
  <c r="D1795" i="5" s="1"/>
  <c r="F1795" i="5" s="1"/>
  <c r="M1794" i="5"/>
  <c r="L1794" i="5"/>
  <c r="C1794" i="5"/>
  <c r="D1794" i="5" s="1"/>
  <c r="F1794" i="5" s="1"/>
  <c r="M1793" i="5"/>
  <c r="L1793" i="5"/>
  <c r="C1793" i="5"/>
  <c r="D1793" i="5" s="1"/>
  <c r="F1793" i="5" s="1"/>
  <c r="M1792" i="5"/>
  <c r="L1792" i="5"/>
  <c r="D1792" i="5"/>
  <c r="F1792" i="5" s="1"/>
  <c r="C1792" i="5"/>
  <c r="M1791" i="5"/>
  <c r="L1791" i="5"/>
  <c r="C1791" i="5"/>
  <c r="D1791" i="5" s="1"/>
  <c r="F1791" i="5" s="1"/>
  <c r="M1790" i="5"/>
  <c r="L1790" i="5"/>
  <c r="C1790" i="5"/>
  <c r="D1790" i="5" s="1"/>
  <c r="F1790" i="5" s="1"/>
  <c r="M1789" i="5"/>
  <c r="L1789" i="5"/>
  <c r="C1789" i="5"/>
  <c r="D1789" i="5" s="1"/>
  <c r="F1789" i="5" s="1"/>
  <c r="M1788" i="5"/>
  <c r="L1788" i="5"/>
  <c r="C1788" i="5"/>
  <c r="D1788" i="5" s="1"/>
  <c r="F1788" i="5" s="1"/>
  <c r="M1787" i="5"/>
  <c r="L1787" i="5"/>
  <c r="C1787" i="5"/>
  <c r="D1787" i="5" s="1"/>
  <c r="F1787" i="5" s="1"/>
  <c r="M1786" i="5"/>
  <c r="L1786" i="5"/>
  <c r="C1786" i="5"/>
  <c r="D1786" i="5" s="1"/>
  <c r="F1786" i="5" s="1"/>
  <c r="M1785" i="5"/>
  <c r="L1785" i="5"/>
  <c r="C1785" i="5"/>
  <c r="D1785" i="5" s="1"/>
  <c r="F1785" i="5" s="1"/>
  <c r="M1784" i="5"/>
  <c r="L1784" i="5"/>
  <c r="D1784" i="5"/>
  <c r="F1784" i="5" s="1"/>
  <c r="C1784" i="5"/>
  <c r="M1783" i="5"/>
  <c r="L1783" i="5"/>
  <c r="C1783" i="5"/>
  <c r="D1783" i="5" s="1"/>
  <c r="F1783" i="5" s="1"/>
  <c r="M1782" i="5"/>
  <c r="L1782" i="5"/>
  <c r="C1782" i="5"/>
  <c r="D1782" i="5" s="1"/>
  <c r="F1782" i="5" s="1"/>
  <c r="M1781" i="5"/>
  <c r="L1781" i="5"/>
  <c r="C1781" i="5"/>
  <c r="D1781" i="5" s="1"/>
  <c r="F1781" i="5" s="1"/>
  <c r="M1780" i="5"/>
  <c r="L1780" i="5"/>
  <c r="C1780" i="5"/>
  <c r="D1780" i="5" s="1"/>
  <c r="F1780" i="5" s="1"/>
  <c r="M1779" i="5"/>
  <c r="L1779" i="5"/>
  <c r="C1779" i="5"/>
  <c r="D1779" i="5" s="1"/>
  <c r="F1779" i="5" s="1"/>
  <c r="M1778" i="5"/>
  <c r="L1778" i="5"/>
  <c r="C1778" i="5"/>
  <c r="D1778" i="5" s="1"/>
  <c r="F1778" i="5" s="1"/>
  <c r="M1777" i="5"/>
  <c r="L1777" i="5"/>
  <c r="C1777" i="5"/>
  <c r="D1777" i="5" s="1"/>
  <c r="F1777" i="5" s="1"/>
  <c r="M1776" i="5"/>
  <c r="L1776" i="5"/>
  <c r="D1776" i="5"/>
  <c r="F1776" i="5" s="1"/>
  <c r="C1776" i="5"/>
  <c r="M1775" i="5"/>
  <c r="L1775" i="5"/>
  <c r="C1775" i="5"/>
  <c r="D1775" i="5" s="1"/>
  <c r="F1775" i="5" s="1"/>
  <c r="M1774" i="5"/>
  <c r="L1774" i="5"/>
  <c r="C1774" i="5"/>
  <c r="D1774" i="5" s="1"/>
  <c r="F1774" i="5" s="1"/>
  <c r="M1773" i="5"/>
  <c r="L1773" i="5"/>
  <c r="C1773" i="5"/>
  <c r="D1773" i="5" s="1"/>
  <c r="F1773" i="5" s="1"/>
  <c r="M1772" i="5"/>
  <c r="L1772" i="5"/>
  <c r="C1772" i="5"/>
  <c r="D1772" i="5" s="1"/>
  <c r="F1772" i="5" s="1"/>
  <c r="M1771" i="5"/>
  <c r="L1771" i="5"/>
  <c r="C1771" i="5"/>
  <c r="D1771" i="5" s="1"/>
  <c r="F1771" i="5" s="1"/>
  <c r="M1770" i="5"/>
  <c r="L1770" i="5"/>
  <c r="C1770" i="5"/>
  <c r="D1770" i="5" s="1"/>
  <c r="F1770" i="5" s="1"/>
  <c r="M1769" i="5"/>
  <c r="L1769" i="5"/>
  <c r="D1769" i="5"/>
  <c r="F1769" i="5" s="1"/>
  <c r="C1769" i="5"/>
  <c r="M1768" i="5"/>
  <c r="L1768" i="5"/>
  <c r="C1768" i="5"/>
  <c r="D1768" i="5" s="1"/>
  <c r="F1768" i="5" s="1"/>
  <c r="M1767" i="5"/>
  <c r="L1767" i="5"/>
  <c r="C1767" i="5"/>
  <c r="D1767" i="5" s="1"/>
  <c r="F1767" i="5" s="1"/>
  <c r="M1766" i="5"/>
  <c r="L1766" i="5"/>
  <c r="C1766" i="5"/>
  <c r="D1766" i="5" s="1"/>
  <c r="F1766" i="5" s="1"/>
  <c r="M1765" i="5"/>
  <c r="L1765" i="5"/>
  <c r="C1765" i="5"/>
  <c r="D1765" i="5" s="1"/>
  <c r="F1765" i="5" s="1"/>
  <c r="M1764" i="5"/>
  <c r="L1764" i="5"/>
  <c r="C1764" i="5"/>
  <c r="D1764" i="5" s="1"/>
  <c r="F1764" i="5" s="1"/>
  <c r="M1763" i="5"/>
  <c r="L1763" i="5"/>
  <c r="C1763" i="5"/>
  <c r="D1763" i="5" s="1"/>
  <c r="F1763" i="5" s="1"/>
  <c r="M1762" i="5"/>
  <c r="L1762" i="5"/>
  <c r="C1762" i="5"/>
  <c r="D1762" i="5" s="1"/>
  <c r="F1762" i="5" s="1"/>
  <c r="M1761" i="5"/>
  <c r="L1761" i="5"/>
  <c r="D1761" i="5"/>
  <c r="F1761" i="5" s="1"/>
  <c r="C1761" i="5"/>
  <c r="M1760" i="5"/>
  <c r="L1760" i="5"/>
  <c r="C1760" i="5"/>
  <c r="D1760" i="5" s="1"/>
  <c r="F1760" i="5" s="1"/>
  <c r="M1759" i="5"/>
  <c r="L1759" i="5"/>
  <c r="C1759" i="5"/>
  <c r="D1759" i="5" s="1"/>
  <c r="F1759" i="5" s="1"/>
  <c r="M1758" i="5"/>
  <c r="L1758" i="5"/>
  <c r="C1758" i="5"/>
  <c r="D1758" i="5" s="1"/>
  <c r="F1758" i="5" s="1"/>
  <c r="M1757" i="5"/>
  <c r="L1757" i="5"/>
  <c r="C1757" i="5"/>
  <c r="D1757" i="5" s="1"/>
  <c r="F1757" i="5" s="1"/>
  <c r="M1756" i="5"/>
  <c r="L1756" i="5"/>
  <c r="C1756" i="5"/>
  <c r="D1756" i="5" s="1"/>
  <c r="F1756" i="5" s="1"/>
  <c r="M1755" i="5"/>
  <c r="L1755" i="5"/>
  <c r="C1755" i="5"/>
  <c r="D1755" i="5" s="1"/>
  <c r="F1755" i="5" s="1"/>
  <c r="M1754" i="5"/>
  <c r="L1754" i="5"/>
  <c r="C1754" i="5"/>
  <c r="D1754" i="5" s="1"/>
  <c r="F1754" i="5" s="1"/>
  <c r="M1753" i="5"/>
  <c r="L1753" i="5"/>
  <c r="D1753" i="5"/>
  <c r="F1753" i="5" s="1"/>
  <c r="C1753" i="5"/>
  <c r="M1752" i="5"/>
  <c r="L1752" i="5"/>
  <c r="C1752" i="5"/>
  <c r="D1752" i="5" s="1"/>
  <c r="F1752" i="5" s="1"/>
  <c r="M1751" i="5"/>
  <c r="L1751" i="5"/>
  <c r="C1751" i="5"/>
  <c r="D1751" i="5" s="1"/>
  <c r="F1751" i="5" s="1"/>
  <c r="M1750" i="5"/>
  <c r="L1750" i="5"/>
  <c r="C1750" i="5"/>
  <c r="D1750" i="5" s="1"/>
  <c r="F1750" i="5" s="1"/>
  <c r="M1749" i="5"/>
  <c r="L1749" i="5"/>
  <c r="C1749" i="5"/>
  <c r="D1749" i="5" s="1"/>
  <c r="F1749" i="5" s="1"/>
  <c r="M1748" i="5"/>
  <c r="L1748" i="5"/>
  <c r="C1748" i="5"/>
  <c r="D1748" i="5" s="1"/>
  <c r="F1748" i="5" s="1"/>
  <c r="M1747" i="5"/>
  <c r="L1747" i="5"/>
  <c r="C1747" i="5"/>
  <c r="D1747" i="5" s="1"/>
  <c r="F1747" i="5" s="1"/>
  <c r="M1746" i="5"/>
  <c r="L1746" i="5"/>
  <c r="C1746" i="5"/>
  <c r="D1746" i="5" s="1"/>
  <c r="F1746" i="5" s="1"/>
  <c r="M1745" i="5"/>
  <c r="L1745" i="5"/>
  <c r="D1745" i="5"/>
  <c r="F1745" i="5" s="1"/>
  <c r="C1745" i="5"/>
  <c r="M1744" i="5"/>
  <c r="L1744" i="5"/>
  <c r="C1744" i="5"/>
  <c r="D1744" i="5" s="1"/>
  <c r="F1744" i="5" s="1"/>
  <c r="M1743" i="5"/>
  <c r="L1743" i="5"/>
  <c r="C1743" i="5"/>
  <c r="D1743" i="5" s="1"/>
  <c r="F1743" i="5" s="1"/>
  <c r="M1742" i="5"/>
  <c r="L1742" i="5"/>
  <c r="C1742" i="5"/>
  <c r="D1742" i="5" s="1"/>
  <c r="F1742" i="5" s="1"/>
  <c r="M1741" i="5"/>
  <c r="L1741" i="5"/>
  <c r="C1741" i="5"/>
  <c r="D1741" i="5" s="1"/>
  <c r="F1741" i="5" s="1"/>
  <c r="M1740" i="5"/>
  <c r="L1740" i="5"/>
  <c r="C1740" i="5"/>
  <c r="D1740" i="5" s="1"/>
  <c r="F1740" i="5" s="1"/>
  <c r="M1739" i="5"/>
  <c r="L1739" i="5"/>
  <c r="C1739" i="5"/>
  <c r="D1739" i="5" s="1"/>
  <c r="F1739" i="5" s="1"/>
  <c r="M1738" i="5"/>
  <c r="L1738" i="5"/>
  <c r="C1738" i="5"/>
  <c r="D1738" i="5" s="1"/>
  <c r="F1738" i="5" s="1"/>
  <c r="M1737" i="5"/>
  <c r="L1737" i="5"/>
  <c r="D1737" i="5"/>
  <c r="F1737" i="5" s="1"/>
  <c r="C1737" i="5"/>
  <c r="M1736" i="5"/>
  <c r="L1736" i="5"/>
  <c r="C1736" i="5"/>
  <c r="D1736" i="5" s="1"/>
  <c r="F1736" i="5" s="1"/>
  <c r="M1735" i="5"/>
  <c r="L1735" i="5"/>
  <c r="C1735" i="5"/>
  <c r="D1735" i="5" s="1"/>
  <c r="F1735" i="5" s="1"/>
  <c r="M1734" i="5"/>
  <c r="L1734" i="5"/>
  <c r="C1734" i="5"/>
  <c r="D1734" i="5" s="1"/>
  <c r="F1734" i="5" s="1"/>
  <c r="M1733" i="5"/>
  <c r="L1733" i="5"/>
  <c r="C1733" i="5"/>
  <c r="D1733" i="5" s="1"/>
  <c r="F1733" i="5" s="1"/>
  <c r="M1732" i="5"/>
  <c r="L1732" i="5"/>
  <c r="C1732" i="5"/>
  <c r="D1732" i="5" s="1"/>
  <c r="F1732" i="5" s="1"/>
  <c r="M1731" i="5"/>
  <c r="L1731" i="5"/>
  <c r="C1731" i="5"/>
  <c r="D1731" i="5" s="1"/>
  <c r="F1731" i="5" s="1"/>
  <c r="M1730" i="5"/>
  <c r="L1730" i="5"/>
  <c r="C1730" i="5"/>
  <c r="D1730" i="5" s="1"/>
  <c r="F1730" i="5" s="1"/>
  <c r="M1729" i="5"/>
  <c r="L1729" i="5"/>
  <c r="D1729" i="5"/>
  <c r="F1729" i="5" s="1"/>
  <c r="C1729" i="5"/>
  <c r="M1728" i="5"/>
  <c r="L1728" i="5"/>
  <c r="C1728" i="5"/>
  <c r="D1728" i="5" s="1"/>
  <c r="F1728" i="5" s="1"/>
  <c r="M1727" i="5"/>
  <c r="L1727" i="5"/>
  <c r="C1727" i="5"/>
  <c r="D1727" i="5" s="1"/>
  <c r="F1727" i="5" s="1"/>
  <c r="M1726" i="5"/>
  <c r="L1726" i="5"/>
  <c r="C1726" i="5"/>
  <c r="D1726" i="5" s="1"/>
  <c r="F1726" i="5" s="1"/>
  <c r="M1725" i="5"/>
  <c r="L1725" i="5"/>
  <c r="C1725" i="5"/>
  <c r="D1725" i="5" s="1"/>
  <c r="F1725" i="5" s="1"/>
  <c r="M1724" i="5"/>
  <c r="L1724" i="5"/>
  <c r="C1724" i="5"/>
  <c r="D1724" i="5" s="1"/>
  <c r="F1724" i="5" s="1"/>
  <c r="M1723" i="5"/>
  <c r="L1723" i="5"/>
  <c r="C1723" i="5"/>
  <c r="D1723" i="5" s="1"/>
  <c r="F1723" i="5" s="1"/>
  <c r="M1722" i="5"/>
  <c r="L1722" i="5"/>
  <c r="C1722" i="5"/>
  <c r="D1722" i="5" s="1"/>
  <c r="F1722" i="5" s="1"/>
  <c r="M1721" i="5"/>
  <c r="L1721" i="5"/>
  <c r="D1721" i="5"/>
  <c r="F1721" i="5" s="1"/>
  <c r="C1721" i="5"/>
  <c r="M1720" i="5"/>
  <c r="L1720" i="5"/>
  <c r="C1720" i="5"/>
  <c r="D1720" i="5" s="1"/>
  <c r="F1720" i="5" s="1"/>
  <c r="M1719" i="5"/>
  <c r="L1719" i="5"/>
  <c r="C1719" i="5"/>
  <c r="D1719" i="5" s="1"/>
  <c r="F1719" i="5" s="1"/>
  <c r="M1718" i="5"/>
  <c r="L1718" i="5"/>
  <c r="C1718" i="5"/>
  <c r="D1718" i="5" s="1"/>
  <c r="F1718" i="5" s="1"/>
  <c r="M1717" i="5"/>
  <c r="L1717" i="5"/>
  <c r="C1717" i="5"/>
  <c r="D1717" i="5" s="1"/>
  <c r="F1717" i="5" s="1"/>
  <c r="M1716" i="5"/>
  <c r="L1716" i="5"/>
  <c r="C1716" i="5"/>
  <c r="D1716" i="5" s="1"/>
  <c r="F1716" i="5" s="1"/>
  <c r="M1715" i="5"/>
  <c r="L1715" i="5"/>
  <c r="C1715" i="5"/>
  <c r="D1715" i="5" s="1"/>
  <c r="F1715" i="5" s="1"/>
  <c r="M1714" i="5"/>
  <c r="L1714" i="5"/>
  <c r="C1714" i="5"/>
  <c r="D1714" i="5" s="1"/>
  <c r="F1714" i="5" s="1"/>
  <c r="M1713" i="5"/>
  <c r="L1713" i="5"/>
  <c r="D1713" i="5"/>
  <c r="F1713" i="5" s="1"/>
  <c r="C1713" i="5"/>
  <c r="M1712" i="5"/>
  <c r="L1712" i="5"/>
  <c r="C1712" i="5"/>
  <c r="D1712" i="5" s="1"/>
  <c r="F1712" i="5" s="1"/>
  <c r="M1711" i="5"/>
  <c r="L1711" i="5"/>
  <c r="C1711" i="5"/>
  <c r="D1711" i="5" s="1"/>
  <c r="F1711" i="5" s="1"/>
  <c r="M1710" i="5"/>
  <c r="L1710" i="5"/>
  <c r="C1710" i="5"/>
  <c r="D1710" i="5" s="1"/>
  <c r="F1710" i="5" s="1"/>
  <c r="M1709" i="5"/>
  <c r="L1709" i="5"/>
  <c r="C1709" i="5"/>
  <c r="D1709" i="5" s="1"/>
  <c r="F1709" i="5" s="1"/>
  <c r="M1708" i="5"/>
  <c r="L1708" i="5"/>
  <c r="C1708" i="5"/>
  <c r="D1708" i="5" s="1"/>
  <c r="F1708" i="5" s="1"/>
  <c r="M1707" i="5"/>
  <c r="L1707" i="5"/>
  <c r="C1707" i="5"/>
  <c r="D1707" i="5" s="1"/>
  <c r="F1707" i="5" s="1"/>
  <c r="M1706" i="5"/>
  <c r="L1706" i="5"/>
  <c r="C1706" i="5"/>
  <c r="D1706" i="5" s="1"/>
  <c r="F1706" i="5" s="1"/>
  <c r="M1705" i="5"/>
  <c r="L1705" i="5"/>
  <c r="D1705" i="5"/>
  <c r="F1705" i="5" s="1"/>
  <c r="C1705" i="5"/>
  <c r="M1704" i="5"/>
  <c r="L1704" i="5"/>
  <c r="C1704" i="5"/>
  <c r="D1704" i="5" s="1"/>
  <c r="F1704" i="5" s="1"/>
  <c r="M1703" i="5"/>
  <c r="L1703" i="5"/>
  <c r="C1703" i="5"/>
  <c r="D1703" i="5" s="1"/>
  <c r="F1703" i="5" s="1"/>
  <c r="M1702" i="5"/>
  <c r="L1702" i="5"/>
  <c r="C1702" i="5"/>
  <c r="D1702" i="5" s="1"/>
  <c r="F1702" i="5" s="1"/>
  <c r="M1701" i="5"/>
  <c r="L1701" i="5"/>
  <c r="C1701" i="5"/>
  <c r="D1701" i="5" s="1"/>
  <c r="F1701" i="5" s="1"/>
  <c r="M1700" i="5"/>
  <c r="L1700" i="5"/>
  <c r="C1700" i="5"/>
  <c r="D1700" i="5" s="1"/>
  <c r="F1700" i="5" s="1"/>
  <c r="M1699" i="5"/>
  <c r="L1699" i="5"/>
  <c r="C1699" i="5"/>
  <c r="D1699" i="5" s="1"/>
  <c r="F1699" i="5" s="1"/>
  <c r="M1698" i="5"/>
  <c r="L1698" i="5"/>
  <c r="C1698" i="5"/>
  <c r="D1698" i="5" s="1"/>
  <c r="F1698" i="5" s="1"/>
  <c r="M1697" i="5"/>
  <c r="L1697" i="5"/>
  <c r="D1697" i="5"/>
  <c r="F1697" i="5" s="1"/>
  <c r="C1697" i="5"/>
  <c r="M1696" i="5"/>
  <c r="L1696" i="5"/>
  <c r="C1696" i="5"/>
  <c r="D1696" i="5" s="1"/>
  <c r="F1696" i="5" s="1"/>
  <c r="M1695" i="5"/>
  <c r="L1695" i="5"/>
  <c r="C1695" i="5"/>
  <c r="D1695" i="5" s="1"/>
  <c r="F1695" i="5" s="1"/>
  <c r="M1694" i="5"/>
  <c r="L1694" i="5"/>
  <c r="C1694" i="5"/>
  <c r="D1694" i="5" s="1"/>
  <c r="F1694" i="5" s="1"/>
  <c r="M1693" i="5"/>
  <c r="L1693" i="5"/>
  <c r="C1693" i="5"/>
  <c r="D1693" i="5" s="1"/>
  <c r="F1693" i="5" s="1"/>
  <c r="M1692" i="5"/>
  <c r="L1692" i="5"/>
  <c r="C1692" i="5"/>
  <c r="D1692" i="5" s="1"/>
  <c r="F1692" i="5" s="1"/>
  <c r="M1691" i="5"/>
  <c r="L1691" i="5"/>
  <c r="C1691" i="5"/>
  <c r="D1691" i="5" s="1"/>
  <c r="F1691" i="5" s="1"/>
  <c r="M1690" i="5"/>
  <c r="L1690" i="5"/>
  <c r="C1690" i="5"/>
  <c r="D1690" i="5" s="1"/>
  <c r="F1690" i="5" s="1"/>
  <c r="M1689" i="5"/>
  <c r="L1689" i="5"/>
  <c r="D1689" i="5"/>
  <c r="F1689" i="5" s="1"/>
  <c r="C1689" i="5"/>
  <c r="M1688" i="5"/>
  <c r="L1688" i="5"/>
  <c r="C1688" i="5"/>
  <c r="D1688" i="5" s="1"/>
  <c r="F1688" i="5" s="1"/>
  <c r="M1687" i="5"/>
  <c r="L1687" i="5"/>
  <c r="C1687" i="5"/>
  <c r="D1687" i="5" s="1"/>
  <c r="F1687" i="5" s="1"/>
  <c r="M1686" i="5"/>
  <c r="L1686" i="5"/>
  <c r="C1686" i="5"/>
  <c r="D1686" i="5" s="1"/>
  <c r="F1686" i="5" s="1"/>
  <c r="M1685" i="5"/>
  <c r="L1685" i="5"/>
  <c r="C1685" i="5"/>
  <c r="D1685" i="5" s="1"/>
  <c r="F1685" i="5" s="1"/>
  <c r="M1684" i="5"/>
  <c r="L1684" i="5"/>
  <c r="C1684" i="5"/>
  <c r="D1684" i="5" s="1"/>
  <c r="F1684" i="5" s="1"/>
  <c r="M1683" i="5"/>
  <c r="L1683" i="5"/>
  <c r="C1683" i="5"/>
  <c r="D1683" i="5" s="1"/>
  <c r="F1683" i="5" s="1"/>
  <c r="M1682" i="5"/>
  <c r="L1682" i="5"/>
  <c r="C1682" i="5"/>
  <c r="D1682" i="5" s="1"/>
  <c r="F1682" i="5" s="1"/>
  <c r="M1681" i="5"/>
  <c r="L1681" i="5"/>
  <c r="D1681" i="5"/>
  <c r="F1681" i="5" s="1"/>
  <c r="C1681" i="5"/>
  <c r="M1680" i="5"/>
  <c r="L1680" i="5"/>
  <c r="C1680" i="5"/>
  <c r="D1680" i="5" s="1"/>
  <c r="F1680" i="5" s="1"/>
  <c r="M1679" i="5"/>
  <c r="L1679" i="5"/>
  <c r="C1679" i="5"/>
  <c r="D1679" i="5" s="1"/>
  <c r="F1679" i="5" s="1"/>
  <c r="M1678" i="5"/>
  <c r="L1678" i="5"/>
  <c r="C1678" i="5"/>
  <c r="D1678" i="5" s="1"/>
  <c r="F1678" i="5" s="1"/>
  <c r="M1677" i="5"/>
  <c r="L1677" i="5"/>
  <c r="C1677" i="5"/>
  <c r="D1677" i="5" s="1"/>
  <c r="F1677" i="5" s="1"/>
  <c r="M1676" i="5"/>
  <c r="L1676" i="5"/>
  <c r="C1676" i="5"/>
  <c r="D1676" i="5" s="1"/>
  <c r="F1676" i="5" s="1"/>
  <c r="M1675" i="5"/>
  <c r="L1675" i="5"/>
  <c r="C1675" i="5"/>
  <c r="D1675" i="5" s="1"/>
  <c r="F1675" i="5" s="1"/>
  <c r="M1674" i="5"/>
  <c r="L1674" i="5"/>
  <c r="C1674" i="5"/>
  <c r="D1674" i="5" s="1"/>
  <c r="F1674" i="5" s="1"/>
  <c r="M1673" i="5"/>
  <c r="L1673" i="5"/>
  <c r="D1673" i="5"/>
  <c r="F1673" i="5" s="1"/>
  <c r="C1673" i="5"/>
  <c r="M1672" i="5"/>
  <c r="L1672" i="5"/>
  <c r="C1672" i="5"/>
  <c r="D1672" i="5" s="1"/>
  <c r="F1672" i="5" s="1"/>
  <c r="M1671" i="5"/>
  <c r="L1671" i="5"/>
  <c r="C1671" i="5"/>
  <c r="D1671" i="5" s="1"/>
  <c r="F1671" i="5" s="1"/>
  <c r="M1670" i="5"/>
  <c r="L1670" i="5"/>
  <c r="C1670" i="5"/>
  <c r="D1670" i="5" s="1"/>
  <c r="F1670" i="5" s="1"/>
  <c r="M1669" i="5"/>
  <c r="L1669" i="5"/>
  <c r="C1669" i="5"/>
  <c r="D1669" i="5" s="1"/>
  <c r="F1669" i="5" s="1"/>
  <c r="M1668" i="5"/>
  <c r="L1668" i="5"/>
  <c r="C1668" i="5"/>
  <c r="D1668" i="5" s="1"/>
  <c r="F1668" i="5" s="1"/>
  <c r="M1667" i="5"/>
  <c r="L1667" i="5"/>
  <c r="C1667" i="5"/>
  <c r="D1667" i="5" s="1"/>
  <c r="F1667" i="5" s="1"/>
  <c r="M1666" i="5"/>
  <c r="L1666" i="5"/>
  <c r="C1666" i="5"/>
  <c r="D1666" i="5" s="1"/>
  <c r="F1666" i="5" s="1"/>
  <c r="M1665" i="5"/>
  <c r="L1665" i="5"/>
  <c r="D1665" i="5"/>
  <c r="F1665" i="5" s="1"/>
  <c r="C1665" i="5"/>
  <c r="M1664" i="5"/>
  <c r="L1664" i="5"/>
  <c r="F1664" i="5"/>
  <c r="C1664" i="5"/>
  <c r="D1664" i="5" s="1"/>
  <c r="M1663" i="5"/>
  <c r="L1663" i="5"/>
  <c r="D1663" i="5"/>
  <c r="F1663" i="5" s="1"/>
  <c r="C1663" i="5"/>
  <c r="M1662" i="5"/>
  <c r="L1662" i="5"/>
  <c r="F1662" i="5"/>
  <c r="C1662" i="5"/>
  <c r="D1662" i="5" s="1"/>
  <c r="M1661" i="5"/>
  <c r="L1661" i="5"/>
  <c r="D1661" i="5"/>
  <c r="F1661" i="5" s="1"/>
  <c r="C1661" i="5"/>
  <c r="M1660" i="5"/>
  <c r="L1660" i="5"/>
  <c r="F1660" i="5"/>
  <c r="C1660" i="5"/>
  <c r="D1660" i="5" s="1"/>
  <c r="M1659" i="5"/>
  <c r="L1659" i="5"/>
  <c r="D1659" i="5"/>
  <c r="F1659" i="5" s="1"/>
  <c r="C1659" i="5"/>
  <c r="M1658" i="5"/>
  <c r="L1658" i="5"/>
  <c r="F1658" i="5"/>
  <c r="C1658" i="5"/>
  <c r="D1658" i="5" s="1"/>
  <c r="M1657" i="5"/>
  <c r="L1657" i="5"/>
  <c r="D1657" i="5"/>
  <c r="F1657" i="5" s="1"/>
  <c r="C1657" i="5"/>
  <c r="M1656" i="5"/>
  <c r="L1656" i="5"/>
  <c r="F1656" i="5"/>
  <c r="C1656" i="5"/>
  <c r="D1656" i="5" s="1"/>
  <c r="M1655" i="5"/>
  <c r="L1655" i="5"/>
  <c r="D1655" i="5"/>
  <c r="F1655" i="5" s="1"/>
  <c r="C1655" i="5"/>
  <c r="M1654" i="5"/>
  <c r="L1654" i="5"/>
  <c r="F1654" i="5"/>
  <c r="C1654" i="5"/>
  <c r="D1654" i="5" s="1"/>
  <c r="M1653" i="5"/>
  <c r="L1653" i="5"/>
  <c r="C1653" i="5"/>
  <c r="D1653" i="5" s="1"/>
  <c r="F1653" i="5" s="1"/>
  <c r="M1652" i="5"/>
  <c r="L1652" i="5"/>
  <c r="C1652" i="5"/>
  <c r="D1652" i="5" s="1"/>
  <c r="F1652" i="5" s="1"/>
  <c r="M1651" i="5"/>
  <c r="L1651" i="5"/>
  <c r="C1651" i="5"/>
  <c r="D1651" i="5" s="1"/>
  <c r="F1651" i="5" s="1"/>
  <c r="M1650" i="5"/>
  <c r="L1650" i="5"/>
  <c r="C1650" i="5"/>
  <c r="D1650" i="5" s="1"/>
  <c r="F1650" i="5" s="1"/>
  <c r="M1649" i="5"/>
  <c r="L1649" i="5"/>
  <c r="C1649" i="5"/>
  <c r="D1649" i="5" s="1"/>
  <c r="F1649" i="5" s="1"/>
  <c r="M1648" i="5"/>
  <c r="L1648" i="5"/>
  <c r="C1648" i="5"/>
  <c r="D1648" i="5" s="1"/>
  <c r="F1648" i="5" s="1"/>
  <c r="M1647" i="5"/>
  <c r="L1647" i="5"/>
  <c r="C1647" i="5"/>
  <c r="D1647" i="5" s="1"/>
  <c r="F1647" i="5" s="1"/>
  <c r="M1646" i="5"/>
  <c r="L1646" i="5"/>
  <c r="C1646" i="5"/>
  <c r="D1646" i="5" s="1"/>
  <c r="F1646" i="5" s="1"/>
  <c r="M1645" i="5"/>
  <c r="L1645" i="5"/>
  <c r="D1645" i="5"/>
  <c r="F1645" i="5" s="1"/>
  <c r="C1645" i="5"/>
  <c r="M1644" i="5"/>
  <c r="L1644" i="5"/>
  <c r="C1644" i="5"/>
  <c r="D1644" i="5" s="1"/>
  <c r="F1644" i="5" s="1"/>
  <c r="M1643" i="5"/>
  <c r="L1643" i="5"/>
  <c r="C1643" i="5"/>
  <c r="D1643" i="5" s="1"/>
  <c r="F1643" i="5" s="1"/>
  <c r="M1642" i="5"/>
  <c r="L1642" i="5"/>
  <c r="C1642" i="5"/>
  <c r="D1642" i="5" s="1"/>
  <c r="F1642" i="5" s="1"/>
  <c r="M1641" i="5"/>
  <c r="L1641" i="5"/>
  <c r="C1641" i="5"/>
  <c r="D1641" i="5" s="1"/>
  <c r="F1641" i="5" s="1"/>
  <c r="M1640" i="5"/>
  <c r="L1640" i="5"/>
  <c r="C1640" i="5"/>
  <c r="D1640" i="5" s="1"/>
  <c r="F1640" i="5" s="1"/>
  <c r="M1639" i="5"/>
  <c r="L1639" i="5"/>
  <c r="C1639" i="5"/>
  <c r="D1639" i="5" s="1"/>
  <c r="F1639" i="5" s="1"/>
  <c r="M1638" i="5"/>
  <c r="L1638" i="5"/>
  <c r="C1638" i="5"/>
  <c r="D1638" i="5" s="1"/>
  <c r="F1638" i="5" s="1"/>
  <c r="M1637" i="5"/>
  <c r="L1637" i="5"/>
  <c r="D1637" i="5"/>
  <c r="F1637" i="5" s="1"/>
  <c r="C1637" i="5"/>
  <c r="M1636" i="5"/>
  <c r="L1636" i="5"/>
  <c r="C1636" i="5"/>
  <c r="D1636" i="5" s="1"/>
  <c r="F1636" i="5" s="1"/>
  <c r="M1635" i="5"/>
  <c r="L1635" i="5"/>
  <c r="C1635" i="5"/>
  <c r="D1635" i="5" s="1"/>
  <c r="F1635" i="5" s="1"/>
  <c r="M1634" i="5"/>
  <c r="L1634" i="5"/>
  <c r="C1634" i="5"/>
  <c r="D1634" i="5" s="1"/>
  <c r="F1634" i="5" s="1"/>
  <c r="M1633" i="5"/>
  <c r="L1633" i="5"/>
  <c r="C1633" i="5"/>
  <c r="D1633" i="5" s="1"/>
  <c r="F1633" i="5" s="1"/>
  <c r="M1632" i="5"/>
  <c r="L1632" i="5"/>
  <c r="C1632" i="5"/>
  <c r="D1632" i="5" s="1"/>
  <c r="F1632" i="5" s="1"/>
  <c r="M1631" i="5"/>
  <c r="L1631" i="5"/>
  <c r="C1631" i="5"/>
  <c r="D1631" i="5" s="1"/>
  <c r="F1631" i="5" s="1"/>
  <c r="M1630" i="5"/>
  <c r="L1630" i="5"/>
  <c r="C1630" i="5"/>
  <c r="D1630" i="5" s="1"/>
  <c r="F1630" i="5" s="1"/>
  <c r="M1629" i="5"/>
  <c r="L1629" i="5"/>
  <c r="D1629" i="5"/>
  <c r="F1629" i="5" s="1"/>
  <c r="C1629" i="5"/>
  <c r="M1628" i="5"/>
  <c r="L1628" i="5"/>
  <c r="C1628" i="5"/>
  <c r="D1628" i="5" s="1"/>
  <c r="F1628" i="5" s="1"/>
  <c r="M1627" i="5"/>
  <c r="L1627" i="5"/>
  <c r="C1627" i="5"/>
  <c r="D1627" i="5" s="1"/>
  <c r="F1627" i="5" s="1"/>
  <c r="M1626" i="5"/>
  <c r="L1626" i="5"/>
  <c r="C1626" i="5"/>
  <c r="D1626" i="5" s="1"/>
  <c r="F1626" i="5" s="1"/>
  <c r="M1625" i="5"/>
  <c r="L1625" i="5"/>
  <c r="C1625" i="5"/>
  <c r="D1625" i="5" s="1"/>
  <c r="F1625" i="5" s="1"/>
  <c r="M1624" i="5"/>
  <c r="L1624" i="5"/>
  <c r="C1624" i="5"/>
  <c r="D1624" i="5" s="1"/>
  <c r="F1624" i="5" s="1"/>
  <c r="M1623" i="5"/>
  <c r="L1623" i="5"/>
  <c r="C1623" i="5"/>
  <c r="D1623" i="5" s="1"/>
  <c r="F1623" i="5" s="1"/>
  <c r="M1622" i="5"/>
  <c r="L1622" i="5"/>
  <c r="C1622" i="5"/>
  <c r="D1622" i="5" s="1"/>
  <c r="F1622" i="5" s="1"/>
  <c r="M1621" i="5"/>
  <c r="L1621" i="5"/>
  <c r="C1621" i="5"/>
  <c r="D1621" i="5" s="1"/>
  <c r="F1621" i="5" s="1"/>
  <c r="M1620" i="5"/>
  <c r="L1620" i="5"/>
  <c r="C1620" i="5"/>
  <c r="D1620" i="5" s="1"/>
  <c r="F1620" i="5" s="1"/>
  <c r="M1619" i="5"/>
  <c r="L1619" i="5"/>
  <c r="C1619" i="5"/>
  <c r="D1619" i="5" s="1"/>
  <c r="F1619" i="5" s="1"/>
  <c r="M1618" i="5"/>
  <c r="L1618" i="5"/>
  <c r="D1618" i="5"/>
  <c r="F1618" i="5" s="1"/>
  <c r="C1618" i="5"/>
  <c r="M1617" i="5"/>
  <c r="L1617" i="5"/>
  <c r="C1617" i="5"/>
  <c r="D1617" i="5" s="1"/>
  <c r="F1617" i="5" s="1"/>
  <c r="M1616" i="5"/>
  <c r="L1616" i="5"/>
  <c r="C1616" i="5"/>
  <c r="D1616" i="5" s="1"/>
  <c r="F1616" i="5" s="1"/>
  <c r="M1615" i="5"/>
  <c r="L1615" i="5"/>
  <c r="C1615" i="5"/>
  <c r="D1615" i="5" s="1"/>
  <c r="F1615" i="5" s="1"/>
  <c r="M1614" i="5"/>
  <c r="L1614" i="5"/>
  <c r="C1614" i="5"/>
  <c r="D1614" i="5" s="1"/>
  <c r="F1614" i="5" s="1"/>
  <c r="M1613" i="5"/>
  <c r="L1613" i="5"/>
  <c r="C1613" i="5"/>
  <c r="D1613" i="5" s="1"/>
  <c r="F1613" i="5" s="1"/>
  <c r="M1612" i="5"/>
  <c r="L1612" i="5"/>
  <c r="C1612" i="5"/>
  <c r="D1612" i="5" s="1"/>
  <c r="F1612" i="5" s="1"/>
  <c r="M1611" i="5"/>
  <c r="L1611" i="5"/>
  <c r="C1611" i="5"/>
  <c r="D1611" i="5" s="1"/>
  <c r="F1611" i="5" s="1"/>
  <c r="M1610" i="5"/>
  <c r="L1610" i="5"/>
  <c r="D1610" i="5"/>
  <c r="F1610" i="5" s="1"/>
  <c r="C1610" i="5"/>
  <c r="M1609" i="5"/>
  <c r="L1609" i="5"/>
  <c r="C1609" i="5"/>
  <c r="D1609" i="5" s="1"/>
  <c r="F1609" i="5" s="1"/>
  <c r="M1608" i="5"/>
  <c r="L1608" i="5"/>
  <c r="C1608" i="5"/>
  <c r="D1608" i="5" s="1"/>
  <c r="F1608" i="5" s="1"/>
  <c r="M1607" i="5"/>
  <c r="L1607" i="5"/>
  <c r="C1607" i="5"/>
  <c r="D1607" i="5" s="1"/>
  <c r="F1607" i="5" s="1"/>
  <c r="M1606" i="5"/>
  <c r="L1606" i="5"/>
  <c r="C1606" i="5"/>
  <c r="D1606" i="5" s="1"/>
  <c r="F1606" i="5" s="1"/>
  <c r="M1605" i="5"/>
  <c r="L1605" i="5"/>
  <c r="C1605" i="5"/>
  <c r="D1605" i="5" s="1"/>
  <c r="F1605" i="5" s="1"/>
  <c r="M1604" i="5"/>
  <c r="L1604" i="5"/>
  <c r="C1604" i="5"/>
  <c r="D1604" i="5" s="1"/>
  <c r="F1604" i="5" s="1"/>
  <c r="M1603" i="5"/>
  <c r="L1603" i="5"/>
  <c r="C1603" i="5"/>
  <c r="D1603" i="5" s="1"/>
  <c r="F1603" i="5" s="1"/>
  <c r="M1602" i="5"/>
  <c r="L1602" i="5"/>
  <c r="D1602" i="5"/>
  <c r="F1602" i="5" s="1"/>
  <c r="C1602" i="5"/>
  <c r="M1601" i="5"/>
  <c r="L1601" i="5"/>
  <c r="C1601" i="5"/>
  <c r="D1601" i="5" s="1"/>
  <c r="F1601" i="5" s="1"/>
  <c r="M1600" i="5"/>
  <c r="L1600" i="5"/>
  <c r="C1600" i="5"/>
  <c r="D1600" i="5" s="1"/>
  <c r="F1600" i="5" s="1"/>
  <c r="M1599" i="5"/>
  <c r="L1599" i="5"/>
  <c r="C1599" i="5"/>
  <c r="D1599" i="5" s="1"/>
  <c r="F1599" i="5" s="1"/>
  <c r="M1598" i="5"/>
  <c r="L1598" i="5"/>
  <c r="C1598" i="5"/>
  <c r="D1598" i="5" s="1"/>
  <c r="F1598" i="5" s="1"/>
  <c r="M1597" i="5"/>
  <c r="L1597" i="5"/>
  <c r="C1597" i="5"/>
  <c r="D1597" i="5" s="1"/>
  <c r="F1597" i="5" s="1"/>
  <c r="M1596" i="5"/>
  <c r="L1596" i="5"/>
  <c r="C1596" i="5"/>
  <c r="D1596" i="5" s="1"/>
  <c r="F1596" i="5" s="1"/>
  <c r="M1595" i="5"/>
  <c r="L1595" i="5"/>
  <c r="C1595" i="5"/>
  <c r="D1595" i="5" s="1"/>
  <c r="F1595" i="5" s="1"/>
  <c r="M1594" i="5"/>
  <c r="L1594" i="5"/>
  <c r="D1594" i="5"/>
  <c r="F1594" i="5" s="1"/>
  <c r="C1594" i="5"/>
  <c r="M1593" i="5"/>
  <c r="L1593" i="5"/>
  <c r="C1593" i="5"/>
  <c r="D1593" i="5" s="1"/>
  <c r="F1593" i="5" s="1"/>
  <c r="M1592" i="5"/>
  <c r="L1592" i="5"/>
  <c r="C1592" i="5"/>
  <c r="D1592" i="5" s="1"/>
  <c r="F1592" i="5" s="1"/>
  <c r="M1591" i="5"/>
  <c r="L1591" i="5"/>
  <c r="C1591" i="5"/>
  <c r="D1591" i="5" s="1"/>
  <c r="F1591" i="5" s="1"/>
  <c r="M1590" i="5"/>
  <c r="L1590" i="5"/>
  <c r="C1590" i="5"/>
  <c r="D1590" i="5" s="1"/>
  <c r="F1590" i="5" s="1"/>
  <c r="M1589" i="5"/>
  <c r="L1589" i="5"/>
  <c r="C1589" i="5"/>
  <c r="D1589" i="5" s="1"/>
  <c r="F1589" i="5" s="1"/>
  <c r="M1588" i="5"/>
  <c r="L1588" i="5"/>
  <c r="C1588" i="5"/>
  <c r="D1588" i="5" s="1"/>
  <c r="F1588" i="5" s="1"/>
  <c r="M1587" i="5"/>
  <c r="L1587" i="5"/>
  <c r="C1587" i="5"/>
  <c r="D1587" i="5" s="1"/>
  <c r="F1587" i="5" s="1"/>
  <c r="M1586" i="5"/>
  <c r="L1586" i="5"/>
  <c r="D1586" i="5"/>
  <c r="F1586" i="5" s="1"/>
  <c r="C1586" i="5"/>
  <c r="M1585" i="5"/>
  <c r="L1585" i="5"/>
  <c r="C1585" i="5"/>
  <c r="D1585" i="5" s="1"/>
  <c r="F1585" i="5" s="1"/>
  <c r="M1584" i="5"/>
  <c r="L1584" i="5"/>
  <c r="C1584" i="5"/>
  <c r="D1584" i="5" s="1"/>
  <c r="F1584" i="5" s="1"/>
  <c r="M1583" i="5"/>
  <c r="L1583" i="5"/>
  <c r="C1583" i="5"/>
  <c r="D1583" i="5" s="1"/>
  <c r="F1583" i="5" s="1"/>
  <c r="M1582" i="5"/>
  <c r="L1582" i="5"/>
  <c r="C1582" i="5"/>
  <c r="D1582" i="5" s="1"/>
  <c r="F1582" i="5" s="1"/>
  <c r="M1581" i="5"/>
  <c r="L1581" i="5"/>
  <c r="C1581" i="5"/>
  <c r="D1581" i="5" s="1"/>
  <c r="F1581" i="5" s="1"/>
  <c r="M1580" i="5"/>
  <c r="L1580" i="5"/>
  <c r="C1580" i="5"/>
  <c r="D1580" i="5" s="1"/>
  <c r="F1580" i="5" s="1"/>
  <c r="M1579" i="5"/>
  <c r="L1579" i="5"/>
  <c r="C1579" i="5"/>
  <c r="D1579" i="5" s="1"/>
  <c r="F1579" i="5" s="1"/>
  <c r="M1578" i="5"/>
  <c r="L1578" i="5"/>
  <c r="D1578" i="5"/>
  <c r="F1578" i="5" s="1"/>
  <c r="C1578" i="5"/>
  <c r="M1577" i="5"/>
  <c r="L1577" i="5"/>
  <c r="C1577" i="5"/>
  <c r="D1577" i="5" s="1"/>
  <c r="F1577" i="5" s="1"/>
  <c r="M1576" i="5"/>
  <c r="L1576" i="5"/>
  <c r="C1576" i="5"/>
  <c r="D1576" i="5" s="1"/>
  <c r="F1576" i="5" s="1"/>
  <c r="M1575" i="5"/>
  <c r="L1575" i="5"/>
  <c r="C1575" i="5"/>
  <c r="D1575" i="5" s="1"/>
  <c r="F1575" i="5" s="1"/>
  <c r="M1574" i="5"/>
  <c r="L1574" i="5"/>
  <c r="C1574" i="5"/>
  <c r="D1574" i="5" s="1"/>
  <c r="F1574" i="5" s="1"/>
  <c r="M1573" i="5"/>
  <c r="L1573" i="5"/>
  <c r="C1573" i="5"/>
  <c r="D1573" i="5" s="1"/>
  <c r="F1573" i="5" s="1"/>
  <c r="M1572" i="5"/>
  <c r="L1572" i="5"/>
  <c r="C1572" i="5"/>
  <c r="D1572" i="5" s="1"/>
  <c r="F1572" i="5" s="1"/>
  <c r="M1571" i="5"/>
  <c r="L1571" i="5"/>
  <c r="C1571" i="5"/>
  <c r="D1571" i="5" s="1"/>
  <c r="F1571" i="5" s="1"/>
  <c r="M1570" i="5"/>
  <c r="L1570" i="5"/>
  <c r="D1570" i="5"/>
  <c r="F1570" i="5" s="1"/>
  <c r="C1570" i="5"/>
  <c r="M1569" i="5"/>
  <c r="L1569" i="5"/>
  <c r="C1569" i="5"/>
  <c r="D1569" i="5" s="1"/>
  <c r="F1569" i="5" s="1"/>
  <c r="M1568" i="5"/>
  <c r="L1568" i="5"/>
  <c r="C1568" i="5"/>
  <c r="D1568" i="5" s="1"/>
  <c r="F1568" i="5" s="1"/>
  <c r="M1567" i="5"/>
  <c r="L1567" i="5"/>
  <c r="C1567" i="5"/>
  <c r="D1567" i="5" s="1"/>
  <c r="F1567" i="5" s="1"/>
  <c r="M1566" i="5"/>
  <c r="L1566" i="5"/>
  <c r="C1566" i="5"/>
  <c r="D1566" i="5" s="1"/>
  <c r="F1566" i="5" s="1"/>
  <c r="M1565" i="5"/>
  <c r="L1565" i="5"/>
  <c r="C1565" i="5"/>
  <c r="D1565" i="5" s="1"/>
  <c r="F1565" i="5" s="1"/>
  <c r="M1564" i="5"/>
  <c r="L1564" i="5"/>
  <c r="C1564" i="5"/>
  <c r="D1564" i="5" s="1"/>
  <c r="F1564" i="5" s="1"/>
  <c r="M1563" i="5"/>
  <c r="L1563" i="5"/>
  <c r="C1563" i="5"/>
  <c r="D1563" i="5" s="1"/>
  <c r="F1563" i="5" s="1"/>
  <c r="M1562" i="5"/>
  <c r="L1562" i="5"/>
  <c r="D1562" i="5"/>
  <c r="F1562" i="5" s="1"/>
  <c r="C1562" i="5"/>
  <c r="M1561" i="5"/>
  <c r="L1561" i="5"/>
  <c r="C1561" i="5"/>
  <c r="D1561" i="5" s="1"/>
  <c r="F1561" i="5" s="1"/>
  <c r="M1560" i="5"/>
  <c r="L1560" i="5"/>
  <c r="C1560" i="5"/>
  <c r="D1560" i="5" s="1"/>
  <c r="F1560" i="5" s="1"/>
  <c r="M1559" i="5"/>
  <c r="L1559" i="5"/>
  <c r="C1559" i="5"/>
  <c r="D1559" i="5" s="1"/>
  <c r="F1559" i="5" s="1"/>
  <c r="M1558" i="5"/>
  <c r="L1558" i="5"/>
  <c r="C1558" i="5"/>
  <c r="D1558" i="5" s="1"/>
  <c r="F1558" i="5" s="1"/>
  <c r="M1557" i="5"/>
  <c r="L1557" i="5"/>
  <c r="C1557" i="5"/>
  <c r="D1557" i="5" s="1"/>
  <c r="F1557" i="5" s="1"/>
  <c r="M1556" i="5"/>
  <c r="L1556" i="5"/>
  <c r="C1556" i="5"/>
  <c r="D1556" i="5" s="1"/>
  <c r="F1556" i="5" s="1"/>
  <c r="M1555" i="5"/>
  <c r="L1555" i="5"/>
  <c r="C1555" i="5"/>
  <c r="D1555" i="5" s="1"/>
  <c r="F1555" i="5" s="1"/>
  <c r="M1554" i="5"/>
  <c r="L1554" i="5"/>
  <c r="D1554" i="5"/>
  <c r="F1554" i="5" s="1"/>
  <c r="C1554" i="5"/>
  <c r="M1553" i="5"/>
  <c r="L1553" i="5"/>
  <c r="C1553" i="5"/>
  <c r="D1553" i="5" s="1"/>
  <c r="F1553" i="5" s="1"/>
  <c r="M1552" i="5"/>
  <c r="L1552" i="5"/>
  <c r="C1552" i="5"/>
  <c r="D1552" i="5" s="1"/>
  <c r="F1552" i="5" s="1"/>
  <c r="M1551" i="5"/>
  <c r="L1551" i="5"/>
  <c r="C1551" i="5"/>
  <c r="D1551" i="5" s="1"/>
  <c r="F1551" i="5" s="1"/>
  <c r="M1550" i="5"/>
  <c r="L1550" i="5"/>
  <c r="C1550" i="5"/>
  <c r="D1550" i="5" s="1"/>
  <c r="F1550" i="5" s="1"/>
  <c r="M1549" i="5"/>
  <c r="L1549" i="5"/>
  <c r="C1549" i="5"/>
  <c r="D1549" i="5" s="1"/>
  <c r="F1549" i="5" s="1"/>
  <c r="M1548" i="5"/>
  <c r="L1548" i="5"/>
  <c r="C1548" i="5"/>
  <c r="D1548" i="5" s="1"/>
  <c r="F1548" i="5" s="1"/>
  <c r="M1547" i="5"/>
  <c r="L1547" i="5"/>
  <c r="C1547" i="5"/>
  <c r="D1547" i="5" s="1"/>
  <c r="F1547" i="5" s="1"/>
  <c r="M1546" i="5"/>
  <c r="L1546" i="5"/>
  <c r="D1546" i="5"/>
  <c r="F1546" i="5" s="1"/>
  <c r="C1546" i="5"/>
  <c r="M1545" i="5"/>
  <c r="L1545" i="5"/>
  <c r="C1545" i="5"/>
  <c r="D1545" i="5" s="1"/>
  <c r="F1545" i="5" s="1"/>
  <c r="M1544" i="5"/>
  <c r="L1544" i="5"/>
  <c r="C1544" i="5"/>
  <c r="D1544" i="5" s="1"/>
  <c r="F1544" i="5" s="1"/>
  <c r="M1543" i="5"/>
  <c r="L1543" i="5"/>
  <c r="C1543" i="5"/>
  <c r="D1543" i="5" s="1"/>
  <c r="F1543" i="5" s="1"/>
  <c r="M1542" i="5"/>
  <c r="L1542" i="5"/>
  <c r="C1542" i="5"/>
  <c r="D1542" i="5" s="1"/>
  <c r="F1542" i="5" s="1"/>
  <c r="M1541" i="5"/>
  <c r="L1541" i="5"/>
  <c r="C1541" i="5"/>
  <c r="D1541" i="5" s="1"/>
  <c r="F1541" i="5" s="1"/>
  <c r="M1540" i="5"/>
  <c r="L1540" i="5"/>
  <c r="C1540" i="5"/>
  <c r="D1540" i="5" s="1"/>
  <c r="F1540" i="5" s="1"/>
  <c r="M1539" i="5"/>
  <c r="L1539" i="5"/>
  <c r="C1539" i="5"/>
  <c r="D1539" i="5" s="1"/>
  <c r="F1539" i="5" s="1"/>
  <c r="M1538" i="5"/>
  <c r="L1538" i="5"/>
  <c r="D1538" i="5"/>
  <c r="F1538" i="5" s="1"/>
  <c r="C1538" i="5"/>
  <c r="M1537" i="5"/>
  <c r="L1537" i="5"/>
  <c r="C1537" i="5"/>
  <c r="D1537" i="5" s="1"/>
  <c r="F1537" i="5" s="1"/>
  <c r="M1536" i="5"/>
  <c r="L1536" i="5"/>
  <c r="C1536" i="5"/>
  <c r="D1536" i="5" s="1"/>
  <c r="F1536" i="5" s="1"/>
  <c r="M1535" i="5"/>
  <c r="L1535" i="5"/>
  <c r="C1535" i="5"/>
  <c r="D1535" i="5" s="1"/>
  <c r="F1535" i="5" s="1"/>
  <c r="M1534" i="5"/>
  <c r="L1534" i="5"/>
  <c r="C1534" i="5"/>
  <c r="D1534" i="5" s="1"/>
  <c r="F1534" i="5" s="1"/>
  <c r="M1533" i="5"/>
  <c r="L1533" i="5"/>
  <c r="C1533" i="5"/>
  <c r="D1533" i="5" s="1"/>
  <c r="F1533" i="5" s="1"/>
  <c r="M1532" i="5"/>
  <c r="L1532" i="5"/>
  <c r="C1532" i="5"/>
  <c r="D1532" i="5" s="1"/>
  <c r="F1532" i="5" s="1"/>
  <c r="M1531" i="5"/>
  <c r="L1531" i="5"/>
  <c r="C1531" i="5"/>
  <c r="D1531" i="5" s="1"/>
  <c r="F1531" i="5" s="1"/>
  <c r="M1530" i="5"/>
  <c r="L1530" i="5"/>
  <c r="D1530" i="5"/>
  <c r="F1530" i="5" s="1"/>
  <c r="C1530" i="5"/>
  <c r="M1529" i="5"/>
  <c r="L1529" i="5"/>
  <c r="C1529" i="5"/>
  <c r="D1529" i="5" s="1"/>
  <c r="F1529" i="5" s="1"/>
  <c r="M1528" i="5"/>
  <c r="L1528" i="5"/>
  <c r="C1528" i="5"/>
  <c r="D1528" i="5" s="1"/>
  <c r="F1528" i="5" s="1"/>
  <c r="M1527" i="5"/>
  <c r="L1527" i="5"/>
  <c r="C1527" i="5"/>
  <c r="D1527" i="5" s="1"/>
  <c r="F1527" i="5" s="1"/>
  <c r="M1526" i="5"/>
  <c r="L1526" i="5"/>
  <c r="C1526" i="5"/>
  <c r="D1526" i="5" s="1"/>
  <c r="F1526" i="5" s="1"/>
  <c r="M1525" i="5"/>
  <c r="L1525" i="5"/>
  <c r="C1525" i="5"/>
  <c r="D1525" i="5" s="1"/>
  <c r="F1525" i="5" s="1"/>
  <c r="M1524" i="5"/>
  <c r="L1524" i="5"/>
  <c r="C1524" i="5"/>
  <c r="D1524" i="5" s="1"/>
  <c r="F1524" i="5" s="1"/>
  <c r="M1523" i="5"/>
  <c r="L1523" i="5"/>
  <c r="C1523" i="5"/>
  <c r="D1523" i="5" s="1"/>
  <c r="F1523" i="5" s="1"/>
  <c r="M1522" i="5"/>
  <c r="L1522" i="5"/>
  <c r="D1522" i="5"/>
  <c r="F1522" i="5" s="1"/>
  <c r="C1522" i="5"/>
  <c r="M1521" i="5"/>
  <c r="L1521" i="5"/>
  <c r="C1521" i="5"/>
  <c r="D1521" i="5" s="1"/>
  <c r="F1521" i="5" s="1"/>
  <c r="M1520" i="5"/>
  <c r="L1520" i="5"/>
  <c r="C1520" i="5"/>
  <c r="D1520" i="5" s="1"/>
  <c r="F1520" i="5" s="1"/>
  <c r="M1519" i="5"/>
  <c r="L1519" i="5"/>
  <c r="C1519" i="5"/>
  <c r="D1519" i="5" s="1"/>
  <c r="F1519" i="5" s="1"/>
  <c r="M1518" i="5"/>
  <c r="L1518" i="5"/>
  <c r="C1518" i="5"/>
  <c r="D1518" i="5" s="1"/>
  <c r="F1518" i="5" s="1"/>
  <c r="M1517" i="5"/>
  <c r="L1517" i="5"/>
  <c r="C1517" i="5"/>
  <c r="D1517" i="5" s="1"/>
  <c r="F1517" i="5" s="1"/>
  <c r="M1516" i="5"/>
  <c r="L1516" i="5"/>
  <c r="C1516" i="5"/>
  <c r="D1516" i="5" s="1"/>
  <c r="F1516" i="5" s="1"/>
  <c r="M1515" i="5"/>
  <c r="L1515" i="5"/>
  <c r="C1515" i="5"/>
  <c r="D1515" i="5" s="1"/>
  <c r="F1515" i="5" s="1"/>
  <c r="M1514" i="5"/>
  <c r="L1514" i="5"/>
  <c r="D1514" i="5"/>
  <c r="F1514" i="5" s="1"/>
  <c r="C1514" i="5"/>
  <c r="M1513" i="5"/>
  <c r="L1513" i="5"/>
  <c r="C1513" i="5"/>
  <c r="D1513" i="5" s="1"/>
  <c r="F1513" i="5" s="1"/>
  <c r="M1512" i="5"/>
  <c r="L1512" i="5"/>
  <c r="C1512" i="5"/>
  <c r="D1512" i="5" s="1"/>
  <c r="F1512" i="5" s="1"/>
  <c r="M1511" i="5"/>
  <c r="L1511" i="5"/>
  <c r="C1511" i="5"/>
  <c r="D1511" i="5" s="1"/>
  <c r="F1511" i="5" s="1"/>
  <c r="M1510" i="5"/>
  <c r="L1510" i="5"/>
  <c r="C1510" i="5"/>
  <c r="D1510" i="5" s="1"/>
  <c r="F1510" i="5" s="1"/>
  <c r="M1509" i="5"/>
  <c r="L1509" i="5"/>
  <c r="C1509" i="5"/>
  <c r="D1509" i="5" s="1"/>
  <c r="F1509" i="5" s="1"/>
  <c r="M1508" i="5"/>
  <c r="L1508" i="5"/>
  <c r="C1508" i="5"/>
  <c r="D1508" i="5" s="1"/>
  <c r="F1508" i="5" s="1"/>
  <c r="M1507" i="5"/>
  <c r="L1507" i="5"/>
  <c r="C1507" i="5"/>
  <c r="D1507" i="5" s="1"/>
  <c r="F1507" i="5" s="1"/>
  <c r="M1506" i="5"/>
  <c r="L1506" i="5"/>
  <c r="D1506" i="5"/>
  <c r="F1506" i="5" s="1"/>
  <c r="C1506" i="5"/>
  <c r="M1505" i="5"/>
  <c r="L1505" i="5"/>
  <c r="C1505" i="5"/>
  <c r="D1505" i="5" s="1"/>
  <c r="F1505" i="5" s="1"/>
  <c r="M1504" i="5"/>
  <c r="L1504" i="5"/>
  <c r="C1504" i="5"/>
  <c r="D1504" i="5" s="1"/>
  <c r="F1504" i="5" s="1"/>
  <c r="M1503" i="5"/>
  <c r="L1503" i="5"/>
  <c r="C1503" i="5"/>
  <c r="D1503" i="5" s="1"/>
  <c r="F1503" i="5" s="1"/>
  <c r="M1502" i="5"/>
  <c r="L1502" i="5"/>
  <c r="C1502" i="5"/>
  <c r="D1502" i="5" s="1"/>
  <c r="F1502" i="5" s="1"/>
  <c r="M1501" i="5"/>
  <c r="L1501" i="5"/>
  <c r="C1501" i="5"/>
  <c r="D1501" i="5" s="1"/>
  <c r="F1501" i="5" s="1"/>
  <c r="M1500" i="5"/>
  <c r="L1500" i="5"/>
  <c r="C1500" i="5"/>
  <c r="D1500" i="5" s="1"/>
  <c r="F1500" i="5" s="1"/>
  <c r="M1499" i="5"/>
  <c r="L1499" i="5"/>
  <c r="C1499" i="5"/>
  <c r="D1499" i="5" s="1"/>
  <c r="F1499" i="5" s="1"/>
  <c r="M1498" i="5"/>
  <c r="L1498" i="5"/>
  <c r="D1498" i="5"/>
  <c r="F1498" i="5" s="1"/>
  <c r="C1498" i="5"/>
  <c r="M1497" i="5"/>
  <c r="L1497" i="5"/>
  <c r="C1497" i="5"/>
  <c r="D1497" i="5" s="1"/>
  <c r="F1497" i="5" s="1"/>
  <c r="M1496" i="5"/>
  <c r="L1496" i="5"/>
  <c r="C1496" i="5"/>
  <c r="D1496" i="5" s="1"/>
  <c r="F1496" i="5" s="1"/>
  <c r="M1495" i="5"/>
  <c r="L1495" i="5"/>
  <c r="C1495" i="5"/>
  <c r="D1495" i="5" s="1"/>
  <c r="F1495" i="5" s="1"/>
  <c r="M1494" i="5"/>
  <c r="L1494" i="5"/>
  <c r="C1494" i="5"/>
  <c r="D1494" i="5" s="1"/>
  <c r="F1494" i="5" s="1"/>
  <c r="M1493" i="5"/>
  <c r="L1493" i="5"/>
  <c r="C1493" i="5"/>
  <c r="D1493" i="5" s="1"/>
  <c r="F1493" i="5" s="1"/>
  <c r="M1492" i="5"/>
  <c r="L1492" i="5"/>
  <c r="C1492" i="5"/>
  <c r="D1492" i="5" s="1"/>
  <c r="F1492" i="5" s="1"/>
  <c r="M1491" i="5"/>
  <c r="L1491" i="5"/>
  <c r="C1491" i="5"/>
  <c r="D1491" i="5" s="1"/>
  <c r="F1491" i="5" s="1"/>
  <c r="M1490" i="5"/>
  <c r="L1490" i="5"/>
  <c r="D1490" i="5"/>
  <c r="F1490" i="5" s="1"/>
  <c r="C1490" i="5"/>
  <c r="M1489" i="5"/>
  <c r="L1489" i="5"/>
  <c r="C1489" i="5"/>
  <c r="D1489" i="5" s="1"/>
  <c r="F1489" i="5" s="1"/>
  <c r="M1488" i="5"/>
  <c r="L1488" i="5"/>
  <c r="C1488" i="5"/>
  <c r="D1488" i="5" s="1"/>
  <c r="F1488" i="5" s="1"/>
  <c r="M1487" i="5"/>
  <c r="L1487" i="5"/>
  <c r="C1487" i="5"/>
  <c r="D1487" i="5" s="1"/>
  <c r="F1487" i="5" s="1"/>
  <c r="M1486" i="5"/>
  <c r="L1486" i="5"/>
  <c r="C1486" i="5"/>
  <c r="D1486" i="5" s="1"/>
  <c r="F1486" i="5" s="1"/>
  <c r="M1485" i="5"/>
  <c r="L1485" i="5"/>
  <c r="C1485" i="5"/>
  <c r="D1485" i="5" s="1"/>
  <c r="F1485" i="5" s="1"/>
  <c r="M1484" i="5"/>
  <c r="L1484" i="5"/>
  <c r="C1484" i="5"/>
  <c r="D1484" i="5" s="1"/>
  <c r="F1484" i="5" s="1"/>
  <c r="M1483" i="5"/>
  <c r="L1483" i="5"/>
  <c r="C1483" i="5"/>
  <c r="D1483" i="5" s="1"/>
  <c r="F1483" i="5" s="1"/>
  <c r="M1482" i="5"/>
  <c r="L1482" i="5"/>
  <c r="D1482" i="5"/>
  <c r="F1482" i="5" s="1"/>
  <c r="C1482" i="5"/>
  <c r="M1481" i="5"/>
  <c r="L1481" i="5"/>
  <c r="C1481" i="5"/>
  <c r="D1481" i="5" s="1"/>
  <c r="F1481" i="5" s="1"/>
  <c r="M1480" i="5"/>
  <c r="L1480" i="5"/>
  <c r="C1480" i="5"/>
  <c r="D1480" i="5" s="1"/>
  <c r="F1480" i="5" s="1"/>
  <c r="M1479" i="5"/>
  <c r="L1479" i="5"/>
  <c r="C1479" i="5"/>
  <c r="D1479" i="5" s="1"/>
  <c r="F1479" i="5" s="1"/>
  <c r="M1478" i="5"/>
  <c r="L1478" i="5"/>
  <c r="C1478" i="5"/>
  <c r="D1478" i="5" s="1"/>
  <c r="F1478" i="5" s="1"/>
  <c r="M1477" i="5"/>
  <c r="L1477" i="5"/>
  <c r="C1477" i="5"/>
  <c r="D1477" i="5" s="1"/>
  <c r="F1477" i="5" s="1"/>
  <c r="M1476" i="5"/>
  <c r="L1476" i="5"/>
  <c r="C1476" i="5"/>
  <c r="D1476" i="5" s="1"/>
  <c r="F1476" i="5" s="1"/>
  <c r="M1475" i="5"/>
  <c r="L1475" i="5"/>
  <c r="C1475" i="5"/>
  <c r="D1475" i="5" s="1"/>
  <c r="F1475" i="5" s="1"/>
  <c r="M1474" i="5"/>
  <c r="L1474" i="5"/>
  <c r="D1474" i="5"/>
  <c r="F1474" i="5" s="1"/>
  <c r="C1474" i="5"/>
  <c r="M1473" i="5"/>
  <c r="L1473" i="5"/>
  <c r="C1473" i="5"/>
  <c r="D1473" i="5" s="1"/>
  <c r="F1473" i="5" s="1"/>
  <c r="M1472" i="5"/>
  <c r="L1472" i="5"/>
  <c r="C1472" i="5"/>
  <c r="D1472" i="5" s="1"/>
  <c r="F1472" i="5" s="1"/>
  <c r="M1471" i="5"/>
  <c r="L1471" i="5"/>
  <c r="C1471" i="5"/>
  <c r="D1471" i="5" s="1"/>
  <c r="F1471" i="5" s="1"/>
  <c r="M1470" i="5"/>
  <c r="L1470" i="5"/>
  <c r="C1470" i="5"/>
  <c r="D1470" i="5" s="1"/>
  <c r="F1470" i="5" s="1"/>
  <c r="M1469" i="5"/>
  <c r="L1469" i="5"/>
  <c r="C1469" i="5"/>
  <c r="D1469" i="5" s="1"/>
  <c r="F1469" i="5" s="1"/>
  <c r="M1468" i="5"/>
  <c r="L1468" i="5"/>
  <c r="C1468" i="5"/>
  <c r="D1468" i="5" s="1"/>
  <c r="F1468" i="5" s="1"/>
  <c r="M1467" i="5"/>
  <c r="L1467" i="5"/>
  <c r="C1467" i="5"/>
  <c r="D1467" i="5" s="1"/>
  <c r="F1467" i="5" s="1"/>
  <c r="M1466" i="5"/>
  <c r="L1466" i="5"/>
  <c r="D1466" i="5"/>
  <c r="F1466" i="5" s="1"/>
  <c r="C1466" i="5"/>
  <c r="M1465" i="5"/>
  <c r="L1465" i="5"/>
  <c r="C1465" i="5"/>
  <c r="D1465" i="5" s="1"/>
  <c r="F1465" i="5" s="1"/>
  <c r="M1464" i="5"/>
  <c r="L1464" i="5"/>
  <c r="C1464" i="5"/>
  <c r="D1464" i="5" s="1"/>
  <c r="F1464" i="5" s="1"/>
  <c r="M1463" i="5"/>
  <c r="L1463" i="5"/>
  <c r="C1463" i="5"/>
  <c r="D1463" i="5" s="1"/>
  <c r="F1463" i="5" s="1"/>
  <c r="M1462" i="5"/>
  <c r="L1462" i="5"/>
  <c r="C1462" i="5"/>
  <c r="D1462" i="5" s="1"/>
  <c r="F1462" i="5" s="1"/>
  <c r="M1461" i="5"/>
  <c r="L1461" i="5"/>
  <c r="C1461" i="5"/>
  <c r="D1461" i="5" s="1"/>
  <c r="F1461" i="5" s="1"/>
  <c r="M1460" i="5"/>
  <c r="L1460" i="5"/>
  <c r="C1460" i="5"/>
  <c r="D1460" i="5" s="1"/>
  <c r="F1460" i="5" s="1"/>
  <c r="M1459" i="5"/>
  <c r="L1459" i="5"/>
  <c r="C1459" i="5"/>
  <c r="D1459" i="5" s="1"/>
  <c r="F1459" i="5" s="1"/>
  <c r="M1458" i="5"/>
  <c r="L1458" i="5"/>
  <c r="D1458" i="5"/>
  <c r="F1458" i="5" s="1"/>
  <c r="C1458" i="5"/>
  <c r="M1457" i="5"/>
  <c r="L1457" i="5"/>
  <c r="C1457" i="5"/>
  <c r="D1457" i="5" s="1"/>
  <c r="F1457" i="5" s="1"/>
  <c r="M1456" i="5"/>
  <c r="L1456" i="5"/>
  <c r="C1456" i="5"/>
  <c r="D1456" i="5" s="1"/>
  <c r="F1456" i="5" s="1"/>
  <c r="M1455" i="5"/>
  <c r="L1455" i="5"/>
  <c r="C1455" i="5"/>
  <c r="D1455" i="5" s="1"/>
  <c r="F1455" i="5" s="1"/>
  <c r="M1454" i="5"/>
  <c r="L1454" i="5"/>
  <c r="C1454" i="5"/>
  <c r="D1454" i="5" s="1"/>
  <c r="F1454" i="5" s="1"/>
  <c r="M1453" i="5"/>
  <c r="L1453" i="5"/>
  <c r="C1453" i="5"/>
  <c r="D1453" i="5" s="1"/>
  <c r="F1453" i="5" s="1"/>
  <c r="M1452" i="5"/>
  <c r="L1452" i="5"/>
  <c r="C1452" i="5"/>
  <c r="D1452" i="5" s="1"/>
  <c r="F1452" i="5" s="1"/>
  <c r="M1451" i="5"/>
  <c r="L1451" i="5"/>
  <c r="C1451" i="5"/>
  <c r="D1451" i="5" s="1"/>
  <c r="F1451" i="5" s="1"/>
  <c r="M1450" i="5"/>
  <c r="L1450" i="5"/>
  <c r="D1450" i="5"/>
  <c r="F1450" i="5" s="1"/>
  <c r="C1450" i="5"/>
  <c r="M1449" i="5"/>
  <c r="L1449" i="5"/>
  <c r="C1449" i="5"/>
  <c r="D1449" i="5" s="1"/>
  <c r="F1449" i="5" s="1"/>
  <c r="M1448" i="5"/>
  <c r="L1448" i="5"/>
  <c r="C1448" i="5"/>
  <c r="D1448" i="5" s="1"/>
  <c r="F1448" i="5" s="1"/>
  <c r="M1447" i="5"/>
  <c r="L1447" i="5"/>
  <c r="C1447" i="5"/>
  <c r="D1447" i="5" s="1"/>
  <c r="F1447" i="5" s="1"/>
  <c r="M1446" i="5"/>
  <c r="L1446" i="5"/>
  <c r="C1446" i="5"/>
  <c r="D1446" i="5" s="1"/>
  <c r="F1446" i="5" s="1"/>
  <c r="M1445" i="5"/>
  <c r="L1445" i="5"/>
  <c r="C1445" i="5"/>
  <c r="D1445" i="5" s="1"/>
  <c r="F1445" i="5" s="1"/>
  <c r="M1444" i="5"/>
  <c r="L1444" i="5"/>
  <c r="C1444" i="5"/>
  <c r="D1444" i="5" s="1"/>
  <c r="F1444" i="5" s="1"/>
  <c r="M1443" i="5"/>
  <c r="L1443" i="5"/>
  <c r="C1443" i="5"/>
  <c r="D1443" i="5" s="1"/>
  <c r="F1443" i="5" s="1"/>
  <c r="M1442" i="5"/>
  <c r="L1442" i="5"/>
  <c r="D1442" i="5"/>
  <c r="F1442" i="5" s="1"/>
  <c r="C1442" i="5"/>
  <c r="M1441" i="5"/>
  <c r="L1441" i="5"/>
  <c r="C1441" i="5"/>
  <c r="D1441" i="5" s="1"/>
  <c r="F1441" i="5" s="1"/>
  <c r="M1440" i="5"/>
  <c r="L1440" i="5"/>
  <c r="C1440" i="5"/>
  <c r="D1440" i="5" s="1"/>
  <c r="F1440" i="5" s="1"/>
  <c r="M1439" i="5"/>
  <c r="L1439" i="5"/>
  <c r="C1439" i="5"/>
  <c r="D1439" i="5" s="1"/>
  <c r="F1439" i="5" s="1"/>
  <c r="M1438" i="5"/>
  <c r="L1438" i="5"/>
  <c r="C1438" i="5"/>
  <c r="D1438" i="5" s="1"/>
  <c r="F1438" i="5" s="1"/>
  <c r="M1437" i="5"/>
  <c r="L1437" i="5"/>
  <c r="C1437" i="5"/>
  <c r="D1437" i="5" s="1"/>
  <c r="F1437" i="5" s="1"/>
  <c r="M1436" i="5"/>
  <c r="L1436" i="5"/>
  <c r="C1436" i="5"/>
  <c r="D1436" i="5" s="1"/>
  <c r="F1436" i="5" s="1"/>
  <c r="M1435" i="5"/>
  <c r="L1435" i="5"/>
  <c r="C1435" i="5"/>
  <c r="D1435" i="5" s="1"/>
  <c r="F1435" i="5" s="1"/>
  <c r="M1434" i="5"/>
  <c r="L1434" i="5"/>
  <c r="D1434" i="5"/>
  <c r="F1434" i="5" s="1"/>
  <c r="C1434" i="5"/>
  <c r="M1433" i="5"/>
  <c r="L1433" i="5"/>
  <c r="C1433" i="5"/>
  <c r="D1433" i="5" s="1"/>
  <c r="F1433" i="5" s="1"/>
  <c r="M1432" i="5"/>
  <c r="L1432" i="5"/>
  <c r="C1432" i="5"/>
  <c r="D1432" i="5" s="1"/>
  <c r="F1432" i="5" s="1"/>
  <c r="M1431" i="5"/>
  <c r="L1431" i="5"/>
  <c r="C1431" i="5"/>
  <c r="D1431" i="5" s="1"/>
  <c r="F1431" i="5" s="1"/>
  <c r="M1430" i="5"/>
  <c r="L1430" i="5"/>
  <c r="C1430" i="5"/>
  <c r="D1430" i="5" s="1"/>
  <c r="F1430" i="5" s="1"/>
  <c r="M1429" i="5"/>
  <c r="L1429" i="5"/>
  <c r="C1429" i="5"/>
  <c r="D1429" i="5" s="1"/>
  <c r="F1429" i="5" s="1"/>
  <c r="M1428" i="5"/>
  <c r="L1428" i="5"/>
  <c r="C1428" i="5"/>
  <c r="D1428" i="5" s="1"/>
  <c r="F1428" i="5" s="1"/>
  <c r="M1427" i="5"/>
  <c r="L1427" i="5"/>
  <c r="C1427" i="5"/>
  <c r="D1427" i="5" s="1"/>
  <c r="F1427" i="5" s="1"/>
  <c r="M1426" i="5"/>
  <c r="L1426" i="5"/>
  <c r="D1426" i="5"/>
  <c r="F1426" i="5" s="1"/>
  <c r="C1426" i="5"/>
  <c r="M1425" i="5"/>
  <c r="L1425" i="5"/>
  <c r="C1425" i="5"/>
  <c r="D1425" i="5" s="1"/>
  <c r="F1425" i="5" s="1"/>
  <c r="M1424" i="5"/>
  <c r="L1424" i="5"/>
  <c r="C1424" i="5"/>
  <c r="D1424" i="5" s="1"/>
  <c r="F1424" i="5" s="1"/>
  <c r="M1423" i="5"/>
  <c r="L1423" i="5"/>
  <c r="C1423" i="5"/>
  <c r="D1423" i="5" s="1"/>
  <c r="F1423" i="5" s="1"/>
  <c r="M1422" i="5"/>
  <c r="L1422" i="5"/>
  <c r="C1422" i="5"/>
  <c r="D1422" i="5" s="1"/>
  <c r="F1422" i="5" s="1"/>
  <c r="M1421" i="5"/>
  <c r="L1421" i="5"/>
  <c r="C1421" i="5"/>
  <c r="D1421" i="5" s="1"/>
  <c r="F1421" i="5" s="1"/>
  <c r="M1420" i="5"/>
  <c r="L1420" i="5"/>
  <c r="C1420" i="5"/>
  <c r="D1420" i="5" s="1"/>
  <c r="F1420" i="5" s="1"/>
  <c r="M1419" i="5"/>
  <c r="L1419" i="5"/>
  <c r="C1419" i="5"/>
  <c r="D1419" i="5" s="1"/>
  <c r="F1419" i="5" s="1"/>
  <c r="M1418" i="5"/>
  <c r="L1418" i="5"/>
  <c r="D1418" i="5"/>
  <c r="F1418" i="5" s="1"/>
  <c r="C1418" i="5"/>
  <c r="M1417" i="5"/>
  <c r="L1417" i="5"/>
  <c r="C1417" i="5"/>
  <c r="D1417" i="5" s="1"/>
  <c r="F1417" i="5" s="1"/>
  <c r="M1416" i="5"/>
  <c r="L1416" i="5"/>
  <c r="C1416" i="5"/>
  <c r="D1416" i="5" s="1"/>
  <c r="F1416" i="5" s="1"/>
  <c r="M1415" i="5"/>
  <c r="L1415" i="5"/>
  <c r="C1415" i="5"/>
  <c r="D1415" i="5" s="1"/>
  <c r="F1415" i="5" s="1"/>
  <c r="M1414" i="5"/>
  <c r="L1414" i="5"/>
  <c r="C1414" i="5"/>
  <c r="D1414" i="5" s="1"/>
  <c r="F1414" i="5" s="1"/>
  <c r="M1413" i="5"/>
  <c r="L1413" i="5"/>
  <c r="C1413" i="5"/>
  <c r="D1413" i="5" s="1"/>
  <c r="F1413" i="5" s="1"/>
  <c r="M1412" i="5"/>
  <c r="L1412" i="5"/>
  <c r="C1412" i="5"/>
  <c r="D1412" i="5" s="1"/>
  <c r="F1412" i="5" s="1"/>
  <c r="M1411" i="5"/>
  <c r="L1411" i="5"/>
  <c r="C1411" i="5"/>
  <c r="D1411" i="5" s="1"/>
  <c r="F1411" i="5" s="1"/>
  <c r="M1410" i="5"/>
  <c r="L1410" i="5"/>
  <c r="D1410" i="5"/>
  <c r="F1410" i="5" s="1"/>
  <c r="C1410" i="5"/>
  <c r="M1409" i="5"/>
  <c r="L1409" i="5"/>
  <c r="C1409" i="5"/>
  <c r="D1409" i="5" s="1"/>
  <c r="F1409" i="5" s="1"/>
  <c r="M1408" i="5"/>
  <c r="L1408" i="5"/>
  <c r="C1408" i="5"/>
  <c r="D1408" i="5" s="1"/>
  <c r="F1408" i="5" s="1"/>
  <c r="M1407" i="5"/>
  <c r="L1407" i="5"/>
  <c r="C1407" i="5"/>
  <c r="D1407" i="5" s="1"/>
  <c r="F1407" i="5" s="1"/>
  <c r="M1406" i="5"/>
  <c r="L1406" i="5"/>
  <c r="C1406" i="5"/>
  <c r="D1406" i="5" s="1"/>
  <c r="F1406" i="5" s="1"/>
  <c r="M1405" i="5"/>
  <c r="L1405" i="5"/>
  <c r="C1405" i="5"/>
  <c r="D1405" i="5" s="1"/>
  <c r="F1405" i="5" s="1"/>
  <c r="M1404" i="5"/>
  <c r="L1404" i="5"/>
  <c r="C1404" i="5"/>
  <c r="D1404" i="5" s="1"/>
  <c r="F1404" i="5" s="1"/>
  <c r="M1403" i="5"/>
  <c r="L1403" i="5"/>
  <c r="C1403" i="5"/>
  <c r="D1403" i="5" s="1"/>
  <c r="F1403" i="5" s="1"/>
  <c r="M1402" i="5"/>
  <c r="L1402" i="5"/>
  <c r="D1402" i="5"/>
  <c r="F1402" i="5" s="1"/>
  <c r="C1402" i="5"/>
  <c r="M1401" i="5"/>
  <c r="L1401" i="5"/>
  <c r="C1401" i="5"/>
  <c r="D1401" i="5" s="1"/>
  <c r="F1401" i="5" s="1"/>
  <c r="M1400" i="5"/>
  <c r="L1400" i="5"/>
  <c r="C1400" i="5"/>
  <c r="D1400" i="5" s="1"/>
  <c r="F1400" i="5" s="1"/>
  <c r="M1399" i="5"/>
  <c r="L1399" i="5"/>
  <c r="C1399" i="5"/>
  <c r="D1399" i="5" s="1"/>
  <c r="F1399" i="5" s="1"/>
  <c r="M1398" i="5"/>
  <c r="L1398" i="5"/>
  <c r="C1398" i="5"/>
  <c r="D1398" i="5" s="1"/>
  <c r="F1398" i="5" s="1"/>
  <c r="M1397" i="5"/>
  <c r="L1397" i="5"/>
  <c r="C1397" i="5"/>
  <c r="D1397" i="5" s="1"/>
  <c r="F1397" i="5" s="1"/>
  <c r="M1396" i="5"/>
  <c r="L1396" i="5"/>
  <c r="C1396" i="5"/>
  <c r="D1396" i="5" s="1"/>
  <c r="F1396" i="5" s="1"/>
  <c r="M1395" i="5"/>
  <c r="L1395" i="5"/>
  <c r="C1395" i="5"/>
  <c r="D1395" i="5" s="1"/>
  <c r="F1395" i="5" s="1"/>
  <c r="M1394" i="5"/>
  <c r="L1394" i="5"/>
  <c r="D1394" i="5"/>
  <c r="F1394" i="5" s="1"/>
  <c r="C1394" i="5"/>
  <c r="M1393" i="5"/>
  <c r="L1393" i="5"/>
  <c r="C1393" i="5"/>
  <c r="D1393" i="5" s="1"/>
  <c r="F1393" i="5" s="1"/>
  <c r="M1392" i="5"/>
  <c r="L1392" i="5"/>
  <c r="C1392" i="5"/>
  <c r="D1392" i="5" s="1"/>
  <c r="F1392" i="5" s="1"/>
  <c r="M1391" i="5"/>
  <c r="L1391" i="5"/>
  <c r="C1391" i="5"/>
  <c r="D1391" i="5" s="1"/>
  <c r="F1391" i="5" s="1"/>
  <c r="M1390" i="5"/>
  <c r="L1390" i="5"/>
  <c r="C1390" i="5"/>
  <c r="D1390" i="5" s="1"/>
  <c r="F1390" i="5" s="1"/>
  <c r="M1389" i="5"/>
  <c r="L1389" i="5"/>
  <c r="C1389" i="5"/>
  <c r="D1389" i="5" s="1"/>
  <c r="F1389" i="5" s="1"/>
  <c r="M1388" i="5"/>
  <c r="L1388" i="5"/>
  <c r="C1388" i="5"/>
  <c r="D1388" i="5" s="1"/>
  <c r="F1388" i="5" s="1"/>
  <c r="M1387" i="5"/>
  <c r="L1387" i="5"/>
  <c r="C1387" i="5"/>
  <c r="D1387" i="5" s="1"/>
  <c r="F1387" i="5" s="1"/>
  <c r="M1386" i="5"/>
  <c r="L1386" i="5"/>
  <c r="D1386" i="5"/>
  <c r="F1386" i="5" s="1"/>
  <c r="C1386" i="5"/>
  <c r="M1385" i="5"/>
  <c r="L1385" i="5"/>
  <c r="C1385" i="5"/>
  <c r="D1385" i="5" s="1"/>
  <c r="F1385" i="5" s="1"/>
  <c r="M1384" i="5"/>
  <c r="L1384" i="5"/>
  <c r="C1384" i="5"/>
  <c r="D1384" i="5" s="1"/>
  <c r="F1384" i="5" s="1"/>
  <c r="M1383" i="5"/>
  <c r="L1383" i="5"/>
  <c r="C1383" i="5"/>
  <c r="D1383" i="5" s="1"/>
  <c r="F1383" i="5" s="1"/>
  <c r="M1382" i="5"/>
  <c r="L1382" i="5"/>
  <c r="C1382" i="5"/>
  <c r="D1382" i="5" s="1"/>
  <c r="F1382" i="5" s="1"/>
  <c r="M1381" i="5"/>
  <c r="L1381" i="5"/>
  <c r="C1381" i="5"/>
  <c r="D1381" i="5" s="1"/>
  <c r="F1381" i="5" s="1"/>
  <c r="M1380" i="5"/>
  <c r="L1380" i="5"/>
  <c r="C1380" i="5"/>
  <c r="D1380" i="5" s="1"/>
  <c r="F1380" i="5" s="1"/>
  <c r="M1379" i="5"/>
  <c r="L1379" i="5"/>
  <c r="C1379" i="5"/>
  <c r="D1379" i="5" s="1"/>
  <c r="F1379" i="5" s="1"/>
  <c r="M1378" i="5"/>
  <c r="L1378" i="5"/>
  <c r="D1378" i="5"/>
  <c r="F1378" i="5" s="1"/>
  <c r="C1378" i="5"/>
  <c r="M1377" i="5"/>
  <c r="L1377" i="5"/>
  <c r="C1377" i="5"/>
  <c r="D1377" i="5" s="1"/>
  <c r="F1377" i="5" s="1"/>
  <c r="M1376" i="5"/>
  <c r="L1376" i="5"/>
  <c r="C1376" i="5"/>
  <c r="D1376" i="5" s="1"/>
  <c r="F1376" i="5" s="1"/>
  <c r="M1375" i="5"/>
  <c r="L1375" i="5"/>
  <c r="C1375" i="5"/>
  <c r="D1375" i="5" s="1"/>
  <c r="F1375" i="5" s="1"/>
  <c r="M1374" i="5"/>
  <c r="L1374" i="5"/>
  <c r="C1374" i="5"/>
  <c r="D1374" i="5" s="1"/>
  <c r="F1374" i="5" s="1"/>
  <c r="M1373" i="5"/>
  <c r="L1373" i="5"/>
  <c r="C1373" i="5"/>
  <c r="D1373" i="5" s="1"/>
  <c r="F1373" i="5" s="1"/>
  <c r="M1372" i="5"/>
  <c r="L1372" i="5"/>
  <c r="C1372" i="5"/>
  <c r="D1372" i="5" s="1"/>
  <c r="F1372" i="5" s="1"/>
  <c r="M1371" i="5"/>
  <c r="L1371" i="5"/>
  <c r="C1371" i="5"/>
  <c r="D1371" i="5" s="1"/>
  <c r="F1371" i="5" s="1"/>
  <c r="M1370" i="5"/>
  <c r="L1370" i="5"/>
  <c r="D1370" i="5"/>
  <c r="F1370" i="5" s="1"/>
  <c r="C1370" i="5"/>
  <c r="M1369" i="5"/>
  <c r="L1369" i="5"/>
  <c r="C1369" i="5"/>
  <c r="D1369" i="5" s="1"/>
  <c r="F1369" i="5" s="1"/>
  <c r="M1368" i="5"/>
  <c r="L1368" i="5"/>
  <c r="C1368" i="5"/>
  <c r="D1368" i="5" s="1"/>
  <c r="F1368" i="5" s="1"/>
  <c r="M1367" i="5"/>
  <c r="L1367" i="5"/>
  <c r="C1367" i="5"/>
  <c r="D1367" i="5" s="1"/>
  <c r="F1367" i="5" s="1"/>
  <c r="M1366" i="5"/>
  <c r="L1366" i="5"/>
  <c r="C1366" i="5"/>
  <c r="D1366" i="5" s="1"/>
  <c r="F1366" i="5" s="1"/>
  <c r="M1365" i="5"/>
  <c r="L1365" i="5"/>
  <c r="C1365" i="5"/>
  <c r="D1365" i="5" s="1"/>
  <c r="F1365" i="5" s="1"/>
  <c r="M1364" i="5"/>
  <c r="L1364" i="5"/>
  <c r="C1364" i="5"/>
  <c r="D1364" i="5" s="1"/>
  <c r="F1364" i="5" s="1"/>
  <c r="M1363" i="5"/>
  <c r="L1363" i="5"/>
  <c r="C1363" i="5"/>
  <c r="D1363" i="5" s="1"/>
  <c r="F1363" i="5" s="1"/>
  <c r="M1362" i="5"/>
  <c r="L1362" i="5"/>
  <c r="D1362" i="5"/>
  <c r="F1362" i="5" s="1"/>
  <c r="C1362" i="5"/>
  <c r="M1361" i="5"/>
  <c r="L1361" i="5"/>
  <c r="C1361" i="5"/>
  <c r="D1361" i="5" s="1"/>
  <c r="F1361" i="5" s="1"/>
  <c r="M1360" i="5"/>
  <c r="L1360" i="5"/>
  <c r="C1360" i="5"/>
  <c r="D1360" i="5" s="1"/>
  <c r="F1360" i="5" s="1"/>
  <c r="M1359" i="5"/>
  <c r="L1359" i="5"/>
  <c r="C1359" i="5"/>
  <c r="D1359" i="5" s="1"/>
  <c r="F1359" i="5" s="1"/>
  <c r="M1358" i="5"/>
  <c r="L1358" i="5"/>
  <c r="C1358" i="5"/>
  <c r="D1358" i="5" s="1"/>
  <c r="F1358" i="5" s="1"/>
  <c r="M1357" i="5"/>
  <c r="L1357" i="5"/>
  <c r="C1357" i="5"/>
  <c r="D1357" i="5" s="1"/>
  <c r="F1357" i="5" s="1"/>
  <c r="M1356" i="5"/>
  <c r="L1356" i="5"/>
  <c r="C1356" i="5"/>
  <c r="D1356" i="5" s="1"/>
  <c r="F1356" i="5" s="1"/>
  <c r="M1355" i="5"/>
  <c r="L1355" i="5"/>
  <c r="C1355" i="5"/>
  <c r="D1355" i="5" s="1"/>
  <c r="F1355" i="5" s="1"/>
  <c r="M1354" i="5"/>
  <c r="L1354" i="5"/>
  <c r="D1354" i="5"/>
  <c r="F1354" i="5" s="1"/>
  <c r="C1354" i="5"/>
  <c r="M1353" i="5"/>
  <c r="L1353" i="5"/>
  <c r="C1353" i="5"/>
  <c r="D1353" i="5" s="1"/>
  <c r="F1353" i="5" s="1"/>
  <c r="M1352" i="5"/>
  <c r="L1352" i="5"/>
  <c r="C1352" i="5"/>
  <c r="D1352" i="5" s="1"/>
  <c r="F1352" i="5" s="1"/>
  <c r="M1351" i="5"/>
  <c r="L1351" i="5"/>
  <c r="C1351" i="5"/>
  <c r="D1351" i="5" s="1"/>
  <c r="F1351" i="5" s="1"/>
  <c r="M1350" i="5"/>
  <c r="L1350" i="5"/>
  <c r="C1350" i="5"/>
  <c r="D1350" i="5" s="1"/>
  <c r="F1350" i="5" s="1"/>
  <c r="M1349" i="5"/>
  <c r="L1349" i="5"/>
  <c r="C1349" i="5"/>
  <c r="D1349" i="5" s="1"/>
  <c r="F1349" i="5" s="1"/>
  <c r="M1348" i="5"/>
  <c r="L1348" i="5"/>
  <c r="C1348" i="5"/>
  <c r="D1348" i="5" s="1"/>
  <c r="F1348" i="5" s="1"/>
  <c r="M1347" i="5"/>
  <c r="L1347" i="5"/>
  <c r="C1347" i="5"/>
  <c r="D1347" i="5" s="1"/>
  <c r="F1347" i="5" s="1"/>
  <c r="M1346" i="5"/>
  <c r="L1346" i="5"/>
  <c r="D1346" i="5"/>
  <c r="F1346" i="5" s="1"/>
  <c r="C1346" i="5"/>
  <c r="M1345" i="5"/>
  <c r="L1345" i="5"/>
  <c r="C1345" i="5"/>
  <c r="D1345" i="5" s="1"/>
  <c r="F1345" i="5" s="1"/>
  <c r="M1344" i="5"/>
  <c r="L1344" i="5"/>
  <c r="C1344" i="5"/>
  <c r="D1344" i="5" s="1"/>
  <c r="F1344" i="5" s="1"/>
  <c r="M1343" i="5"/>
  <c r="L1343" i="5"/>
  <c r="C1343" i="5"/>
  <c r="D1343" i="5" s="1"/>
  <c r="F1343" i="5" s="1"/>
  <c r="M1342" i="5"/>
  <c r="L1342" i="5"/>
  <c r="C1342" i="5"/>
  <c r="D1342" i="5" s="1"/>
  <c r="F1342" i="5" s="1"/>
  <c r="M1341" i="5"/>
  <c r="L1341" i="5"/>
  <c r="C1341" i="5"/>
  <c r="D1341" i="5" s="1"/>
  <c r="F1341" i="5" s="1"/>
  <c r="M1340" i="5"/>
  <c r="L1340" i="5"/>
  <c r="C1340" i="5"/>
  <c r="D1340" i="5" s="1"/>
  <c r="F1340" i="5" s="1"/>
  <c r="M1339" i="5"/>
  <c r="L1339" i="5"/>
  <c r="C1339" i="5"/>
  <c r="D1339" i="5" s="1"/>
  <c r="F1339" i="5" s="1"/>
  <c r="M1338" i="5"/>
  <c r="L1338" i="5"/>
  <c r="D1338" i="5"/>
  <c r="F1338" i="5" s="1"/>
  <c r="C1338" i="5"/>
  <c r="M1337" i="5"/>
  <c r="L1337" i="5"/>
  <c r="C1337" i="5"/>
  <c r="D1337" i="5" s="1"/>
  <c r="F1337" i="5" s="1"/>
  <c r="M1336" i="5"/>
  <c r="L1336" i="5"/>
  <c r="C1336" i="5"/>
  <c r="D1336" i="5" s="1"/>
  <c r="F1336" i="5" s="1"/>
  <c r="M1335" i="5"/>
  <c r="L1335" i="5"/>
  <c r="C1335" i="5"/>
  <c r="D1335" i="5" s="1"/>
  <c r="F1335" i="5" s="1"/>
  <c r="M1334" i="5"/>
  <c r="L1334" i="5"/>
  <c r="C1334" i="5"/>
  <c r="D1334" i="5" s="1"/>
  <c r="F1334" i="5" s="1"/>
  <c r="M1333" i="5"/>
  <c r="L1333" i="5"/>
  <c r="C1333" i="5"/>
  <c r="D1333" i="5" s="1"/>
  <c r="F1333" i="5" s="1"/>
  <c r="M1332" i="5"/>
  <c r="L1332" i="5"/>
  <c r="C1332" i="5"/>
  <c r="D1332" i="5" s="1"/>
  <c r="F1332" i="5" s="1"/>
  <c r="M1331" i="5"/>
  <c r="L1331" i="5"/>
  <c r="C1331" i="5"/>
  <c r="D1331" i="5" s="1"/>
  <c r="F1331" i="5" s="1"/>
  <c r="M1330" i="5"/>
  <c r="L1330" i="5"/>
  <c r="D1330" i="5"/>
  <c r="F1330" i="5" s="1"/>
  <c r="C1330" i="5"/>
  <c r="M1329" i="5"/>
  <c r="L1329" i="5"/>
  <c r="C1329" i="5"/>
  <c r="D1329" i="5" s="1"/>
  <c r="F1329" i="5" s="1"/>
  <c r="M1328" i="5"/>
  <c r="L1328" i="5"/>
  <c r="C1328" i="5"/>
  <c r="D1328" i="5" s="1"/>
  <c r="F1328" i="5" s="1"/>
  <c r="M1327" i="5"/>
  <c r="L1327" i="5"/>
  <c r="C1327" i="5"/>
  <c r="D1327" i="5" s="1"/>
  <c r="F1327" i="5" s="1"/>
  <c r="M1326" i="5"/>
  <c r="L1326" i="5"/>
  <c r="C1326" i="5"/>
  <c r="D1326" i="5" s="1"/>
  <c r="F1326" i="5" s="1"/>
  <c r="M1325" i="5"/>
  <c r="L1325" i="5"/>
  <c r="C1325" i="5"/>
  <c r="D1325" i="5" s="1"/>
  <c r="F1325" i="5" s="1"/>
  <c r="M1324" i="5"/>
  <c r="L1324" i="5"/>
  <c r="C1324" i="5"/>
  <c r="D1324" i="5" s="1"/>
  <c r="F1324" i="5" s="1"/>
  <c r="M1323" i="5"/>
  <c r="L1323" i="5"/>
  <c r="C1323" i="5"/>
  <c r="D1323" i="5" s="1"/>
  <c r="F1323" i="5" s="1"/>
  <c r="M1322" i="5"/>
  <c r="L1322" i="5"/>
  <c r="D1322" i="5"/>
  <c r="F1322" i="5" s="1"/>
  <c r="C1322" i="5"/>
  <c r="M1321" i="5"/>
  <c r="L1321" i="5"/>
  <c r="C1321" i="5"/>
  <c r="D1321" i="5" s="1"/>
  <c r="F1321" i="5" s="1"/>
  <c r="M1320" i="5"/>
  <c r="L1320" i="5"/>
  <c r="C1320" i="5"/>
  <c r="D1320" i="5" s="1"/>
  <c r="F1320" i="5" s="1"/>
  <c r="M1319" i="5"/>
  <c r="L1319" i="5"/>
  <c r="C1319" i="5"/>
  <c r="D1319" i="5" s="1"/>
  <c r="F1319" i="5" s="1"/>
  <c r="M1318" i="5"/>
  <c r="L1318" i="5"/>
  <c r="C1318" i="5"/>
  <c r="D1318" i="5" s="1"/>
  <c r="F1318" i="5" s="1"/>
  <c r="M1317" i="5"/>
  <c r="L1317" i="5"/>
  <c r="C1317" i="5"/>
  <c r="D1317" i="5" s="1"/>
  <c r="F1317" i="5" s="1"/>
  <c r="M1316" i="5"/>
  <c r="L1316" i="5"/>
  <c r="C1316" i="5"/>
  <c r="D1316" i="5" s="1"/>
  <c r="F1316" i="5" s="1"/>
  <c r="M1315" i="5"/>
  <c r="L1315" i="5"/>
  <c r="C1315" i="5"/>
  <c r="D1315" i="5" s="1"/>
  <c r="F1315" i="5" s="1"/>
  <c r="M1314" i="5"/>
  <c r="L1314" i="5"/>
  <c r="D1314" i="5"/>
  <c r="F1314" i="5" s="1"/>
  <c r="C1314" i="5"/>
  <c r="M1313" i="5"/>
  <c r="L1313" i="5"/>
  <c r="C1313" i="5"/>
  <c r="D1313" i="5" s="1"/>
  <c r="F1313" i="5" s="1"/>
  <c r="M1312" i="5"/>
  <c r="L1312" i="5"/>
  <c r="C1312" i="5"/>
  <c r="D1312" i="5" s="1"/>
  <c r="F1312" i="5" s="1"/>
  <c r="M1311" i="5"/>
  <c r="L1311" i="5"/>
  <c r="C1311" i="5"/>
  <c r="D1311" i="5" s="1"/>
  <c r="F1311" i="5" s="1"/>
  <c r="M1310" i="5"/>
  <c r="L1310" i="5"/>
  <c r="C1310" i="5"/>
  <c r="D1310" i="5" s="1"/>
  <c r="F1310" i="5" s="1"/>
  <c r="M1309" i="5"/>
  <c r="L1309" i="5"/>
  <c r="C1309" i="5"/>
  <c r="D1309" i="5" s="1"/>
  <c r="F1309" i="5" s="1"/>
  <c r="M1308" i="5"/>
  <c r="L1308" i="5"/>
  <c r="C1308" i="5"/>
  <c r="D1308" i="5" s="1"/>
  <c r="F1308" i="5" s="1"/>
  <c r="M1307" i="5"/>
  <c r="L1307" i="5"/>
  <c r="C1307" i="5"/>
  <c r="D1307" i="5" s="1"/>
  <c r="F1307" i="5" s="1"/>
  <c r="M1306" i="5"/>
  <c r="L1306" i="5"/>
  <c r="D1306" i="5"/>
  <c r="F1306" i="5" s="1"/>
  <c r="C1306" i="5"/>
  <c r="M1305" i="5"/>
  <c r="L1305" i="5"/>
  <c r="C1305" i="5"/>
  <c r="D1305" i="5" s="1"/>
  <c r="F1305" i="5" s="1"/>
  <c r="M1304" i="5"/>
  <c r="L1304" i="5"/>
  <c r="C1304" i="5"/>
  <c r="D1304" i="5" s="1"/>
  <c r="F1304" i="5" s="1"/>
  <c r="M1303" i="5"/>
  <c r="L1303" i="5"/>
  <c r="C1303" i="5"/>
  <c r="D1303" i="5" s="1"/>
  <c r="F1303" i="5" s="1"/>
  <c r="M1302" i="5"/>
  <c r="L1302" i="5"/>
  <c r="C1302" i="5"/>
  <c r="D1302" i="5" s="1"/>
  <c r="F1302" i="5" s="1"/>
  <c r="M1301" i="5"/>
  <c r="L1301" i="5"/>
  <c r="C1301" i="5"/>
  <c r="D1301" i="5" s="1"/>
  <c r="F1301" i="5" s="1"/>
  <c r="M1300" i="5"/>
  <c r="L1300" i="5"/>
  <c r="C1300" i="5"/>
  <c r="D1300" i="5" s="1"/>
  <c r="F1300" i="5" s="1"/>
  <c r="M1299" i="5"/>
  <c r="L1299" i="5"/>
  <c r="C1299" i="5"/>
  <c r="D1299" i="5" s="1"/>
  <c r="F1299" i="5" s="1"/>
  <c r="M1298" i="5"/>
  <c r="L1298" i="5"/>
  <c r="D1298" i="5"/>
  <c r="F1298" i="5" s="1"/>
  <c r="C1298" i="5"/>
  <c r="M1297" i="5"/>
  <c r="L1297" i="5"/>
  <c r="C1297" i="5"/>
  <c r="D1297" i="5" s="1"/>
  <c r="F1297" i="5" s="1"/>
  <c r="M1296" i="5"/>
  <c r="L1296" i="5"/>
  <c r="C1296" i="5"/>
  <c r="D1296" i="5" s="1"/>
  <c r="F1296" i="5" s="1"/>
  <c r="M1295" i="5"/>
  <c r="L1295" i="5"/>
  <c r="C1295" i="5"/>
  <c r="D1295" i="5" s="1"/>
  <c r="F1295" i="5" s="1"/>
  <c r="M1294" i="5"/>
  <c r="L1294" i="5"/>
  <c r="C1294" i="5"/>
  <c r="D1294" i="5" s="1"/>
  <c r="F1294" i="5" s="1"/>
  <c r="M1293" i="5"/>
  <c r="L1293" i="5"/>
  <c r="C1293" i="5"/>
  <c r="D1293" i="5" s="1"/>
  <c r="F1293" i="5" s="1"/>
  <c r="M1292" i="5"/>
  <c r="L1292" i="5"/>
  <c r="C1292" i="5"/>
  <c r="D1292" i="5" s="1"/>
  <c r="F1292" i="5" s="1"/>
  <c r="M1291" i="5"/>
  <c r="L1291" i="5"/>
  <c r="C1291" i="5"/>
  <c r="D1291" i="5" s="1"/>
  <c r="F1291" i="5" s="1"/>
  <c r="M1290" i="5"/>
  <c r="L1290" i="5"/>
  <c r="D1290" i="5"/>
  <c r="F1290" i="5" s="1"/>
  <c r="C1290" i="5"/>
  <c r="M1289" i="5"/>
  <c r="L1289" i="5"/>
  <c r="C1289" i="5"/>
  <c r="D1289" i="5" s="1"/>
  <c r="F1289" i="5" s="1"/>
  <c r="M1288" i="5"/>
  <c r="L1288" i="5"/>
  <c r="C1288" i="5"/>
  <c r="D1288" i="5" s="1"/>
  <c r="F1288" i="5" s="1"/>
  <c r="M1287" i="5"/>
  <c r="L1287" i="5"/>
  <c r="C1287" i="5"/>
  <c r="D1287" i="5" s="1"/>
  <c r="F1287" i="5" s="1"/>
  <c r="M1286" i="5"/>
  <c r="L1286" i="5"/>
  <c r="C1286" i="5"/>
  <c r="D1286" i="5" s="1"/>
  <c r="F1286" i="5" s="1"/>
  <c r="M1285" i="5"/>
  <c r="L1285" i="5"/>
  <c r="C1285" i="5"/>
  <c r="D1285" i="5" s="1"/>
  <c r="F1285" i="5" s="1"/>
  <c r="M1284" i="5"/>
  <c r="L1284" i="5"/>
  <c r="C1284" i="5"/>
  <c r="D1284" i="5" s="1"/>
  <c r="F1284" i="5" s="1"/>
  <c r="M1283" i="5"/>
  <c r="L1283" i="5"/>
  <c r="C1283" i="5"/>
  <c r="D1283" i="5" s="1"/>
  <c r="F1283" i="5" s="1"/>
  <c r="M1282" i="5"/>
  <c r="L1282" i="5"/>
  <c r="D1282" i="5"/>
  <c r="F1282" i="5" s="1"/>
  <c r="C1282" i="5"/>
  <c r="M1281" i="5"/>
  <c r="L1281" i="5"/>
  <c r="C1281" i="5"/>
  <c r="D1281" i="5" s="1"/>
  <c r="F1281" i="5" s="1"/>
  <c r="M1280" i="5"/>
  <c r="L1280" i="5"/>
  <c r="C1280" i="5"/>
  <c r="D1280" i="5" s="1"/>
  <c r="F1280" i="5" s="1"/>
  <c r="M1279" i="5"/>
  <c r="L1279" i="5"/>
  <c r="C1279" i="5"/>
  <c r="D1279" i="5" s="1"/>
  <c r="F1279" i="5" s="1"/>
  <c r="M1278" i="5"/>
  <c r="L1278" i="5"/>
  <c r="C1278" i="5"/>
  <c r="D1278" i="5" s="1"/>
  <c r="F1278" i="5" s="1"/>
  <c r="M1277" i="5"/>
  <c r="L1277" i="5"/>
  <c r="C1277" i="5"/>
  <c r="D1277" i="5" s="1"/>
  <c r="F1277" i="5" s="1"/>
  <c r="M1276" i="5"/>
  <c r="L1276" i="5"/>
  <c r="C1276" i="5"/>
  <c r="D1276" i="5" s="1"/>
  <c r="F1276" i="5" s="1"/>
  <c r="M1275" i="5"/>
  <c r="L1275" i="5"/>
  <c r="C1275" i="5"/>
  <c r="D1275" i="5" s="1"/>
  <c r="F1275" i="5" s="1"/>
  <c r="M1274" i="5"/>
  <c r="L1274" i="5"/>
  <c r="D1274" i="5"/>
  <c r="F1274" i="5" s="1"/>
  <c r="C1274" i="5"/>
  <c r="M1273" i="5"/>
  <c r="L1273" i="5"/>
  <c r="C1273" i="5"/>
  <c r="D1273" i="5" s="1"/>
  <c r="F1273" i="5" s="1"/>
  <c r="M1272" i="5"/>
  <c r="L1272" i="5"/>
  <c r="C1272" i="5"/>
  <c r="D1272" i="5" s="1"/>
  <c r="F1272" i="5" s="1"/>
  <c r="M1271" i="5"/>
  <c r="L1271" i="5"/>
  <c r="C1271" i="5"/>
  <c r="D1271" i="5" s="1"/>
  <c r="F1271" i="5" s="1"/>
  <c r="M1270" i="5"/>
  <c r="L1270" i="5"/>
  <c r="C1270" i="5"/>
  <c r="D1270" i="5" s="1"/>
  <c r="F1270" i="5" s="1"/>
  <c r="M1269" i="5"/>
  <c r="L1269" i="5"/>
  <c r="C1269" i="5"/>
  <c r="D1269" i="5" s="1"/>
  <c r="F1269" i="5" s="1"/>
  <c r="M1268" i="5"/>
  <c r="L1268" i="5"/>
  <c r="C1268" i="5"/>
  <c r="D1268" i="5" s="1"/>
  <c r="F1268" i="5" s="1"/>
  <c r="M1267" i="5"/>
  <c r="L1267" i="5"/>
  <c r="C1267" i="5"/>
  <c r="D1267" i="5" s="1"/>
  <c r="F1267" i="5" s="1"/>
  <c r="M1266" i="5"/>
  <c r="L1266" i="5"/>
  <c r="D1266" i="5"/>
  <c r="F1266" i="5" s="1"/>
  <c r="C1266" i="5"/>
  <c r="M1265" i="5"/>
  <c r="L1265" i="5"/>
  <c r="C1265" i="5"/>
  <c r="D1265" i="5" s="1"/>
  <c r="F1265" i="5" s="1"/>
  <c r="M1264" i="5"/>
  <c r="L1264" i="5"/>
  <c r="C1264" i="5"/>
  <c r="D1264" i="5" s="1"/>
  <c r="F1264" i="5" s="1"/>
  <c r="M1263" i="5"/>
  <c r="L1263" i="5"/>
  <c r="C1263" i="5"/>
  <c r="D1263" i="5" s="1"/>
  <c r="F1263" i="5" s="1"/>
  <c r="M1262" i="5"/>
  <c r="L1262" i="5"/>
  <c r="C1262" i="5"/>
  <c r="D1262" i="5" s="1"/>
  <c r="F1262" i="5" s="1"/>
  <c r="M1261" i="5"/>
  <c r="L1261" i="5"/>
  <c r="C1261" i="5"/>
  <c r="D1261" i="5" s="1"/>
  <c r="F1261" i="5" s="1"/>
  <c r="M1260" i="5"/>
  <c r="L1260" i="5"/>
  <c r="C1260" i="5"/>
  <c r="D1260" i="5" s="1"/>
  <c r="F1260" i="5" s="1"/>
  <c r="M1259" i="5"/>
  <c r="L1259" i="5"/>
  <c r="C1259" i="5"/>
  <c r="D1259" i="5" s="1"/>
  <c r="F1259" i="5" s="1"/>
  <c r="M1258" i="5"/>
  <c r="L1258" i="5"/>
  <c r="D1258" i="5"/>
  <c r="F1258" i="5" s="1"/>
  <c r="C1258" i="5"/>
  <c r="M1257" i="5"/>
  <c r="L1257" i="5"/>
  <c r="C1257" i="5"/>
  <c r="D1257" i="5" s="1"/>
  <c r="F1257" i="5" s="1"/>
  <c r="M1256" i="5"/>
  <c r="L1256" i="5"/>
  <c r="C1256" i="5"/>
  <c r="D1256" i="5" s="1"/>
  <c r="F1256" i="5" s="1"/>
  <c r="M1255" i="5"/>
  <c r="L1255" i="5"/>
  <c r="C1255" i="5"/>
  <c r="D1255" i="5" s="1"/>
  <c r="F1255" i="5" s="1"/>
  <c r="M1254" i="5"/>
  <c r="L1254" i="5"/>
  <c r="C1254" i="5"/>
  <c r="D1254" i="5" s="1"/>
  <c r="F1254" i="5" s="1"/>
  <c r="M1253" i="5"/>
  <c r="L1253" i="5"/>
  <c r="C1253" i="5"/>
  <c r="D1253" i="5" s="1"/>
  <c r="F1253" i="5" s="1"/>
  <c r="M1252" i="5"/>
  <c r="L1252" i="5"/>
  <c r="C1252" i="5"/>
  <c r="D1252" i="5" s="1"/>
  <c r="F1252" i="5" s="1"/>
  <c r="M1251" i="5"/>
  <c r="L1251" i="5"/>
  <c r="C1251" i="5"/>
  <c r="D1251" i="5" s="1"/>
  <c r="F1251" i="5" s="1"/>
  <c r="M1250" i="5"/>
  <c r="L1250" i="5"/>
  <c r="D1250" i="5"/>
  <c r="F1250" i="5" s="1"/>
  <c r="C1250" i="5"/>
  <c r="M1249" i="5"/>
  <c r="L1249" i="5"/>
  <c r="C1249" i="5"/>
  <c r="D1249" i="5" s="1"/>
  <c r="F1249" i="5" s="1"/>
  <c r="M1248" i="5"/>
  <c r="L1248" i="5"/>
  <c r="C1248" i="5"/>
  <c r="D1248" i="5" s="1"/>
  <c r="F1248" i="5" s="1"/>
  <c r="M1247" i="5"/>
  <c r="L1247" i="5"/>
  <c r="C1247" i="5"/>
  <c r="D1247" i="5" s="1"/>
  <c r="F1247" i="5" s="1"/>
  <c r="M1246" i="5"/>
  <c r="L1246" i="5"/>
  <c r="C1246" i="5"/>
  <c r="D1246" i="5" s="1"/>
  <c r="F1246" i="5" s="1"/>
  <c r="M1245" i="5"/>
  <c r="L1245" i="5"/>
  <c r="C1245" i="5"/>
  <c r="D1245" i="5" s="1"/>
  <c r="F1245" i="5" s="1"/>
  <c r="M1244" i="5"/>
  <c r="L1244" i="5"/>
  <c r="C1244" i="5"/>
  <c r="D1244" i="5" s="1"/>
  <c r="F1244" i="5" s="1"/>
  <c r="M1243" i="5"/>
  <c r="L1243" i="5"/>
  <c r="C1243" i="5"/>
  <c r="D1243" i="5" s="1"/>
  <c r="F1243" i="5" s="1"/>
  <c r="M1242" i="5"/>
  <c r="L1242" i="5"/>
  <c r="D1242" i="5"/>
  <c r="F1242" i="5" s="1"/>
  <c r="C1242" i="5"/>
  <c r="M1241" i="5"/>
  <c r="L1241" i="5"/>
  <c r="C1241" i="5"/>
  <c r="D1241" i="5" s="1"/>
  <c r="F1241" i="5" s="1"/>
  <c r="M1240" i="5"/>
  <c r="L1240" i="5"/>
  <c r="C1240" i="5"/>
  <c r="D1240" i="5" s="1"/>
  <c r="F1240" i="5" s="1"/>
  <c r="M1239" i="5"/>
  <c r="L1239" i="5"/>
  <c r="C1239" i="5"/>
  <c r="D1239" i="5" s="1"/>
  <c r="F1239" i="5" s="1"/>
  <c r="M1238" i="5"/>
  <c r="L1238" i="5"/>
  <c r="C1238" i="5"/>
  <c r="D1238" i="5" s="1"/>
  <c r="F1238" i="5" s="1"/>
  <c r="M1237" i="5"/>
  <c r="L1237" i="5"/>
  <c r="C1237" i="5"/>
  <c r="D1237" i="5" s="1"/>
  <c r="F1237" i="5" s="1"/>
  <c r="M1236" i="5"/>
  <c r="L1236" i="5"/>
  <c r="C1236" i="5"/>
  <c r="D1236" i="5" s="1"/>
  <c r="F1236" i="5" s="1"/>
  <c r="M1235" i="5"/>
  <c r="L1235" i="5"/>
  <c r="C1235" i="5"/>
  <c r="D1235" i="5" s="1"/>
  <c r="F1235" i="5" s="1"/>
  <c r="M1234" i="5"/>
  <c r="L1234" i="5"/>
  <c r="D1234" i="5"/>
  <c r="F1234" i="5" s="1"/>
  <c r="C1234" i="5"/>
  <c r="M1233" i="5"/>
  <c r="L1233" i="5"/>
  <c r="C1233" i="5"/>
  <c r="D1233" i="5" s="1"/>
  <c r="F1233" i="5" s="1"/>
  <c r="M1232" i="5"/>
  <c r="L1232" i="5"/>
  <c r="C1232" i="5"/>
  <c r="D1232" i="5" s="1"/>
  <c r="F1232" i="5" s="1"/>
  <c r="M1231" i="5"/>
  <c r="L1231" i="5"/>
  <c r="C1231" i="5"/>
  <c r="D1231" i="5" s="1"/>
  <c r="F1231" i="5" s="1"/>
  <c r="M1230" i="5"/>
  <c r="L1230" i="5"/>
  <c r="C1230" i="5"/>
  <c r="D1230" i="5" s="1"/>
  <c r="F1230" i="5" s="1"/>
  <c r="M1229" i="5"/>
  <c r="L1229" i="5"/>
  <c r="C1229" i="5"/>
  <c r="D1229" i="5" s="1"/>
  <c r="F1229" i="5" s="1"/>
  <c r="M1228" i="5"/>
  <c r="L1228" i="5"/>
  <c r="C1228" i="5"/>
  <c r="D1228" i="5" s="1"/>
  <c r="F1228" i="5" s="1"/>
  <c r="M1227" i="5"/>
  <c r="L1227" i="5"/>
  <c r="C1227" i="5"/>
  <c r="D1227" i="5" s="1"/>
  <c r="F1227" i="5" s="1"/>
  <c r="M1226" i="5"/>
  <c r="L1226" i="5"/>
  <c r="D1226" i="5"/>
  <c r="F1226" i="5" s="1"/>
  <c r="C1226" i="5"/>
  <c r="M1225" i="5"/>
  <c r="L1225" i="5"/>
  <c r="C1225" i="5"/>
  <c r="D1225" i="5" s="1"/>
  <c r="F1225" i="5" s="1"/>
  <c r="M1224" i="5"/>
  <c r="L1224" i="5"/>
  <c r="C1224" i="5"/>
  <c r="D1224" i="5" s="1"/>
  <c r="F1224" i="5" s="1"/>
  <c r="M1223" i="5"/>
  <c r="L1223" i="5"/>
  <c r="C1223" i="5"/>
  <c r="D1223" i="5" s="1"/>
  <c r="F1223" i="5" s="1"/>
  <c r="M1222" i="5"/>
  <c r="L1222" i="5"/>
  <c r="C1222" i="5"/>
  <c r="D1222" i="5" s="1"/>
  <c r="F1222" i="5" s="1"/>
  <c r="M1221" i="5"/>
  <c r="L1221" i="5"/>
  <c r="C1221" i="5"/>
  <c r="D1221" i="5" s="1"/>
  <c r="F1221" i="5" s="1"/>
  <c r="M1220" i="5"/>
  <c r="L1220" i="5"/>
  <c r="C1220" i="5"/>
  <c r="D1220" i="5" s="1"/>
  <c r="F1220" i="5" s="1"/>
  <c r="M1219" i="5"/>
  <c r="L1219" i="5"/>
  <c r="C1219" i="5"/>
  <c r="D1219" i="5" s="1"/>
  <c r="F1219" i="5" s="1"/>
  <c r="M1218" i="5"/>
  <c r="L1218" i="5"/>
  <c r="D1218" i="5"/>
  <c r="F1218" i="5" s="1"/>
  <c r="C1218" i="5"/>
  <c r="M1217" i="5"/>
  <c r="L1217" i="5"/>
  <c r="C1217" i="5"/>
  <c r="D1217" i="5" s="1"/>
  <c r="F1217" i="5" s="1"/>
  <c r="M1216" i="5"/>
  <c r="L1216" i="5"/>
  <c r="C1216" i="5"/>
  <c r="D1216" i="5" s="1"/>
  <c r="F1216" i="5" s="1"/>
  <c r="M1215" i="5"/>
  <c r="L1215" i="5"/>
  <c r="C1215" i="5"/>
  <c r="D1215" i="5" s="1"/>
  <c r="F1215" i="5" s="1"/>
  <c r="M1214" i="5"/>
  <c r="L1214" i="5"/>
  <c r="C1214" i="5"/>
  <c r="D1214" i="5" s="1"/>
  <c r="F1214" i="5" s="1"/>
  <c r="M1213" i="5"/>
  <c r="L1213" i="5"/>
  <c r="C1213" i="5"/>
  <c r="D1213" i="5" s="1"/>
  <c r="F1213" i="5" s="1"/>
  <c r="M1212" i="5"/>
  <c r="L1212" i="5"/>
  <c r="C1212" i="5"/>
  <c r="D1212" i="5" s="1"/>
  <c r="F1212" i="5" s="1"/>
  <c r="M1211" i="5"/>
  <c r="L1211" i="5"/>
  <c r="C1211" i="5"/>
  <c r="D1211" i="5" s="1"/>
  <c r="F1211" i="5" s="1"/>
  <c r="M1210" i="5"/>
  <c r="L1210" i="5"/>
  <c r="D1210" i="5"/>
  <c r="F1210" i="5" s="1"/>
  <c r="C1210" i="5"/>
  <c r="M1209" i="5"/>
  <c r="L1209" i="5"/>
  <c r="C1209" i="5"/>
  <c r="D1209" i="5" s="1"/>
  <c r="F1209" i="5" s="1"/>
  <c r="M1208" i="5"/>
  <c r="L1208" i="5"/>
  <c r="C1208" i="5"/>
  <c r="D1208" i="5" s="1"/>
  <c r="F1208" i="5" s="1"/>
  <c r="M1207" i="5"/>
  <c r="L1207" i="5"/>
  <c r="C1207" i="5"/>
  <c r="D1207" i="5" s="1"/>
  <c r="F1207" i="5" s="1"/>
  <c r="M1206" i="5"/>
  <c r="L1206" i="5"/>
  <c r="C1206" i="5"/>
  <c r="D1206" i="5" s="1"/>
  <c r="F1206" i="5" s="1"/>
  <c r="M1205" i="5"/>
  <c r="L1205" i="5"/>
  <c r="C1205" i="5"/>
  <c r="D1205" i="5" s="1"/>
  <c r="F1205" i="5" s="1"/>
  <c r="M1204" i="5"/>
  <c r="L1204" i="5"/>
  <c r="C1204" i="5"/>
  <c r="D1204" i="5" s="1"/>
  <c r="F1204" i="5" s="1"/>
  <c r="M1203" i="5"/>
  <c r="L1203" i="5"/>
  <c r="C1203" i="5"/>
  <c r="D1203" i="5" s="1"/>
  <c r="F1203" i="5" s="1"/>
  <c r="M1202" i="5"/>
  <c r="L1202" i="5"/>
  <c r="D1202" i="5"/>
  <c r="F1202" i="5" s="1"/>
  <c r="C1202" i="5"/>
  <c r="M1201" i="5"/>
  <c r="L1201" i="5"/>
  <c r="C1201" i="5"/>
  <c r="D1201" i="5" s="1"/>
  <c r="F1201" i="5" s="1"/>
  <c r="M1200" i="5"/>
  <c r="L1200" i="5"/>
  <c r="C1200" i="5"/>
  <c r="D1200" i="5" s="1"/>
  <c r="F1200" i="5" s="1"/>
  <c r="M1199" i="5"/>
  <c r="L1199" i="5"/>
  <c r="C1199" i="5"/>
  <c r="D1199" i="5" s="1"/>
  <c r="F1199" i="5" s="1"/>
  <c r="M1198" i="5"/>
  <c r="L1198" i="5"/>
  <c r="C1198" i="5"/>
  <c r="D1198" i="5" s="1"/>
  <c r="F1198" i="5" s="1"/>
  <c r="M1197" i="5"/>
  <c r="L1197" i="5"/>
  <c r="C1197" i="5"/>
  <c r="D1197" i="5" s="1"/>
  <c r="F1197" i="5" s="1"/>
  <c r="M1196" i="5"/>
  <c r="L1196" i="5"/>
  <c r="C1196" i="5"/>
  <c r="D1196" i="5" s="1"/>
  <c r="F1196" i="5" s="1"/>
  <c r="M1195" i="5"/>
  <c r="L1195" i="5"/>
  <c r="C1195" i="5"/>
  <c r="D1195" i="5" s="1"/>
  <c r="F1195" i="5" s="1"/>
  <c r="M1194" i="5"/>
  <c r="L1194" i="5"/>
  <c r="D1194" i="5"/>
  <c r="F1194" i="5" s="1"/>
  <c r="C1194" i="5"/>
  <c r="M1193" i="5"/>
  <c r="L1193" i="5"/>
  <c r="C1193" i="5"/>
  <c r="D1193" i="5" s="1"/>
  <c r="F1193" i="5" s="1"/>
  <c r="M1192" i="5"/>
  <c r="L1192" i="5"/>
  <c r="C1192" i="5"/>
  <c r="D1192" i="5" s="1"/>
  <c r="F1192" i="5" s="1"/>
  <c r="M1191" i="5"/>
  <c r="L1191" i="5"/>
  <c r="C1191" i="5"/>
  <c r="D1191" i="5" s="1"/>
  <c r="F1191" i="5" s="1"/>
  <c r="M1190" i="5"/>
  <c r="L1190" i="5"/>
  <c r="C1190" i="5"/>
  <c r="D1190" i="5" s="1"/>
  <c r="F1190" i="5" s="1"/>
  <c r="M1189" i="5"/>
  <c r="L1189" i="5"/>
  <c r="C1189" i="5"/>
  <c r="D1189" i="5" s="1"/>
  <c r="F1189" i="5" s="1"/>
  <c r="M1188" i="5"/>
  <c r="L1188" i="5"/>
  <c r="C1188" i="5"/>
  <c r="D1188" i="5" s="1"/>
  <c r="F1188" i="5" s="1"/>
  <c r="M1187" i="5"/>
  <c r="L1187" i="5"/>
  <c r="C1187" i="5"/>
  <c r="D1187" i="5" s="1"/>
  <c r="F1187" i="5" s="1"/>
  <c r="M1186" i="5"/>
  <c r="L1186" i="5"/>
  <c r="D1186" i="5"/>
  <c r="F1186" i="5" s="1"/>
  <c r="C1186" i="5"/>
  <c r="M1185" i="5"/>
  <c r="L1185" i="5"/>
  <c r="C1185" i="5"/>
  <c r="D1185" i="5" s="1"/>
  <c r="F1185" i="5" s="1"/>
  <c r="M1184" i="5"/>
  <c r="L1184" i="5"/>
  <c r="C1184" i="5"/>
  <c r="D1184" i="5" s="1"/>
  <c r="F1184" i="5" s="1"/>
  <c r="M1183" i="5"/>
  <c r="L1183" i="5"/>
  <c r="C1183" i="5"/>
  <c r="D1183" i="5" s="1"/>
  <c r="F1183" i="5" s="1"/>
  <c r="M1182" i="5"/>
  <c r="L1182" i="5"/>
  <c r="C1182" i="5"/>
  <c r="D1182" i="5" s="1"/>
  <c r="F1182" i="5" s="1"/>
  <c r="M1181" i="5"/>
  <c r="L1181" i="5"/>
  <c r="C1181" i="5"/>
  <c r="D1181" i="5" s="1"/>
  <c r="F1181" i="5" s="1"/>
  <c r="M1180" i="5"/>
  <c r="L1180" i="5"/>
  <c r="C1180" i="5"/>
  <c r="D1180" i="5" s="1"/>
  <c r="F1180" i="5" s="1"/>
  <c r="M1179" i="5"/>
  <c r="L1179" i="5"/>
  <c r="C1179" i="5"/>
  <c r="D1179" i="5" s="1"/>
  <c r="F1179" i="5" s="1"/>
  <c r="M1178" i="5"/>
  <c r="L1178" i="5"/>
  <c r="D1178" i="5"/>
  <c r="F1178" i="5" s="1"/>
  <c r="C1178" i="5"/>
  <c r="M1177" i="5"/>
  <c r="L1177" i="5"/>
  <c r="C1177" i="5"/>
  <c r="D1177" i="5" s="1"/>
  <c r="F1177" i="5" s="1"/>
  <c r="M1176" i="5"/>
  <c r="L1176" i="5"/>
  <c r="C1176" i="5"/>
  <c r="D1176" i="5" s="1"/>
  <c r="F1176" i="5" s="1"/>
  <c r="M1175" i="5"/>
  <c r="L1175" i="5"/>
  <c r="C1175" i="5"/>
  <c r="D1175" i="5" s="1"/>
  <c r="F1175" i="5" s="1"/>
  <c r="M1174" i="5"/>
  <c r="L1174" i="5"/>
  <c r="C1174" i="5"/>
  <c r="D1174" i="5" s="1"/>
  <c r="F1174" i="5" s="1"/>
  <c r="M1173" i="5"/>
  <c r="L1173" i="5"/>
  <c r="C1173" i="5"/>
  <c r="D1173" i="5" s="1"/>
  <c r="F1173" i="5" s="1"/>
  <c r="M1172" i="5"/>
  <c r="L1172" i="5"/>
  <c r="C1172" i="5"/>
  <c r="D1172" i="5" s="1"/>
  <c r="F1172" i="5" s="1"/>
  <c r="M1171" i="5"/>
  <c r="L1171" i="5"/>
  <c r="C1171" i="5"/>
  <c r="D1171" i="5" s="1"/>
  <c r="F1171" i="5" s="1"/>
  <c r="M1170" i="5"/>
  <c r="L1170" i="5"/>
  <c r="D1170" i="5"/>
  <c r="F1170" i="5" s="1"/>
  <c r="C1170" i="5"/>
  <c r="M1169" i="5"/>
  <c r="L1169" i="5"/>
  <c r="C1169" i="5"/>
  <c r="D1169" i="5" s="1"/>
  <c r="F1169" i="5" s="1"/>
  <c r="M1168" i="5"/>
  <c r="L1168" i="5"/>
  <c r="C1168" i="5"/>
  <c r="D1168" i="5" s="1"/>
  <c r="F1168" i="5" s="1"/>
  <c r="M1167" i="5"/>
  <c r="L1167" i="5"/>
  <c r="C1167" i="5"/>
  <c r="D1167" i="5" s="1"/>
  <c r="F1167" i="5" s="1"/>
  <c r="M1166" i="5"/>
  <c r="L1166" i="5"/>
  <c r="C1166" i="5"/>
  <c r="D1166" i="5" s="1"/>
  <c r="F1166" i="5" s="1"/>
  <c r="M1165" i="5"/>
  <c r="L1165" i="5"/>
  <c r="C1165" i="5"/>
  <c r="D1165" i="5" s="1"/>
  <c r="F1165" i="5" s="1"/>
  <c r="M1164" i="5"/>
  <c r="L1164" i="5"/>
  <c r="C1164" i="5"/>
  <c r="D1164" i="5" s="1"/>
  <c r="F1164" i="5" s="1"/>
  <c r="M1163" i="5"/>
  <c r="L1163" i="5"/>
  <c r="C1163" i="5"/>
  <c r="D1163" i="5" s="1"/>
  <c r="F1163" i="5" s="1"/>
  <c r="M1162" i="5"/>
  <c r="L1162" i="5"/>
  <c r="D1162" i="5"/>
  <c r="F1162" i="5" s="1"/>
  <c r="C1162" i="5"/>
  <c r="M1161" i="5"/>
  <c r="L1161" i="5"/>
  <c r="C1161" i="5"/>
  <c r="D1161" i="5" s="1"/>
  <c r="F1161" i="5" s="1"/>
  <c r="M1160" i="5"/>
  <c r="L1160" i="5"/>
  <c r="C1160" i="5"/>
  <c r="D1160" i="5" s="1"/>
  <c r="F1160" i="5" s="1"/>
  <c r="M1159" i="5"/>
  <c r="L1159" i="5"/>
  <c r="C1159" i="5"/>
  <c r="D1159" i="5" s="1"/>
  <c r="F1159" i="5" s="1"/>
  <c r="M1158" i="5"/>
  <c r="L1158" i="5"/>
  <c r="C1158" i="5"/>
  <c r="D1158" i="5" s="1"/>
  <c r="F1158" i="5" s="1"/>
  <c r="M1157" i="5"/>
  <c r="L1157" i="5"/>
  <c r="C1157" i="5"/>
  <c r="D1157" i="5" s="1"/>
  <c r="F1157" i="5" s="1"/>
  <c r="M1156" i="5"/>
  <c r="L1156" i="5"/>
  <c r="C1156" i="5"/>
  <c r="D1156" i="5" s="1"/>
  <c r="F1156" i="5" s="1"/>
  <c r="M1155" i="5"/>
  <c r="L1155" i="5"/>
  <c r="C1155" i="5"/>
  <c r="D1155" i="5" s="1"/>
  <c r="F1155" i="5" s="1"/>
  <c r="M1154" i="5"/>
  <c r="L1154" i="5"/>
  <c r="D1154" i="5"/>
  <c r="F1154" i="5" s="1"/>
  <c r="C1154" i="5"/>
  <c r="M1153" i="5"/>
  <c r="L1153" i="5"/>
  <c r="C1153" i="5"/>
  <c r="D1153" i="5" s="1"/>
  <c r="F1153" i="5" s="1"/>
  <c r="M1152" i="5"/>
  <c r="L1152" i="5"/>
  <c r="C1152" i="5"/>
  <c r="D1152" i="5" s="1"/>
  <c r="F1152" i="5" s="1"/>
  <c r="M1151" i="5"/>
  <c r="L1151" i="5"/>
  <c r="C1151" i="5"/>
  <c r="D1151" i="5" s="1"/>
  <c r="F1151" i="5" s="1"/>
  <c r="M1150" i="5"/>
  <c r="L1150" i="5"/>
  <c r="C1150" i="5"/>
  <c r="D1150" i="5" s="1"/>
  <c r="F1150" i="5" s="1"/>
  <c r="M1149" i="5"/>
  <c r="L1149" i="5"/>
  <c r="C1149" i="5"/>
  <c r="D1149" i="5" s="1"/>
  <c r="F1149" i="5" s="1"/>
  <c r="M1148" i="5"/>
  <c r="L1148" i="5"/>
  <c r="C1148" i="5"/>
  <c r="D1148" i="5" s="1"/>
  <c r="F1148" i="5" s="1"/>
  <c r="M1147" i="5"/>
  <c r="L1147" i="5"/>
  <c r="C1147" i="5"/>
  <c r="D1147" i="5" s="1"/>
  <c r="F1147" i="5" s="1"/>
  <c r="M1146" i="5"/>
  <c r="L1146" i="5"/>
  <c r="D1146" i="5"/>
  <c r="F1146" i="5" s="1"/>
  <c r="C1146" i="5"/>
  <c r="M1145" i="5"/>
  <c r="L1145" i="5"/>
  <c r="C1145" i="5"/>
  <c r="D1145" i="5" s="1"/>
  <c r="F1145" i="5" s="1"/>
  <c r="M1144" i="5"/>
  <c r="L1144" i="5"/>
  <c r="C1144" i="5"/>
  <c r="D1144" i="5" s="1"/>
  <c r="F1144" i="5" s="1"/>
  <c r="M1143" i="5"/>
  <c r="L1143" i="5"/>
  <c r="C1143" i="5"/>
  <c r="D1143" i="5" s="1"/>
  <c r="F1143" i="5" s="1"/>
  <c r="M1142" i="5"/>
  <c r="L1142" i="5"/>
  <c r="C1142" i="5"/>
  <c r="D1142" i="5" s="1"/>
  <c r="F1142" i="5" s="1"/>
  <c r="M1141" i="5"/>
  <c r="L1141" i="5"/>
  <c r="C1141" i="5"/>
  <c r="D1141" i="5" s="1"/>
  <c r="F1141" i="5" s="1"/>
  <c r="M1140" i="5"/>
  <c r="L1140" i="5"/>
  <c r="C1140" i="5"/>
  <c r="D1140" i="5" s="1"/>
  <c r="F1140" i="5" s="1"/>
  <c r="M1139" i="5"/>
  <c r="L1139" i="5"/>
  <c r="C1139" i="5"/>
  <c r="D1139" i="5" s="1"/>
  <c r="F1139" i="5" s="1"/>
  <c r="M1138" i="5"/>
  <c r="L1138" i="5"/>
  <c r="D1138" i="5"/>
  <c r="F1138" i="5" s="1"/>
  <c r="C1138" i="5"/>
  <c r="M1137" i="5"/>
  <c r="L1137" i="5"/>
  <c r="C1137" i="5"/>
  <c r="D1137" i="5" s="1"/>
  <c r="F1137" i="5" s="1"/>
  <c r="M1136" i="5"/>
  <c r="L1136" i="5"/>
  <c r="C1136" i="5"/>
  <c r="D1136" i="5" s="1"/>
  <c r="F1136" i="5" s="1"/>
  <c r="M1135" i="5"/>
  <c r="L1135" i="5"/>
  <c r="C1135" i="5"/>
  <c r="D1135" i="5" s="1"/>
  <c r="F1135" i="5" s="1"/>
  <c r="M1134" i="5"/>
  <c r="L1134" i="5"/>
  <c r="C1134" i="5"/>
  <c r="D1134" i="5" s="1"/>
  <c r="F1134" i="5" s="1"/>
  <c r="M1133" i="5"/>
  <c r="L1133" i="5"/>
  <c r="C1133" i="5"/>
  <c r="D1133" i="5" s="1"/>
  <c r="F1133" i="5" s="1"/>
  <c r="M1132" i="5"/>
  <c r="L1132" i="5"/>
  <c r="C1132" i="5"/>
  <c r="D1132" i="5" s="1"/>
  <c r="F1132" i="5" s="1"/>
  <c r="M1131" i="5"/>
  <c r="L1131" i="5"/>
  <c r="C1131" i="5"/>
  <c r="D1131" i="5" s="1"/>
  <c r="F1131" i="5" s="1"/>
  <c r="M1130" i="5"/>
  <c r="L1130" i="5"/>
  <c r="D1130" i="5"/>
  <c r="F1130" i="5" s="1"/>
  <c r="C1130" i="5"/>
  <c r="M1129" i="5"/>
  <c r="L1129" i="5"/>
  <c r="C1129" i="5"/>
  <c r="D1129" i="5" s="1"/>
  <c r="F1129" i="5" s="1"/>
  <c r="M1128" i="5"/>
  <c r="L1128" i="5"/>
  <c r="C1128" i="5"/>
  <c r="D1128" i="5" s="1"/>
  <c r="F1128" i="5" s="1"/>
  <c r="M1127" i="5"/>
  <c r="L1127" i="5"/>
  <c r="C1127" i="5"/>
  <c r="D1127" i="5" s="1"/>
  <c r="F1127" i="5" s="1"/>
  <c r="M1126" i="5"/>
  <c r="L1126" i="5"/>
  <c r="C1126" i="5"/>
  <c r="D1126" i="5" s="1"/>
  <c r="F1126" i="5" s="1"/>
  <c r="M1125" i="5"/>
  <c r="L1125" i="5"/>
  <c r="C1125" i="5"/>
  <c r="D1125" i="5" s="1"/>
  <c r="F1125" i="5" s="1"/>
  <c r="M1124" i="5"/>
  <c r="L1124" i="5"/>
  <c r="C1124" i="5"/>
  <c r="D1124" i="5" s="1"/>
  <c r="F1124" i="5" s="1"/>
  <c r="M1123" i="5"/>
  <c r="L1123" i="5"/>
  <c r="C1123" i="5"/>
  <c r="D1123" i="5" s="1"/>
  <c r="F1123" i="5" s="1"/>
  <c r="M1122" i="5"/>
  <c r="L1122" i="5"/>
  <c r="D1122" i="5"/>
  <c r="F1122" i="5" s="1"/>
  <c r="C1122" i="5"/>
  <c r="M1121" i="5"/>
  <c r="L1121" i="5"/>
  <c r="C1121" i="5"/>
  <c r="D1121" i="5" s="1"/>
  <c r="F1121" i="5" s="1"/>
  <c r="M1120" i="5"/>
  <c r="L1120" i="5"/>
  <c r="C1120" i="5"/>
  <c r="D1120" i="5" s="1"/>
  <c r="F1120" i="5" s="1"/>
  <c r="M1119" i="5"/>
  <c r="L1119" i="5"/>
  <c r="C1119" i="5"/>
  <c r="D1119" i="5" s="1"/>
  <c r="F1119" i="5" s="1"/>
  <c r="M1118" i="5"/>
  <c r="L1118" i="5"/>
  <c r="C1118" i="5"/>
  <c r="D1118" i="5" s="1"/>
  <c r="F1118" i="5" s="1"/>
  <c r="M1117" i="5"/>
  <c r="L1117" i="5"/>
  <c r="C1117" i="5"/>
  <c r="D1117" i="5" s="1"/>
  <c r="F1117" i="5" s="1"/>
  <c r="M1116" i="5"/>
  <c r="L1116" i="5"/>
  <c r="C1116" i="5"/>
  <c r="D1116" i="5" s="1"/>
  <c r="F1116" i="5" s="1"/>
  <c r="M1115" i="5"/>
  <c r="L1115" i="5"/>
  <c r="C1115" i="5"/>
  <c r="D1115" i="5" s="1"/>
  <c r="F1115" i="5" s="1"/>
  <c r="M1114" i="5"/>
  <c r="L1114" i="5"/>
  <c r="D1114" i="5"/>
  <c r="F1114" i="5" s="1"/>
  <c r="C1114" i="5"/>
  <c r="M1113" i="5"/>
  <c r="L1113" i="5"/>
  <c r="C1113" i="5"/>
  <c r="D1113" i="5" s="1"/>
  <c r="F1113" i="5" s="1"/>
  <c r="M1112" i="5"/>
  <c r="L1112" i="5"/>
  <c r="C1112" i="5"/>
  <c r="D1112" i="5" s="1"/>
  <c r="F1112" i="5" s="1"/>
  <c r="M1111" i="5"/>
  <c r="L1111" i="5"/>
  <c r="C1111" i="5"/>
  <c r="D1111" i="5" s="1"/>
  <c r="F1111" i="5" s="1"/>
  <c r="M1110" i="5"/>
  <c r="L1110" i="5"/>
  <c r="C1110" i="5"/>
  <c r="D1110" i="5" s="1"/>
  <c r="F1110" i="5" s="1"/>
  <c r="M1109" i="5"/>
  <c r="L1109" i="5"/>
  <c r="C1109" i="5"/>
  <c r="D1109" i="5" s="1"/>
  <c r="F1109" i="5" s="1"/>
  <c r="M1108" i="5"/>
  <c r="L1108" i="5"/>
  <c r="C1108" i="5"/>
  <c r="D1108" i="5" s="1"/>
  <c r="F1108" i="5" s="1"/>
  <c r="M1107" i="5"/>
  <c r="L1107" i="5"/>
  <c r="C1107" i="5"/>
  <c r="D1107" i="5" s="1"/>
  <c r="F1107" i="5" s="1"/>
  <c r="M1106" i="5"/>
  <c r="L1106" i="5"/>
  <c r="D1106" i="5"/>
  <c r="F1106" i="5" s="1"/>
  <c r="C1106" i="5"/>
  <c r="M1105" i="5"/>
  <c r="L1105" i="5"/>
  <c r="C1105" i="5"/>
  <c r="D1105" i="5" s="1"/>
  <c r="F1105" i="5" s="1"/>
  <c r="M1104" i="5"/>
  <c r="L1104" i="5"/>
  <c r="C1104" i="5"/>
  <c r="D1104" i="5" s="1"/>
  <c r="F1104" i="5" s="1"/>
  <c r="M1103" i="5"/>
  <c r="L1103" i="5"/>
  <c r="C1103" i="5"/>
  <c r="D1103" i="5" s="1"/>
  <c r="F1103" i="5" s="1"/>
  <c r="M1102" i="5"/>
  <c r="L1102" i="5"/>
  <c r="C1102" i="5"/>
  <c r="D1102" i="5" s="1"/>
  <c r="F1102" i="5" s="1"/>
  <c r="M1101" i="5"/>
  <c r="L1101" i="5"/>
  <c r="C1101" i="5"/>
  <c r="D1101" i="5" s="1"/>
  <c r="F1101" i="5" s="1"/>
  <c r="M1100" i="5"/>
  <c r="L1100" i="5"/>
  <c r="C1100" i="5"/>
  <c r="D1100" i="5" s="1"/>
  <c r="F1100" i="5" s="1"/>
  <c r="M1099" i="5"/>
  <c r="L1099" i="5"/>
  <c r="C1099" i="5"/>
  <c r="D1099" i="5" s="1"/>
  <c r="F1099" i="5" s="1"/>
  <c r="M1098" i="5"/>
  <c r="L1098" i="5"/>
  <c r="D1098" i="5"/>
  <c r="F1098" i="5" s="1"/>
  <c r="C1098" i="5"/>
  <c r="M1097" i="5"/>
  <c r="L1097" i="5"/>
  <c r="C1097" i="5"/>
  <c r="D1097" i="5" s="1"/>
  <c r="F1097" i="5" s="1"/>
  <c r="M1096" i="5"/>
  <c r="L1096" i="5"/>
  <c r="C1096" i="5"/>
  <c r="D1096" i="5" s="1"/>
  <c r="F1096" i="5" s="1"/>
  <c r="M1095" i="5"/>
  <c r="L1095" i="5"/>
  <c r="C1095" i="5"/>
  <c r="D1095" i="5" s="1"/>
  <c r="F1095" i="5" s="1"/>
  <c r="M1094" i="5"/>
  <c r="L1094" i="5"/>
  <c r="C1094" i="5"/>
  <c r="D1094" i="5" s="1"/>
  <c r="F1094" i="5" s="1"/>
  <c r="M1093" i="5"/>
  <c r="L1093" i="5"/>
  <c r="C1093" i="5"/>
  <c r="D1093" i="5" s="1"/>
  <c r="F1093" i="5" s="1"/>
  <c r="M1092" i="5"/>
  <c r="L1092" i="5"/>
  <c r="C1092" i="5"/>
  <c r="D1092" i="5" s="1"/>
  <c r="F1092" i="5" s="1"/>
  <c r="M1091" i="5"/>
  <c r="L1091" i="5"/>
  <c r="C1091" i="5"/>
  <c r="D1091" i="5" s="1"/>
  <c r="F1091" i="5" s="1"/>
  <c r="M1090" i="5"/>
  <c r="L1090" i="5"/>
  <c r="D1090" i="5"/>
  <c r="F1090" i="5" s="1"/>
  <c r="C1090" i="5"/>
  <c r="M1089" i="5"/>
  <c r="L1089" i="5"/>
  <c r="C1089" i="5"/>
  <c r="D1089" i="5" s="1"/>
  <c r="F1089" i="5" s="1"/>
  <c r="M1088" i="5"/>
  <c r="L1088" i="5"/>
  <c r="C1088" i="5"/>
  <c r="D1088" i="5" s="1"/>
  <c r="F1088" i="5" s="1"/>
  <c r="M1087" i="5"/>
  <c r="L1087" i="5"/>
  <c r="C1087" i="5"/>
  <c r="D1087" i="5" s="1"/>
  <c r="F1087" i="5" s="1"/>
  <c r="M1086" i="5"/>
  <c r="L1086" i="5"/>
  <c r="C1086" i="5"/>
  <c r="D1086" i="5" s="1"/>
  <c r="F1086" i="5" s="1"/>
  <c r="M1085" i="5"/>
  <c r="L1085" i="5"/>
  <c r="C1085" i="5"/>
  <c r="D1085" i="5" s="1"/>
  <c r="F1085" i="5" s="1"/>
  <c r="M1084" i="5"/>
  <c r="L1084" i="5"/>
  <c r="C1084" i="5"/>
  <c r="D1084" i="5" s="1"/>
  <c r="F1084" i="5" s="1"/>
  <c r="M1083" i="5"/>
  <c r="L1083" i="5"/>
  <c r="C1083" i="5"/>
  <c r="D1083" i="5" s="1"/>
  <c r="F1083" i="5" s="1"/>
  <c r="M1082" i="5"/>
  <c r="L1082" i="5"/>
  <c r="D1082" i="5"/>
  <c r="F1082" i="5" s="1"/>
  <c r="C1082" i="5"/>
  <c r="M1081" i="5"/>
  <c r="L1081" i="5"/>
  <c r="C1081" i="5"/>
  <c r="D1081" i="5" s="1"/>
  <c r="F1081" i="5" s="1"/>
  <c r="M1080" i="5"/>
  <c r="L1080" i="5"/>
  <c r="C1080" i="5"/>
  <c r="D1080" i="5" s="1"/>
  <c r="F1080" i="5" s="1"/>
  <c r="M1079" i="5"/>
  <c r="L1079" i="5"/>
  <c r="C1079" i="5"/>
  <c r="D1079" i="5" s="1"/>
  <c r="F1079" i="5" s="1"/>
  <c r="M1078" i="5"/>
  <c r="L1078" i="5"/>
  <c r="C1078" i="5"/>
  <c r="D1078" i="5" s="1"/>
  <c r="F1078" i="5" s="1"/>
  <c r="M1077" i="5"/>
  <c r="L1077" i="5"/>
  <c r="C1077" i="5"/>
  <c r="D1077" i="5" s="1"/>
  <c r="F1077" i="5" s="1"/>
  <c r="M1076" i="5"/>
  <c r="L1076" i="5"/>
  <c r="C1076" i="5"/>
  <c r="D1076" i="5" s="1"/>
  <c r="F1076" i="5" s="1"/>
  <c r="M1075" i="5"/>
  <c r="L1075" i="5"/>
  <c r="C1075" i="5"/>
  <c r="D1075" i="5" s="1"/>
  <c r="F1075" i="5" s="1"/>
  <c r="M1074" i="5"/>
  <c r="L1074" i="5"/>
  <c r="D1074" i="5"/>
  <c r="F1074" i="5" s="1"/>
  <c r="C1074" i="5"/>
  <c r="M1073" i="5"/>
  <c r="L1073" i="5"/>
  <c r="C1073" i="5"/>
  <c r="D1073" i="5" s="1"/>
  <c r="F1073" i="5" s="1"/>
  <c r="M1072" i="5"/>
  <c r="L1072" i="5"/>
  <c r="C1072" i="5"/>
  <c r="D1072" i="5" s="1"/>
  <c r="F1072" i="5" s="1"/>
  <c r="M1071" i="5"/>
  <c r="L1071" i="5"/>
  <c r="C1071" i="5"/>
  <c r="D1071" i="5" s="1"/>
  <c r="F1071" i="5" s="1"/>
  <c r="M1070" i="5"/>
  <c r="L1070" i="5"/>
  <c r="C1070" i="5"/>
  <c r="D1070" i="5" s="1"/>
  <c r="F1070" i="5" s="1"/>
  <c r="M1069" i="5"/>
  <c r="L1069" i="5"/>
  <c r="C1069" i="5"/>
  <c r="D1069" i="5" s="1"/>
  <c r="F1069" i="5" s="1"/>
  <c r="M1068" i="5"/>
  <c r="L1068" i="5"/>
  <c r="C1068" i="5"/>
  <c r="D1068" i="5" s="1"/>
  <c r="F1068" i="5" s="1"/>
  <c r="M1067" i="5"/>
  <c r="L1067" i="5"/>
  <c r="C1067" i="5"/>
  <c r="D1067" i="5" s="1"/>
  <c r="F1067" i="5" s="1"/>
  <c r="M1066" i="5"/>
  <c r="L1066" i="5"/>
  <c r="D1066" i="5"/>
  <c r="F1066" i="5" s="1"/>
  <c r="C1066" i="5"/>
  <c r="M1065" i="5"/>
  <c r="L1065" i="5"/>
  <c r="C1065" i="5"/>
  <c r="D1065" i="5" s="1"/>
  <c r="F1065" i="5" s="1"/>
  <c r="M1064" i="5"/>
  <c r="L1064" i="5"/>
  <c r="C1064" i="5"/>
  <c r="D1064" i="5" s="1"/>
  <c r="F1064" i="5" s="1"/>
  <c r="M1063" i="5"/>
  <c r="L1063" i="5"/>
  <c r="C1063" i="5"/>
  <c r="D1063" i="5" s="1"/>
  <c r="F1063" i="5" s="1"/>
  <c r="M1062" i="5"/>
  <c r="L1062" i="5"/>
  <c r="C1062" i="5"/>
  <c r="D1062" i="5" s="1"/>
  <c r="F1062" i="5" s="1"/>
  <c r="M1061" i="5"/>
  <c r="L1061" i="5"/>
  <c r="C1061" i="5"/>
  <c r="D1061" i="5" s="1"/>
  <c r="F1061" i="5" s="1"/>
  <c r="M1060" i="5"/>
  <c r="L1060" i="5"/>
  <c r="C1060" i="5"/>
  <c r="D1060" i="5" s="1"/>
  <c r="F1060" i="5" s="1"/>
  <c r="M1059" i="5"/>
  <c r="L1059" i="5"/>
  <c r="C1059" i="5"/>
  <c r="D1059" i="5" s="1"/>
  <c r="F1059" i="5" s="1"/>
  <c r="M1058" i="5"/>
  <c r="L1058" i="5"/>
  <c r="D1058" i="5"/>
  <c r="F1058" i="5" s="1"/>
  <c r="C1058" i="5"/>
  <c r="M1057" i="5"/>
  <c r="L1057" i="5"/>
  <c r="C1057" i="5"/>
  <c r="D1057" i="5" s="1"/>
  <c r="F1057" i="5" s="1"/>
  <c r="M1056" i="5"/>
  <c r="L1056" i="5"/>
  <c r="C1056" i="5"/>
  <c r="D1056" i="5" s="1"/>
  <c r="F1056" i="5" s="1"/>
  <c r="M1055" i="5"/>
  <c r="L1055" i="5"/>
  <c r="C1055" i="5"/>
  <c r="D1055" i="5" s="1"/>
  <c r="F1055" i="5" s="1"/>
  <c r="M1054" i="5"/>
  <c r="L1054" i="5"/>
  <c r="C1054" i="5"/>
  <c r="D1054" i="5" s="1"/>
  <c r="F1054" i="5" s="1"/>
  <c r="M1053" i="5"/>
  <c r="L1053" i="5"/>
  <c r="C1053" i="5"/>
  <c r="D1053" i="5" s="1"/>
  <c r="F1053" i="5" s="1"/>
  <c r="M1052" i="5"/>
  <c r="L1052" i="5"/>
  <c r="C1052" i="5"/>
  <c r="D1052" i="5" s="1"/>
  <c r="F1052" i="5" s="1"/>
  <c r="M1051" i="5"/>
  <c r="L1051" i="5"/>
  <c r="C1051" i="5"/>
  <c r="D1051" i="5" s="1"/>
  <c r="F1051" i="5" s="1"/>
  <c r="M1050" i="5"/>
  <c r="L1050" i="5"/>
  <c r="D1050" i="5"/>
  <c r="F1050" i="5" s="1"/>
  <c r="C1050" i="5"/>
  <c r="M1049" i="5"/>
  <c r="L1049" i="5"/>
  <c r="C1049" i="5"/>
  <c r="D1049" i="5" s="1"/>
  <c r="F1049" i="5" s="1"/>
  <c r="M1048" i="5"/>
  <c r="L1048" i="5"/>
  <c r="C1048" i="5"/>
  <c r="D1048" i="5" s="1"/>
  <c r="F1048" i="5" s="1"/>
  <c r="M1047" i="5"/>
  <c r="L1047" i="5"/>
  <c r="C1047" i="5"/>
  <c r="D1047" i="5" s="1"/>
  <c r="F1047" i="5" s="1"/>
  <c r="M1046" i="5"/>
  <c r="L1046" i="5"/>
  <c r="C1046" i="5"/>
  <c r="D1046" i="5" s="1"/>
  <c r="F1046" i="5" s="1"/>
  <c r="M1045" i="5"/>
  <c r="L1045" i="5"/>
  <c r="C1045" i="5"/>
  <c r="D1045" i="5" s="1"/>
  <c r="F1045" i="5" s="1"/>
  <c r="M1044" i="5"/>
  <c r="L1044" i="5"/>
  <c r="C1044" i="5"/>
  <c r="D1044" i="5" s="1"/>
  <c r="F1044" i="5" s="1"/>
  <c r="M1043" i="5"/>
  <c r="L1043" i="5"/>
  <c r="C1043" i="5"/>
  <c r="D1043" i="5" s="1"/>
  <c r="F1043" i="5" s="1"/>
  <c r="M1042" i="5"/>
  <c r="L1042" i="5"/>
  <c r="D1042" i="5"/>
  <c r="F1042" i="5" s="1"/>
  <c r="C1042" i="5"/>
  <c r="M1041" i="5"/>
  <c r="L1041" i="5"/>
  <c r="C1041" i="5"/>
  <c r="D1041" i="5" s="1"/>
  <c r="F1041" i="5" s="1"/>
  <c r="M1040" i="5"/>
  <c r="L1040" i="5"/>
  <c r="C1040" i="5"/>
  <c r="D1040" i="5" s="1"/>
  <c r="F1040" i="5" s="1"/>
  <c r="M1039" i="5"/>
  <c r="L1039" i="5"/>
  <c r="C1039" i="5"/>
  <c r="D1039" i="5" s="1"/>
  <c r="F1039" i="5" s="1"/>
  <c r="M1038" i="5"/>
  <c r="L1038" i="5"/>
  <c r="C1038" i="5"/>
  <c r="D1038" i="5" s="1"/>
  <c r="F1038" i="5" s="1"/>
  <c r="M1037" i="5"/>
  <c r="L1037" i="5"/>
  <c r="C1037" i="5"/>
  <c r="D1037" i="5" s="1"/>
  <c r="F1037" i="5" s="1"/>
  <c r="M1036" i="5"/>
  <c r="L1036" i="5"/>
  <c r="C1036" i="5"/>
  <c r="D1036" i="5" s="1"/>
  <c r="F1036" i="5" s="1"/>
  <c r="M1035" i="5"/>
  <c r="L1035" i="5"/>
  <c r="C1035" i="5"/>
  <c r="D1035" i="5" s="1"/>
  <c r="F1035" i="5" s="1"/>
  <c r="M1034" i="5"/>
  <c r="L1034" i="5"/>
  <c r="D1034" i="5"/>
  <c r="F1034" i="5" s="1"/>
  <c r="C1034" i="5"/>
  <c r="M1033" i="5"/>
  <c r="L1033" i="5"/>
  <c r="C1033" i="5"/>
  <c r="D1033" i="5" s="1"/>
  <c r="F1033" i="5" s="1"/>
  <c r="M1032" i="5"/>
  <c r="L1032" i="5"/>
  <c r="C1032" i="5"/>
  <c r="D1032" i="5" s="1"/>
  <c r="F1032" i="5" s="1"/>
  <c r="M1031" i="5"/>
  <c r="L1031" i="5"/>
  <c r="C1031" i="5"/>
  <c r="D1031" i="5" s="1"/>
  <c r="F1031" i="5" s="1"/>
  <c r="M1030" i="5"/>
  <c r="L1030" i="5"/>
  <c r="C1030" i="5"/>
  <c r="D1030" i="5" s="1"/>
  <c r="F1030" i="5" s="1"/>
  <c r="M1029" i="5"/>
  <c r="L1029" i="5"/>
  <c r="C1029" i="5"/>
  <c r="D1029" i="5" s="1"/>
  <c r="F1029" i="5" s="1"/>
  <c r="M1028" i="5"/>
  <c r="L1028" i="5"/>
  <c r="C1028" i="5"/>
  <c r="D1028" i="5" s="1"/>
  <c r="F1028" i="5" s="1"/>
  <c r="M1027" i="5"/>
  <c r="L1027" i="5"/>
  <c r="C1027" i="5"/>
  <c r="D1027" i="5" s="1"/>
  <c r="F1027" i="5" s="1"/>
  <c r="M1026" i="5"/>
  <c r="L1026" i="5"/>
  <c r="D1026" i="5"/>
  <c r="F1026" i="5" s="1"/>
  <c r="C1026" i="5"/>
  <c r="M1025" i="5"/>
  <c r="L1025" i="5"/>
  <c r="C1025" i="5"/>
  <c r="D1025" i="5" s="1"/>
  <c r="F1025" i="5" s="1"/>
  <c r="M1024" i="5"/>
  <c r="L1024" i="5"/>
  <c r="C1024" i="5"/>
  <c r="D1024" i="5" s="1"/>
  <c r="F1024" i="5" s="1"/>
  <c r="M1023" i="5"/>
  <c r="L1023" i="5"/>
  <c r="C1023" i="5"/>
  <c r="D1023" i="5" s="1"/>
  <c r="F1023" i="5" s="1"/>
  <c r="M1022" i="5"/>
  <c r="L1022" i="5"/>
  <c r="C1022" i="5"/>
  <c r="D1022" i="5" s="1"/>
  <c r="F1022" i="5" s="1"/>
  <c r="M1021" i="5"/>
  <c r="L1021" i="5"/>
  <c r="C1021" i="5"/>
  <c r="D1021" i="5" s="1"/>
  <c r="F1021" i="5" s="1"/>
  <c r="M1020" i="5"/>
  <c r="L1020" i="5"/>
  <c r="C1020" i="5"/>
  <c r="D1020" i="5" s="1"/>
  <c r="F1020" i="5" s="1"/>
  <c r="M1019" i="5"/>
  <c r="L1019" i="5"/>
  <c r="C1019" i="5"/>
  <c r="D1019" i="5" s="1"/>
  <c r="F1019" i="5" s="1"/>
  <c r="M1018" i="5"/>
  <c r="L1018" i="5"/>
  <c r="D1018" i="5"/>
  <c r="F1018" i="5" s="1"/>
  <c r="C1018" i="5"/>
  <c r="M1017" i="5"/>
  <c r="L1017" i="5"/>
  <c r="C1017" i="5"/>
  <c r="D1017" i="5" s="1"/>
  <c r="F1017" i="5" s="1"/>
  <c r="M1016" i="5"/>
  <c r="L1016" i="5"/>
  <c r="C1016" i="5"/>
  <c r="D1016" i="5" s="1"/>
  <c r="F1016" i="5" s="1"/>
  <c r="M1015" i="5"/>
  <c r="L1015" i="5"/>
  <c r="C1015" i="5"/>
  <c r="D1015" i="5" s="1"/>
  <c r="F1015" i="5" s="1"/>
  <c r="M1014" i="5"/>
  <c r="L1014" i="5"/>
  <c r="C1014" i="5"/>
  <c r="D1014" i="5" s="1"/>
  <c r="F1014" i="5" s="1"/>
  <c r="M1013" i="5"/>
  <c r="L1013" i="5"/>
  <c r="C1013" i="5"/>
  <c r="D1013" i="5" s="1"/>
  <c r="F1013" i="5" s="1"/>
  <c r="M1012" i="5"/>
  <c r="L1012" i="5"/>
  <c r="C1012" i="5"/>
  <c r="D1012" i="5" s="1"/>
  <c r="F1012" i="5" s="1"/>
  <c r="M1011" i="5"/>
  <c r="L1011" i="5"/>
  <c r="C1011" i="5"/>
  <c r="D1011" i="5" s="1"/>
  <c r="F1011" i="5" s="1"/>
  <c r="M1010" i="5"/>
  <c r="L1010" i="5"/>
  <c r="D1010" i="5"/>
  <c r="F1010" i="5" s="1"/>
  <c r="C1010" i="5"/>
  <c r="M1009" i="5"/>
  <c r="L1009" i="5"/>
  <c r="C1009" i="5"/>
  <c r="D1009" i="5" s="1"/>
  <c r="F1009" i="5" s="1"/>
  <c r="M1008" i="5"/>
  <c r="L1008" i="5"/>
  <c r="C1008" i="5"/>
  <c r="D1008" i="5" s="1"/>
  <c r="F1008" i="5" s="1"/>
  <c r="M1007" i="5"/>
  <c r="L1007" i="5"/>
  <c r="C1007" i="5"/>
  <c r="D1007" i="5" s="1"/>
  <c r="F1007" i="5" s="1"/>
  <c r="M1006" i="5"/>
  <c r="L1006" i="5"/>
  <c r="C1006" i="5"/>
  <c r="D1006" i="5" s="1"/>
  <c r="F1006" i="5" s="1"/>
  <c r="M1005" i="5"/>
  <c r="L1005" i="5"/>
  <c r="C1005" i="5"/>
  <c r="D1005" i="5" s="1"/>
  <c r="F1005" i="5" s="1"/>
  <c r="M1004" i="5"/>
  <c r="L1004" i="5"/>
  <c r="C1004" i="5"/>
  <c r="D1004" i="5" s="1"/>
  <c r="F1004" i="5" s="1"/>
  <c r="M1003" i="5"/>
  <c r="L1003" i="5"/>
  <c r="C1003" i="5"/>
  <c r="D1003" i="5" s="1"/>
  <c r="F1003" i="5" s="1"/>
  <c r="M1002" i="5"/>
  <c r="L1002" i="5"/>
  <c r="D1002" i="5"/>
  <c r="F1002" i="5" s="1"/>
  <c r="C1002" i="5"/>
  <c r="M1001" i="5"/>
  <c r="L1001" i="5"/>
  <c r="C1001" i="5"/>
  <c r="D1001" i="5" s="1"/>
  <c r="F1001" i="5" s="1"/>
  <c r="M1000" i="5"/>
  <c r="L1000" i="5"/>
  <c r="C1000" i="5"/>
  <c r="D1000" i="5" s="1"/>
  <c r="F1000" i="5" s="1"/>
  <c r="M999" i="5"/>
  <c r="L999" i="5"/>
  <c r="C999" i="5"/>
  <c r="D999" i="5" s="1"/>
  <c r="F999" i="5" s="1"/>
  <c r="M998" i="5"/>
  <c r="L998" i="5"/>
  <c r="C998" i="5"/>
  <c r="D998" i="5" s="1"/>
  <c r="F998" i="5" s="1"/>
  <c r="M997" i="5"/>
  <c r="L997" i="5"/>
  <c r="C997" i="5"/>
  <c r="D997" i="5" s="1"/>
  <c r="F997" i="5" s="1"/>
  <c r="M996" i="5"/>
  <c r="L996" i="5"/>
  <c r="C996" i="5"/>
  <c r="D996" i="5" s="1"/>
  <c r="F996" i="5" s="1"/>
  <c r="M995" i="5"/>
  <c r="L995" i="5"/>
  <c r="C995" i="5"/>
  <c r="D995" i="5" s="1"/>
  <c r="F995" i="5" s="1"/>
  <c r="M994" i="5"/>
  <c r="L994" i="5"/>
  <c r="C994" i="5"/>
  <c r="D994" i="5" s="1"/>
  <c r="F994" i="5" s="1"/>
  <c r="M993" i="5"/>
  <c r="L993" i="5"/>
  <c r="C993" i="5"/>
  <c r="D993" i="5" s="1"/>
  <c r="F993" i="5" s="1"/>
  <c r="M992" i="5"/>
  <c r="L992" i="5"/>
  <c r="C992" i="5"/>
  <c r="D992" i="5" s="1"/>
  <c r="F992" i="5" s="1"/>
  <c r="M991" i="5"/>
  <c r="L991" i="5"/>
  <c r="C991" i="5"/>
  <c r="D991" i="5" s="1"/>
  <c r="F991" i="5" s="1"/>
  <c r="M990" i="5"/>
  <c r="L990" i="5"/>
  <c r="D990" i="5"/>
  <c r="F990" i="5" s="1"/>
  <c r="C990" i="5"/>
  <c r="M989" i="5"/>
  <c r="L989" i="5"/>
  <c r="C989" i="5"/>
  <c r="D989" i="5" s="1"/>
  <c r="F989" i="5" s="1"/>
  <c r="M988" i="5"/>
  <c r="L988" i="5"/>
  <c r="C988" i="5"/>
  <c r="D988" i="5" s="1"/>
  <c r="F988" i="5" s="1"/>
  <c r="M987" i="5"/>
  <c r="L987" i="5"/>
  <c r="C987" i="5"/>
  <c r="D987" i="5" s="1"/>
  <c r="F987" i="5" s="1"/>
  <c r="M986" i="5"/>
  <c r="L986" i="5"/>
  <c r="C986" i="5"/>
  <c r="D986" i="5" s="1"/>
  <c r="F986" i="5" s="1"/>
  <c r="M985" i="5"/>
  <c r="L985" i="5"/>
  <c r="C985" i="5"/>
  <c r="D985" i="5" s="1"/>
  <c r="F985" i="5" s="1"/>
  <c r="M984" i="5"/>
  <c r="L984" i="5"/>
  <c r="C984" i="5"/>
  <c r="D984" i="5" s="1"/>
  <c r="F984" i="5" s="1"/>
  <c r="M983" i="5"/>
  <c r="L983" i="5"/>
  <c r="C983" i="5"/>
  <c r="D983" i="5" s="1"/>
  <c r="F983" i="5" s="1"/>
  <c r="M982" i="5"/>
  <c r="L982" i="5"/>
  <c r="D982" i="5"/>
  <c r="F982" i="5" s="1"/>
  <c r="C982" i="5"/>
  <c r="M981" i="5"/>
  <c r="L981" i="5"/>
  <c r="C981" i="5"/>
  <c r="D981" i="5" s="1"/>
  <c r="F981" i="5" s="1"/>
  <c r="M980" i="5"/>
  <c r="L980" i="5"/>
  <c r="C980" i="5"/>
  <c r="D980" i="5" s="1"/>
  <c r="F980" i="5" s="1"/>
  <c r="M979" i="5"/>
  <c r="L979" i="5"/>
  <c r="C979" i="5"/>
  <c r="D979" i="5" s="1"/>
  <c r="F979" i="5" s="1"/>
  <c r="M978" i="5"/>
  <c r="L978" i="5"/>
  <c r="C978" i="5"/>
  <c r="D978" i="5" s="1"/>
  <c r="F978" i="5" s="1"/>
  <c r="M977" i="5"/>
  <c r="L977" i="5"/>
  <c r="C977" i="5"/>
  <c r="D977" i="5" s="1"/>
  <c r="F977" i="5" s="1"/>
  <c r="M976" i="5"/>
  <c r="L976" i="5"/>
  <c r="C976" i="5"/>
  <c r="D976" i="5" s="1"/>
  <c r="F976" i="5" s="1"/>
  <c r="M975" i="5"/>
  <c r="L975" i="5"/>
  <c r="C975" i="5"/>
  <c r="D975" i="5" s="1"/>
  <c r="F975" i="5" s="1"/>
  <c r="M974" i="5"/>
  <c r="L974" i="5"/>
  <c r="C974" i="5"/>
  <c r="D974" i="5" s="1"/>
  <c r="F974" i="5" s="1"/>
  <c r="M973" i="5"/>
  <c r="L973" i="5"/>
  <c r="C973" i="5"/>
  <c r="D973" i="5" s="1"/>
  <c r="F973" i="5" s="1"/>
  <c r="M972" i="5"/>
  <c r="L972" i="5"/>
  <c r="D972" i="5"/>
  <c r="F972" i="5" s="1"/>
  <c r="C972" i="5"/>
  <c r="M971" i="5"/>
  <c r="L971" i="5"/>
  <c r="C971" i="5"/>
  <c r="D971" i="5" s="1"/>
  <c r="F971" i="5" s="1"/>
  <c r="M970" i="5"/>
  <c r="L970" i="5"/>
  <c r="C970" i="5"/>
  <c r="D970" i="5" s="1"/>
  <c r="F970" i="5" s="1"/>
  <c r="M969" i="5"/>
  <c r="L969" i="5"/>
  <c r="C969" i="5"/>
  <c r="D969" i="5" s="1"/>
  <c r="F969" i="5" s="1"/>
  <c r="M968" i="5"/>
  <c r="L968" i="5"/>
  <c r="C968" i="5"/>
  <c r="D968" i="5" s="1"/>
  <c r="F968" i="5" s="1"/>
  <c r="M967" i="5"/>
  <c r="L967" i="5"/>
  <c r="C967" i="5"/>
  <c r="D967" i="5" s="1"/>
  <c r="F967" i="5" s="1"/>
  <c r="M966" i="5"/>
  <c r="L966" i="5"/>
  <c r="C966" i="5"/>
  <c r="D966" i="5" s="1"/>
  <c r="F966" i="5" s="1"/>
  <c r="M965" i="5"/>
  <c r="L965" i="5"/>
  <c r="C965" i="5"/>
  <c r="D965" i="5" s="1"/>
  <c r="F965" i="5" s="1"/>
  <c r="M964" i="5"/>
  <c r="L964" i="5"/>
  <c r="D964" i="5"/>
  <c r="F964" i="5" s="1"/>
  <c r="C964" i="5"/>
  <c r="M963" i="5"/>
  <c r="L963" i="5"/>
  <c r="C963" i="5"/>
  <c r="D963" i="5" s="1"/>
  <c r="F963" i="5" s="1"/>
  <c r="M962" i="5"/>
  <c r="L962" i="5"/>
  <c r="C962" i="5"/>
  <c r="D962" i="5" s="1"/>
  <c r="F962" i="5" s="1"/>
  <c r="M961" i="5"/>
  <c r="L961" i="5"/>
  <c r="C961" i="5"/>
  <c r="D961" i="5" s="1"/>
  <c r="F961" i="5" s="1"/>
  <c r="M960" i="5"/>
  <c r="L960" i="5"/>
  <c r="C960" i="5"/>
  <c r="D960" i="5" s="1"/>
  <c r="F960" i="5" s="1"/>
  <c r="M959" i="5"/>
  <c r="L959" i="5"/>
  <c r="C959" i="5"/>
  <c r="D959" i="5" s="1"/>
  <c r="F959" i="5" s="1"/>
  <c r="M958" i="5"/>
  <c r="L958" i="5"/>
  <c r="C958" i="5"/>
  <c r="D958" i="5" s="1"/>
  <c r="F958" i="5" s="1"/>
  <c r="M957" i="5"/>
  <c r="L957" i="5"/>
  <c r="C957" i="5"/>
  <c r="D957" i="5" s="1"/>
  <c r="F957" i="5" s="1"/>
  <c r="M956" i="5"/>
  <c r="L956" i="5"/>
  <c r="D956" i="5"/>
  <c r="F956" i="5" s="1"/>
  <c r="C956" i="5"/>
  <c r="M955" i="5"/>
  <c r="L955" i="5"/>
  <c r="C955" i="5"/>
  <c r="D955" i="5" s="1"/>
  <c r="F955" i="5" s="1"/>
  <c r="M954" i="5"/>
  <c r="L954" i="5"/>
  <c r="C954" i="5"/>
  <c r="D954" i="5" s="1"/>
  <c r="F954" i="5" s="1"/>
  <c r="M953" i="5"/>
  <c r="L953" i="5"/>
  <c r="C953" i="5"/>
  <c r="D953" i="5" s="1"/>
  <c r="F953" i="5" s="1"/>
  <c r="M952" i="5"/>
  <c r="L952" i="5"/>
  <c r="C952" i="5"/>
  <c r="D952" i="5" s="1"/>
  <c r="F952" i="5" s="1"/>
  <c r="M951" i="5"/>
  <c r="L951" i="5"/>
  <c r="C951" i="5"/>
  <c r="D951" i="5" s="1"/>
  <c r="F951" i="5" s="1"/>
  <c r="M950" i="5"/>
  <c r="L950" i="5"/>
  <c r="C950" i="5"/>
  <c r="D950" i="5" s="1"/>
  <c r="F950" i="5" s="1"/>
  <c r="M949" i="5"/>
  <c r="L949" i="5"/>
  <c r="C949" i="5"/>
  <c r="D949" i="5" s="1"/>
  <c r="F949" i="5" s="1"/>
  <c r="M948" i="5"/>
  <c r="L948" i="5"/>
  <c r="D948" i="5"/>
  <c r="F948" i="5" s="1"/>
  <c r="C948" i="5"/>
  <c r="M947" i="5"/>
  <c r="L947" i="5"/>
  <c r="C947" i="5"/>
  <c r="D947" i="5" s="1"/>
  <c r="F947" i="5" s="1"/>
  <c r="M946" i="5"/>
  <c r="L946" i="5"/>
  <c r="C946" i="5"/>
  <c r="D946" i="5" s="1"/>
  <c r="F946" i="5" s="1"/>
  <c r="M945" i="5"/>
  <c r="L945" i="5"/>
  <c r="C945" i="5"/>
  <c r="D945" i="5" s="1"/>
  <c r="F945" i="5" s="1"/>
  <c r="M944" i="5"/>
  <c r="L944" i="5"/>
  <c r="C944" i="5"/>
  <c r="D944" i="5" s="1"/>
  <c r="F944" i="5" s="1"/>
  <c r="M943" i="5"/>
  <c r="L943" i="5"/>
  <c r="C943" i="5"/>
  <c r="D943" i="5" s="1"/>
  <c r="F943" i="5" s="1"/>
  <c r="M942" i="5"/>
  <c r="L942" i="5"/>
  <c r="C942" i="5"/>
  <c r="D942" i="5" s="1"/>
  <c r="F942" i="5" s="1"/>
  <c r="M941" i="5"/>
  <c r="L941" i="5"/>
  <c r="C941" i="5"/>
  <c r="D941" i="5" s="1"/>
  <c r="F941" i="5" s="1"/>
  <c r="M940" i="5"/>
  <c r="L940" i="5"/>
  <c r="D940" i="5"/>
  <c r="F940" i="5" s="1"/>
  <c r="C940" i="5"/>
  <c r="M939" i="5"/>
  <c r="L939" i="5"/>
  <c r="C939" i="5"/>
  <c r="D939" i="5" s="1"/>
  <c r="F939" i="5" s="1"/>
  <c r="M938" i="5"/>
  <c r="L938" i="5"/>
  <c r="C938" i="5"/>
  <c r="D938" i="5" s="1"/>
  <c r="F938" i="5" s="1"/>
  <c r="M937" i="5"/>
  <c r="L937" i="5"/>
  <c r="C937" i="5"/>
  <c r="D937" i="5" s="1"/>
  <c r="F937" i="5" s="1"/>
  <c r="M936" i="5"/>
  <c r="L936" i="5"/>
  <c r="C936" i="5"/>
  <c r="D936" i="5" s="1"/>
  <c r="F936" i="5" s="1"/>
  <c r="M935" i="5"/>
  <c r="L935" i="5"/>
  <c r="C935" i="5"/>
  <c r="D935" i="5" s="1"/>
  <c r="F935" i="5" s="1"/>
  <c r="M934" i="5"/>
  <c r="L934" i="5"/>
  <c r="C934" i="5"/>
  <c r="D934" i="5" s="1"/>
  <c r="F934" i="5" s="1"/>
  <c r="M933" i="5"/>
  <c r="L933" i="5"/>
  <c r="C933" i="5"/>
  <c r="D933" i="5" s="1"/>
  <c r="F933" i="5" s="1"/>
  <c r="M932" i="5"/>
  <c r="L932" i="5"/>
  <c r="D932" i="5"/>
  <c r="F932" i="5" s="1"/>
  <c r="C932" i="5"/>
  <c r="M931" i="5"/>
  <c r="L931" i="5"/>
  <c r="C931" i="5"/>
  <c r="D931" i="5" s="1"/>
  <c r="F931" i="5" s="1"/>
  <c r="M930" i="5"/>
  <c r="L930" i="5"/>
  <c r="C930" i="5"/>
  <c r="D930" i="5" s="1"/>
  <c r="F930" i="5" s="1"/>
  <c r="M929" i="5"/>
  <c r="L929" i="5"/>
  <c r="C929" i="5"/>
  <c r="D929" i="5" s="1"/>
  <c r="F929" i="5" s="1"/>
  <c r="M928" i="5"/>
  <c r="L928" i="5"/>
  <c r="C928" i="5"/>
  <c r="D928" i="5" s="1"/>
  <c r="F928" i="5" s="1"/>
  <c r="M927" i="5"/>
  <c r="L927" i="5"/>
  <c r="C927" i="5"/>
  <c r="D927" i="5" s="1"/>
  <c r="F927" i="5" s="1"/>
  <c r="M926" i="5"/>
  <c r="L926" i="5"/>
  <c r="C926" i="5"/>
  <c r="D926" i="5" s="1"/>
  <c r="F926" i="5" s="1"/>
  <c r="M925" i="5"/>
  <c r="L925" i="5"/>
  <c r="C925" i="5"/>
  <c r="D925" i="5" s="1"/>
  <c r="F925" i="5" s="1"/>
  <c r="M924" i="5"/>
  <c r="L924" i="5"/>
  <c r="D924" i="5"/>
  <c r="F924" i="5" s="1"/>
  <c r="C924" i="5"/>
  <c r="M923" i="5"/>
  <c r="L923" i="5"/>
  <c r="C923" i="5"/>
  <c r="D923" i="5" s="1"/>
  <c r="F923" i="5" s="1"/>
  <c r="M922" i="5"/>
  <c r="L922" i="5"/>
  <c r="C922" i="5"/>
  <c r="D922" i="5" s="1"/>
  <c r="F922" i="5" s="1"/>
  <c r="M921" i="5"/>
  <c r="L921" i="5"/>
  <c r="C921" i="5"/>
  <c r="D921" i="5" s="1"/>
  <c r="F921" i="5" s="1"/>
  <c r="M920" i="5"/>
  <c r="L920" i="5"/>
  <c r="C920" i="5"/>
  <c r="D920" i="5" s="1"/>
  <c r="F920" i="5" s="1"/>
  <c r="M919" i="5"/>
  <c r="L919" i="5"/>
  <c r="C919" i="5"/>
  <c r="D919" i="5" s="1"/>
  <c r="F919" i="5" s="1"/>
  <c r="M918" i="5"/>
  <c r="L918" i="5"/>
  <c r="C918" i="5"/>
  <c r="D918" i="5" s="1"/>
  <c r="F918" i="5" s="1"/>
  <c r="M917" i="5"/>
  <c r="L917" i="5"/>
  <c r="C917" i="5"/>
  <c r="D917" i="5" s="1"/>
  <c r="F917" i="5" s="1"/>
  <c r="M916" i="5"/>
  <c r="L916" i="5"/>
  <c r="D916" i="5"/>
  <c r="F916" i="5" s="1"/>
  <c r="C916" i="5"/>
  <c r="M915" i="5"/>
  <c r="L915" i="5"/>
  <c r="C915" i="5"/>
  <c r="D915" i="5" s="1"/>
  <c r="F915" i="5" s="1"/>
  <c r="M914" i="5"/>
  <c r="L914" i="5"/>
  <c r="C914" i="5"/>
  <c r="D914" i="5" s="1"/>
  <c r="F914" i="5" s="1"/>
  <c r="M913" i="5"/>
  <c r="L913" i="5"/>
  <c r="C913" i="5"/>
  <c r="D913" i="5" s="1"/>
  <c r="F913" i="5" s="1"/>
  <c r="M912" i="5"/>
  <c r="L912" i="5"/>
  <c r="C912" i="5"/>
  <c r="D912" i="5" s="1"/>
  <c r="F912" i="5" s="1"/>
  <c r="M911" i="5"/>
  <c r="L911" i="5"/>
  <c r="C911" i="5"/>
  <c r="D911" i="5" s="1"/>
  <c r="F911" i="5" s="1"/>
  <c r="M910" i="5"/>
  <c r="L910" i="5"/>
  <c r="C910" i="5"/>
  <c r="D910" i="5" s="1"/>
  <c r="F910" i="5" s="1"/>
  <c r="M909" i="5"/>
  <c r="L909" i="5"/>
  <c r="C909" i="5"/>
  <c r="D909" i="5" s="1"/>
  <c r="F909" i="5" s="1"/>
  <c r="M908" i="5"/>
  <c r="L908" i="5"/>
  <c r="D908" i="5"/>
  <c r="F908" i="5" s="1"/>
  <c r="C908" i="5"/>
  <c r="M907" i="5"/>
  <c r="L907" i="5"/>
  <c r="C907" i="5"/>
  <c r="D907" i="5" s="1"/>
  <c r="F907" i="5" s="1"/>
  <c r="M906" i="5"/>
  <c r="L906" i="5"/>
  <c r="C906" i="5"/>
  <c r="D906" i="5" s="1"/>
  <c r="F906" i="5" s="1"/>
  <c r="M905" i="5"/>
  <c r="L905" i="5"/>
  <c r="C905" i="5"/>
  <c r="D905" i="5" s="1"/>
  <c r="F905" i="5" s="1"/>
  <c r="M904" i="5"/>
  <c r="L904" i="5"/>
  <c r="C904" i="5"/>
  <c r="D904" i="5" s="1"/>
  <c r="F904" i="5" s="1"/>
  <c r="M903" i="5"/>
  <c r="L903" i="5"/>
  <c r="C903" i="5"/>
  <c r="D903" i="5" s="1"/>
  <c r="F903" i="5" s="1"/>
  <c r="M902" i="5"/>
  <c r="L902" i="5"/>
  <c r="C902" i="5"/>
  <c r="D902" i="5" s="1"/>
  <c r="F902" i="5" s="1"/>
  <c r="M901" i="5"/>
  <c r="L901" i="5"/>
  <c r="C901" i="5"/>
  <c r="D901" i="5" s="1"/>
  <c r="F901" i="5" s="1"/>
  <c r="M900" i="5"/>
  <c r="L900" i="5"/>
  <c r="D900" i="5"/>
  <c r="F900" i="5" s="1"/>
  <c r="C900" i="5"/>
  <c r="M899" i="5"/>
  <c r="L899" i="5"/>
  <c r="C899" i="5"/>
  <c r="D899" i="5" s="1"/>
  <c r="F899" i="5" s="1"/>
  <c r="M898" i="5"/>
  <c r="L898" i="5"/>
  <c r="C898" i="5"/>
  <c r="D898" i="5" s="1"/>
  <c r="F898" i="5" s="1"/>
  <c r="M897" i="5"/>
  <c r="L897" i="5"/>
  <c r="C897" i="5"/>
  <c r="D897" i="5" s="1"/>
  <c r="F897" i="5" s="1"/>
  <c r="M896" i="5"/>
  <c r="L896" i="5"/>
  <c r="C896" i="5"/>
  <c r="D896" i="5" s="1"/>
  <c r="F896" i="5" s="1"/>
  <c r="M895" i="5"/>
  <c r="L895" i="5"/>
  <c r="C895" i="5"/>
  <c r="D895" i="5" s="1"/>
  <c r="F895" i="5" s="1"/>
  <c r="M894" i="5"/>
  <c r="L894" i="5"/>
  <c r="C894" i="5"/>
  <c r="D894" i="5" s="1"/>
  <c r="F894" i="5" s="1"/>
  <c r="M893" i="5"/>
  <c r="L893" i="5"/>
  <c r="C893" i="5"/>
  <c r="D893" i="5" s="1"/>
  <c r="F893" i="5" s="1"/>
  <c r="M892" i="5"/>
  <c r="L892" i="5"/>
  <c r="D892" i="5"/>
  <c r="F892" i="5" s="1"/>
  <c r="C892" i="5"/>
  <c r="M891" i="5"/>
  <c r="L891" i="5"/>
  <c r="C891" i="5"/>
  <c r="D891" i="5" s="1"/>
  <c r="F891" i="5" s="1"/>
  <c r="M890" i="5"/>
  <c r="L890" i="5"/>
  <c r="C890" i="5"/>
  <c r="D890" i="5" s="1"/>
  <c r="F890" i="5" s="1"/>
  <c r="M889" i="5"/>
  <c r="L889" i="5"/>
  <c r="C889" i="5"/>
  <c r="D889" i="5" s="1"/>
  <c r="F889" i="5" s="1"/>
  <c r="M888" i="5"/>
  <c r="L888" i="5"/>
  <c r="C888" i="5"/>
  <c r="D888" i="5" s="1"/>
  <c r="F888" i="5" s="1"/>
  <c r="M887" i="5"/>
  <c r="L887" i="5"/>
  <c r="C887" i="5"/>
  <c r="D887" i="5" s="1"/>
  <c r="F887" i="5" s="1"/>
  <c r="M886" i="5"/>
  <c r="L886" i="5"/>
  <c r="C886" i="5"/>
  <c r="D886" i="5" s="1"/>
  <c r="F886" i="5" s="1"/>
  <c r="M885" i="5"/>
  <c r="L885" i="5"/>
  <c r="C885" i="5"/>
  <c r="D885" i="5" s="1"/>
  <c r="F885" i="5" s="1"/>
  <c r="M884" i="5"/>
  <c r="L884" i="5"/>
  <c r="D884" i="5"/>
  <c r="F884" i="5" s="1"/>
  <c r="C884" i="5"/>
  <c r="M883" i="5"/>
  <c r="L883" i="5"/>
  <c r="C883" i="5"/>
  <c r="D883" i="5" s="1"/>
  <c r="F883" i="5" s="1"/>
  <c r="M882" i="5"/>
  <c r="L882" i="5"/>
  <c r="C882" i="5"/>
  <c r="D882" i="5" s="1"/>
  <c r="F882" i="5" s="1"/>
  <c r="M881" i="5"/>
  <c r="L881" i="5"/>
  <c r="C881" i="5"/>
  <c r="D881" i="5" s="1"/>
  <c r="F881" i="5" s="1"/>
  <c r="M880" i="5"/>
  <c r="L880" i="5"/>
  <c r="C880" i="5"/>
  <c r="D880" i="5" s="1"/>
  <c r="F880" i="5" s="1"/>
  <c r="M879" i="5"/>
  <c r="L879" i="5"/>
  <c r="C879" i="5"/>
  <c r="D879" i="5" s="1"/>
  <c r="F879" i="5" s="1"/>
  <c r="M878" i="5"/>
  <c r="L878" i="5"/>
  <c r="C878" i="5"/>
  <c r="D878" i="5" s="1"/>
  <c r="F878" i="5" s="1"/>
  <c r="M877" i="5"/>
  <c r="L877" i="5"/>
  <c r="C877" i="5"/>
  <c r="D877" i="5" s="1"/>
  <c r="F877" i="5" s="1"/>
  <c r="M876" i="5"/>
  <c r="L876" i="5"/>
  <c r="D876" i="5"/>
  <c r="F876" i="5" s="1"/>
  <c r="C876" i="5"/>
  <c r="M875" i="5"/>
  <c r="L875" i="5"/>
  <c r="C875" i="5"/>
  <c r="D875" i="5" s="1"/>
  <c r="F875" i="5" s="1"/>
  <c r="M874" i="5"/>
  <c r="L874" i="5"/>
  <c r="C874" i="5"/>
  <c r="D874" i="5" s="1"/>
  <c r="F874" i="5" s="1"/>
  <c r="M873" i="5"/>
  <c r="L873" i="5"/>
  <c r="C873" i="5"/>
  <c r="D873" i="5" s="1"/>
  <c r="F873" i="5" s="1"/>
  <c r="M872" i="5"/>
  <c r="L872" i="5"/>
  <c r="C872" i="5"/>
  <c r="D872" i="5" s="1"/>
  <c r="F872" i="5" s="1"/>
  <c r="M871" i="5"/>
  <c r="L871" i="5"/>
  <c r="C871" i="5"/>
  <c r="D871" i="5" s="1"/>
  <c r="F871" i="5" s="1"/>
  <c r="M870" i="5"/>
  <c r="L870" i="5"/>
  <c r="C870" i="5"/>
  <c r="D870" i="5" s="1"/>
  <c r="F870" i="5" s="1"/>
  <c r="M869" i="5"/>
  <c r="L869" i="5"/>
  <c r="C869" i="5"/>
  <c r="D869" i="5" s="1"/>
  <c r="F869" i="5" s="1"/>
  <c r="M868" i="5"/>
  <c r="L868" i="5"/>
  <c r="D868" i="5"/>
  <c r="F868" i="5" s="1"/>
  <c r="C868" i="5"/>
  <c r="M867" i="5"/>
  <c r="L867" i="5"/>
  <c r="C867" i="5"/>
  <c r="D867" i="5" s="1"/>
  <c r="F867" i="5" s="1"/>
  <c r="M866" i="5"/>
  <c r="L866" i="5"/>
  <c r="C866" i="5"/>
  <c r="D866" i="5" s="1"/>
  <c r="F866" i="5" s="1"/>
  <c r="M865" i="5"/>
  <c r="L865" i="5"/>
  <c r="C865" i="5"/>
  <c r="D865" i="5" s="1"/>
  <c r="F865" i="5" s="1"/>
  <c r="M864" i="5"/>
  <c r="L864" i="5"/>
  <c r="C864" i="5"/>
  <c r="D864" i="5" s="1"/>
  <c r="F864" i="5" s="1"/>
  <c r="M863" i="5"/>
  <c r="L863" i="5"/>
  <c r="C863" i="5"/>
  <c r="D863" i="5" s="1"/>
  <c r="F863" i="5" s="1"/>
  <c r="M862" i="5"/>
  <c r="L862" i="5"/>
  <c r="C862" i="5"/>
  <c r="D862" i="5" s="1"/>
  <c r="F862" i="5" s="1"/>
  <c r="M861" i="5"/>
  <c r="L861" i="5"/>
  <c r="C861" i="5"/>
  <c r="D861" i="5" s="1"/>
  <c r="F861" i="5" s="1"/>
  <c r="M860" i="5"/>
  <c r="L860" i="5"/>
  <c r="D860" i="5"/>
  <c r="F860" i="5" s="1"/>
  <c r="C860" i="5"/>
  <c r="M859" i="5"/>
  <c r="L859" i="5"/>
  <c r="C859" i="5"/>
  <c r="D859" i="5" s="1"/>
  <c r="F859" i="5" s="1"/>
  <c r="M858" i="5"/>
  <c r="L858" i="5"/>
  <c r="C858" i="5"/>
  <c r="D858" i="5" s="1"/>
  <c r="F858" i="5" s="1"/>
  <c r="M857" i="5"/>
  <c r="L857" i="5"/>
  <c r="C857" i="5"/>
  <c r="D857" i="5" s="1"/>
  <c r="F857" i="5" s="1"/>
  <c r="M856" i="5"/>
  <c r="L856" i="5"/>
  <c r="C856" i="5"/>
  <c r="D856" i="5" s="1"/>
  <c r="F856" i="5" s="1"/>
  <c r="M855" i="5"/>
  <c r="L855" i="5"/>
  <c r="C855" i="5"/>
  <c r="D855" i="5" s="1"/>
  <c r="F855" i="5" s="1"/>
  <c r="M854" i="5"/>
  <c r="L854" i="5"/>
  <c r="C854" i="5"/>
  <c r="D854" i="5" s="1"/>
  <c r="F854" i="5" s="1"/>
  <c r="M853" i="5"/>
  <c r="L853" i="5"/>
  <c r="C853" i="5"/>
  <c r="D853" i="5" s="1"/>
  <c r="F853" i="5" s="1"/>
  <c r="M852" i="5"/>
  <c r="L852" i="5"/>
  <c r="D852" i="5"/>
  <c r="F852" i="5" s="1"/>
  <c r="C852" i="5"/>
  <c r="M851" i="5"/>
  <c r="L851" i="5"/>
  <c r="C851" i="5"/>
  <c r="D851" i="5" s="1"/>
  <c r="F851" i="5" s="1"/>
  <c r="M850" i="5"/>
  <c r="L850" i="5"/>
  <c r="C850" i="5"/>
  <c r="D850" i="5" s="1"/>
  <c r="F850" i="5" s="1"/>
  <c r="M849" i="5"/>
  <c r="L849" i="5"/>
  <c r="C849" i="5"/>
  <c r="D849" i="5" s="1"/>
  <c r="F849" i="5" s="1"/>
  <c r="M848" i="5"/>
  <c r="L848" i="5"/>
  <c r="C848" i="5"/>
  <c r="D848" i="5" s="1"/>
  <c r="F848" i="5" s="1"/>
  <c r="M847" i="5"/>
  <c r="L847" i="5"/>
  <c r="C847" i="5"/>
  <c r="D847" i="5" s="1"/>
  <c r="F847" i="5" s="1"/>
  <c r="M846" i="5"/>
  <c r="L846" i="5"/>
  <c r="C846" i="5"/>
  <c r="D846" i="5" s="1"/>
  <c r="F846" i="5" s="1"/>
  <c r="M845" i="5"/>
  <c r="L845" i="5"/>
  <c r="C845" i="5"/>
  <c r="D845" i="5" s="1"/>
  <c r="F845" i="5" s="1"/>
  <c r="M844" i="5"/>
  <c r="L844" i="5"/>
  <c r="D844" i="5"/>
  <c r="F844" i="5" s="1"/>
  <c r="C844" i="5"/>
  <c r="M843" i="5"/>
  <c r="L843" i="5"/>
  <c r="C843" i="5"/>
  <c r="D843" i="5" s="1"/>
  <c r="F843" i="5" s="1"/>
  <c r="M842" i="5"/>
  <c r="L842" i="5"/>
  <c r="C842" i="5"/>
  <c r="D842" i="5" s="1"/>
  <c r="F842" i="5" s="1"/>
  <c r="M841" i="5"/>
  <c r="L841" i="5"/>
  <c r="C841" i="5"/>
  <c r="D841" i="5" s="1"/>
  <c r="F841" i="5" s="1"/>
  <c r="M840" i="5"/>
  <c r="L840" i="5"/>
  <c r="C840" i="5"/>
  <c r="D840" i="5" s="1"/>
  <c r="F840" i="5" s="1"/>
  <c r="M839" i="5"/>
  <c r="L839" i="5"/>
  <c r="C839" i="5"/>
  <c r="D839" i="5" s="1"/>
  <c r="F839" i="5" s="1"/>
  <c r="M838" i="5"/>
  <c r="L838" i="5"/>
  <c r="C838" i="5"/>
  <c r="D838" i="5" s="1"/>
  <c r="F838" i="5" s="1"/>
  <c r="M837" i="5"/>
  <c r="L837" i="5"/>
  <c r="C837" i="5"/>
  <c r="D837" i="5" s="1"/>
  <c r="F837" i="5" s="1"/>
  <c r="M836" i="5"/>
  <c r="L836" i="5"/>
  <c r="D836" i="5"/>
  <c r="F836" i="5" s="1"/>
  <c r="C836" i="5"/>
  <c r="M835" i="5"/>
  <c r="L835" i="5"/>
  <c r="C835" i="5"/>
  <c r="D835" i="5" s="1"/>
  <c r="F835" i="5" s="1"/>
  <c r="M834" i="5"/>
  <c r="L834" i="5"/>
  <c r="C834" i="5"/>
  <c r="D834" i="5" s="1"/>
  <c r="F834" i="5" s="1"/>
  <c r="M833" i="5"/>
  <c r="L833" i="5"/>
  <c r="C833" i="5"/>
  <c r="D833" i="5" s="1"/>
  <c r="F833" i="5" s="1"/>
  <c r="M832" i="5"/>
  <c r="L832" i="5"/>
  <c r="C832" i="5"/>
  <c r="D832" i="5" s="1"/>
  <c r="F832" i="5" s="1"/>
  <c r="M831" i="5"/>
  <c r="L831" i="5"/>
  <c r="C831" i="5"/>
  <c r="D831" i="5" s="1"/>
  <c r="F831" i="5" s="1"/>
  <c r="M830" i="5"/>
  <c r="L830" i="5"/>
  <c r="C830" i="5"/>
  <c r="D830" i="5" s="1"/>
  <c r="F830" i="5" s="1"/>
  <c r="M829" i="5"/>
  <c r="L829" i="5"/>
  <c r="C829" i="5"/>
  <c r="D829" i="5" s="1"/>
  <c r="F829" i="5" s="1"/>
  <c r="M828" i="5"/>
  <c r="L828" i="5"/>
  <c r="D828" i="5"/>
  <c r="F828" i="5" s="1"/>
  <c r="C828" i="5"/>
  <c r="M827" i="5"/>
  <c r="L827" i="5"/>
  <c r="C827" i="5"/>
  <c r="D827" i="5" s="1"/>
  <c r="F827" i="5" s="1"/>
  <c r="M826" i="5"/>
  <c r="L826" i="5"/>
  <c r="C826" i="5"/>
  <c r="D826" i="5" s="1"/>
  <c r="F826" i="5" s="1"/>
  <c r="M825" i="5"/>
  <c r="L825" i="5"/>
  <c r="C825" i="5"/>
  <c r="D825" i="5" s="1"/>
  <c r="F825" i="5" s="1"/>
  <c r="M824" i="5"/>
  <c r="L824" i="5"/>
  <c r="C824" i="5"/>
  <c r="D824" i="5" s="1"/>
  <c r="F824" i="5" s="1"/>
  <c r="M823" i="5"/>
  <c r="L823" i="5"/>
  <c r="C823" i="5"/>
  <c r="D823" i="5" s="1"/>
  <c r="F823" i="5" s="1"/>
  <c r="M822" i="5"/>
  <c r="L822" i="5"/>
  <c r="C822" i="5"/>
  <c r="D822" i="5" s="1"/>
  <c r="F822" i="5" s="1"/>
  <c r="M821" i="5"/>
  <c r="L821" i="5"/>
  <c r="C821" i="5"/>
  <c r="D821" i="5" s="1"/>
  <c r="F821" i="5" s="1"/>
  <c r="M820" i="5"/>
  <c r="L820" i="5"/>
  <c r="D820" i="5"/>
  <c r="F820" i="5" s="1"/>
  <c r="C820" i="5"/>
  <c r="M819" i="5"/>
  <c r="L819" i="5"/>
  <c r="C819" i="5"/>
  <c r="D819" i="5" s="1"/>
  <c r="F819" i="5" s="1"/>
  <c r="M818" i="5"/>
  <c r="L818" i="5"/>
  <c r="C818" i="5"/>
  <c r="D818" i="5" s="1"/>
  <c r="F818" i="5" s="1"/>
  <c r="M817" i="5"/>
  <c r="L817" i="5"/>
  <c r="C817" i="5"/>
  <c r="D817" i="5" s="1"/>
  <c r="F817" i="5" s="1"/>
  <c r="M816" i="5"/>
  <c r="L816" i="5"/>
  <c r="C816" i="5"/>
  <c r="D816" i="5" s="1"/>
  <c r="F816" i="5" s="1"/>
  <c r="M815" i="5"/>
  <c r="L815" i="5"/>
  <c r="C815" i="5"/>
  <c r="D815" i="5" s="1"/>
  <c r="F815" i="5" s="1"/>
  <c r="M814" i="5"/>
  <c r="L814" i="5"/>
  <c r="C814" i="5"/>
  <c r="D814" i="5" s="1"/>
  <c r="F814" i="5" s="1"/>
  <c r="M813" i="5"/>
  <c r="L813" i="5"/>
  <c r="C813" i="5"/>
  <c r="D813" i="5" s="1"/>
  <c r="F813" i="5" s="1"/>
  <c r="M812" i="5"/>
  <c r="L812" i="5"/>
  <c r="D812" i="5"/>
  <c r="F812" i="5" s="1"/>
  <c r="C812" i="5"/>
  <c r="M811" i="5"/>
  <c r="L811" i="5"/>
  <c r="C811" i="5"/>
  <c r="D811" i="5" s="1"/>
  <c r="F811" i="5" s="1"/>
  <c r="M810" i="5"/>
  <c r="L810" i="5"/>
  <c r="C810" i="5"/>
  <c r="D810" i="5" s="1"/>
  <c r="F810" i="5" s="1"/>
  <c r="M809" i="5"/>
  <c r="L809" i="5"/>
  <c r="C809" i="5"/>
  <c r="D809" i="5" s="1"/>
  <c r="F809" i="5" s="1"/>
  <c r="M808" i="5"/>
  <c r="L808" i="5"/>
  <c r="C808" i="5"/>
  <c r="D808" i="5" s="1"/>
  <c r="F808" i="5" s="1"/>
  <c r="M807" i="5"/>
  <c r="L807" i="5"/>
  <c r="C807" i="5"/>
  <c r="D807" i="5" s="1"/>
  <c r="F807" i="5" s="1"/>
  <c r="M806" i="5"/>
  <c r="L806" i="5"/>
  <c r="C806" i="5"/>
  <c r="D806" i="5" s="1"/>
  <c r="F806" i="5" s="1"/>
  <c r="M805" i="5"/>
  <c r="L805" i="5"/>
  <c r="C805" i="5"/>
  <c r="D805" i="5" s="1"/>
  <c r="F805" i="5" s="1"/>
  <c r="M804" i="5"/>
  <c r="L804" i="5"/>
  <c r="D804" i="5"/>
  <c r="F804" i="5" s="1"/>
  <c r="C804" i="5"/>
  <c r="M803" i="5"/>
  <c r="L803" i="5"/>
  <c r="C803" i="5"/>
  <c r="D803" i="5" s="1"/>
  <c r="F803" i="5" s="1"/>
  <c r="M802" i="5"/>
  <c r="L802" i="5"/>
  <c r="C802" i="5"/>
  <c r="D802" i="5" s="1"/>
  <c r="F802" i="5" s="1"/>
  <c r="M801" i="5"/>
  <c r="L801" i="5"/>
  <c r="C801" i="5"/>
  <c r="D801" i="5" s="1"/>
  <c r="F801" i="5" s="1"/>
  <c r="M800" i="5"/>
  <c r="L800" i="5"/>
  <c r="C800" i="5"/>
  <c r="D800" i="5" s="1"/>
  <c r="F800" i="5" s="1"/>
  <c r="M799" i="5"/>
  <c r="L799" i="5"/>
  <c r="C799" i="5"/>
  <c r="D799" i="5" s="1"/>
  <c r="F799" i="5" s="1"/>
  <c r="M798" i="5"/>
  <c r="L798" i="5"/>
  <c r="C798" i="5"/>
  <c r="D798" i="5" s="1"/>
  <c r="F798" i="5" s="1"/>
  <c r="M797" i="5"/>
  <c r="L797" i="5"/>
  <c r="C797" i="5"/>
  <c r="D797" i="5" s="1"/>
  <c r="F797" i="5" s="1"/>
  <c r="M796" i="5"/>
  <c r="L796" i="5"/>
  <c r="D796" i="5"/>
  <c r="F796" i="5" s="1"/>
  <c r="C796" i="5"/>
  <c r="M795" i="5"/>
  <c r="L795" i="5"/>
  <c r="C795" i="5"/>
  <c r="D795" i="5" s="1"/>
  <c r="F795" i="5" s="1"/>
  <c r="M794" i="5"/>
  <c r="L794" i="5"/>
  <c r="C794" i="5"/>
  <c r="D794" i="5" s="1"/>
  <c r="F794" i="5" s="1"/>
  <c r="M793" i="5"/>
  <c r="L793" i="5"/>
  <c r="C793" i="5"/>
  <c r="D793" i="5" s="1"/>
  <c r="F793" i="5" s="1"/>
  <c r="M792" i="5"/>
  <c r="L792" i="5"/>
  <c r="C792" i="5"/>
  <c r="D792" i="5" s="1"/>
  <c r="F792" i="5" s="1"/>
  <c r="M791" i="5"/>
  <c r="L791" i="5"/>
  <c r="C791" i="5"/>
  <c r="D791" i="5" s="1"/>
  <c r="F791" i="5" s="1"/>
  <c r="M790" i="5"/>
  <c r="L790" i="5"/>
  <c r="C790" i="5"/>
  <c r="D790" i="5" s="1"/>
  <c r="F790" i="5" s="1"/>
  <c r="M789" i="5"/>
  <c r="L789" i="5"/>
  <c r="C789" i="5"/>
  <c r="D789" i="5" s="1"/>
  <c r="F789" i="5" s="1"/>
  <c r="M788" i="5"/>
  <c r="L788" i="5"/>
  <c r="D788" i="5"/>
  <c r="F788" i="5" s="1"/>
  <c r="C788" i="5"/>
  <c r="M787" i="5"/>
  <c r="L787" i="5"/>
  <c r="C787" i="5"/>
  <c r="D787" i="5" s="1"/>
  <c r="F787" i="5" s="1"/>
  <c r="M786" i="5"/>
  <c r="L786" i="5"/>
  <c r="C786" i="5"/>
  <c r="D786" i="5" s="1"/>
  <c r="F786" i="5" s="1"/>
  <c r="M785" i="5"/>
  <c r="L785" i="5"/>
  <c r="C785" i="5"/>
  <c r="D785" i="5" s="1"/>
  <c r="F785" i="5" s="1"/>
  <c r="M784" i="5"/>
  <c r="L784" i="5"/>
  <c r="C784" i="5"/>
  <c r="D784" i="5" s="1"/>
  <c r="F784" i="5" s="1"/>
  <c r="M783" i="5"/>
  <c r="L783" i="5"/>
  <c r="C783" i="5"/>
  <c r="D783" i="5" s="1"/>
  <c r="F783" i="5" s="1"/>
  <c r="M782" i="5"/>
  <c r="L782" i="5"/>
  <c r="C782" i="5"/>
  <c r="D782" i="5" s="1"/>
  <c r="F782" i="5" s="1"/>
  <c r="M781" i="5"/>
  <c r="L781" i="5"/>
  <c r="C781" i="5"/>
  <c r="D781" i="5" s="1"/>
  <c r="F781" i="5" s="1"/>
  <c r="M780" i="5"/>
  <c r="L780" i="5"/>
  <c r="D780" i="5"/>
  <c r="F780" i="5" s="1"/>
  <c r="C780" i="5"/>
  <c r="M779" i="5"/>
  <c r="L779" i="5"/>
  <c r="C779" i="5"/>
  <c r="D779" i="5" s="1"/>
  <c r="F779" i="5" s="1"/>
  <c r="M778" i="5"/>
  <c r="L778" i="5"/>
  <c r="C778" i="5"/>
  <c r="D778" i="5" s="1"/>
  <c r="F778" i="5" s="1"/>
  <c r="M777" i="5"/>
  <c r="L777" i="5"/>
  <c r="C777" i="5"/>
  <c r="D777" i="5" s="1"/>
  <c r="F777" i="5" s="1"/>
  <c r="M776" i="5"/>
  <c r="L776" i="5"/>
  <c r="C776" i="5"/>
  <c r="D776" i="5" s="1"/>
  <c r="F776" i="5" s="1"/>
  <c r="M775" i="5"/>
  <c r="L775" i="5"/>
  <c r="C775" i="5"/>
  <c r="D775" i="5" s="1"/>
  <c r="F775" i="5" s="1"/>
  <c r="M774" i="5"/>
  <c r="L774" i="5"/>
  <c r="C774" i="5"/>
  <c r="D774" i="5" s="1"/>
  <c r="F774" i="5" s="1"/>
  <c r="M773" i="5"/>
  <c r="L773" i="5"/>
  <c r="C773" i="5"/>
  <c r="D773" i="5" s="1"/>
  <c r="F773" i="5" s="1"/>
  <c r="M772" i="5"/>
  <c r="L772" i="5"/>
  <c r="D772" i="5"/>
  <c r="F772" i="5" s="1"/>
  <c r="C772" i="5"/>
  <c r="M771" i="5"/>
  <c r="L771" i="5"/>
  <c r="C771" i="5"/>
  <c r="D771" i="5" s="1"/>
  <c r="F771" i="5" s="1"/>
  <c r="M770" i="5"/>
  <c r="L770" i="5"/>
  <c r="C770" i="5"/>
  <c r="D770" i="5" s="1"/>
  <c r="F770" i="5" s="1"/>
  <c r="M769" i="5"/>
  <c r="L769" i="5"/>
  <c r="C769" i="5"/>
  <c r="D769" i="5" s="1"/>
  <c r="F769" i="5" s="1"/>
  <c r="M768" i="5"/>
  <c r="L768" i="5"/>
  <c r="C768" i="5"/>
  <c r="D768" i="5" s="1"/>
  <c r="F768" i="5" s="1"/>
  <c r="M767" i="5"/>
  <c r="L767" i="5"/>
  <c r="C767" i="5"/>
  <c r="D767" i="5" s="1"/>
  <c r="F767" i="5" s="1"/>
  <c r="M766" i="5"/>
  <c r="L766" i="5"/>
  <c r="C766" i="5"/>
  <c r="D766" i="5" s="1"/>
  <c r="F766" i="5" s="1"/>
  <c r="M765" i="5"/>
  <c r="L765" i="5"/>
  <c r="C765" i="5"/>
  <c r="D765" i="5" s="1"/>
  <c r="F765" i="5" s="1"/>
  <c r="M764" i="5"/>
  <c r="L764" i="5"/>
  <c r="D764" i="5"/>
  <c r="F764" i="5" s="1"/>
  <c r="C764" i="5"/>
  <c r="M763" i="5"/>
  <c r="L763" i="5"/>
  <c r="C763" i="5"/>
  <c r="D763" i="5" s="1"/>
  <c r="F763" i="5" s="1"/>
  <c r="M762" i="5"/>
  <c r="L762" i="5"/>
  <c r="C762" i="5"/>
  <c r="D762" i="5" s="1"/>
  <c r="F762" i="5" s="1"/>
  <c r="M761" i="5"/>
  <c r="L761" i="5"/>
  <c r="C761" i="5"/>
  <c r="D761" i="5" s="1"/>
  <c r="F761" i="5" s="1"/>
  <c r="M760" i="5"/>
  <c r="L760" i="5"/>
  <c r="C760" i="5"/>
  <c r="D760" i="5" s="1"/>
  <c r="F760" i="5" s="1"/>
  <c r="M759" i="5"/>
  <c r="L759" i="5"/>
  <c r="C759" i="5"/>
  <c r="D759" i="5" s="1"/>
  <c r="F759" i="5" s="1"/>
  <c r="M758" i="5"/>
  <c r="L758" i="5"/>
  <c r="C758" i="5"/>
  <c r="D758" i="5" s="1"/>
  <c r="F758" i="5" s="1"/>
  <c r="M757" i="5"/>
  <c r="L757" i="5"/>
  <c r="C757" i="5"/>
  <c r="D757" i="5" s="1"/>
  <c r="F757" i="5" s="1"/>
  <c r="M756" i="5"/>
  <c r="L756" i="5"/>
  <c r="D756" i="5"/>
  <c r="F756" i="5" s="1"/>
  <c r="C756" i="5"/>
  <c r="M755" i="5"/>
  <c r="L755" i="5"/>
  <c r="C755" i="5"/>
  <c r="D755" i="5" s="1"/>
  <c r="F755" i="5" s="1"/>
  <c r="M754" i="5"/>
  <c r="L754" i="5"/>
  <c r="C754" i="5"/>
  <c r="D754" i="5" s="1"/>
  <c r="F754" i="5" s="1"/>
  <c r="M753" i="5"/>
  <c r="L753" i="5"/>
  <c r="C753" i="5"/>
  <c r="D753" i="5" s="1"/>
  <c r="F753" i="5" s="1"/>
  <c r="M752" i="5"/>
  <c r="L752" i="5"/>
  <c r="C752" i="5"/>
  <c r="D752" i="5" s="1"/>
  <c r="F752" i="5" s="1"/>
  <c r="M751" i="5"/>
  <c r="L751" i="5"/>
  <c r="C751" i="5"/>
  <c r="D751" i="5" s="1"/>
  <c r="F751" i="5" s="1"/>
  <c r="M750" i="5"/>
  <c r="L750" i="5"/>
  <c r="C750" i="5"/>
  <c r="D750" i="5" s="1"/>
  <c r="F750" i="5" s="1"/>
  <c r="M749" i="5"/>
  <c r="L749" i="5"/>
  <c r="C749" i="5"/>
  <c r="D749" i="5" s="1"/>
  <c r="F749" i="5" s="1"/>
  <c r="M748" i="5"/>
  <c r="L748" i="5"/>
  <c r="D748" i="5"/>
  <c r="F748" i="5" s="1"/>
  <c r="C748" i="5"/>
  <c r="M747" i="5"/>
  <c r="L747" i="5"/>
  <c r="C747" i="5"/>
  <c r="D747" i="5" s="1"/>
  <c r="F747" i="5" s="1"/>
  <c r="M746" i="5"/>
  <c r="L746" i="5"/>
  <c r="C746" i="5"/>
  <c r="D746" i="5" s="1"/>
  <c r="F746" i="5" s="1"/>
  <c r="M745" i="5"/>
  <c r="L745" i="5"/>
  <c r="C745" i="5"/>
  <c r="D745" i="5" s="1"/>
  <c r="F745" i="5" s="1"/>
  <c r="M744" i="5"/>
  <c r="L744" i="5"/>
  <c r="C744" i="5"/>
  <c r="D744" i="5" s="1"/>
  <c r="F744" i="5" s="1"/>
  <c r="M743" i="5"/>
  <c r="L743" i="5"/>
  <c r="C743" i="5"/>
  <c r="D743" i="5" s="1"/>
  <c r="F743" i="5" s="1"/>
  <c r="M742" i="5"/>
  <c r="L742" i="5"/>
  <c r="C742" i="5"/>
  <c r="D742" i="5" s="1"/>
  <c r="F742" i="5" s="1"/>
  <c r="M741" i="5"/>
  <c r="L741" i="5"/>
  <c r="C741" i="5"/>
  <c r="D741" i="5" s="1"/>
  <c r="F741" i="5" s="1"/>
  <c r="M740" i="5"/>
  <c r="L740" i="5"/>
  <c r="D740" i="5"/>
  <c r="F740" i="5" s="1"/>
  <c r="C740" i="5"/>
  <c r="M739" i="5"/>
  <c r="L739" i="5"/>
  <c r="C739" i="5"/>
  <c r="D739" i="5" s="1"/>
  <c r="F739" i="5" s="1"/>
  <c r="M738" i="5"/>
  <c r="L738" i="5"/>
  <c r="C738" i="5"/>
  <c r="D738" i="5" s="1"/>
  <c r="F738" i="5" s="1"/>
  <c r="M737" i="5"/>
  <c r="L737" i="5"/>
  <c r="C737" i="5"/>
  <c r="D737" i="5" s="1"/>
  <c r="F737" i="5" s="1"/>
  <c r="M736" i="5"/>
  <c r="L736" i="5"/>
  <c r="C736" i="5"/>
  <c r="D736" i="5" s="1"/>
  <c r="F736" i="5" s="1"/>
  <c r="M735" i="5"/>
  <c r="L735" i="5"/>
  <c r="C735" i="5"/>
  <c r="D735" i="5" s="1"/>
  <c r="F735" i="5" s="1"/>
  <c r="M734" i="5"/>
  <c r="L734" i="5"/>
  <c r="C734" i="5"/>
  <c r="D734" i="5" s="1"/>
  <c r="F734" i="5" s="1"/>
  <c r="M733" i="5"/>
  <c r="L733" i="5"/>
  <c r="C733" i="5"/>
  <c r="D733" i="5" s="1"/>
  <c r="F733" i="5" s="1"/>
  <c r="M732" i="5"/>
  <c r="L732" i="5"/>
  <c r="D732" i="5"/>
  <c r="F732" i="5" s="1"/>
  <c r="C732" i="5"/>
  <c r="M731" i="5"/>
  <c r="L731" i="5"/>
  <c r="C731" i="5"/>
  <c r="D731" i="5" s="1"/>
  <c r="F731" i="5" s="1"/>
  <c r="M730" i="5"/>
  <c r="L730" i="5"/>
  <c r="C730" i="5"/>
  <c r="D730" i="5" s="1"/>
  <c r="F730" i="5" s="1"/>
  <c r="M729" i="5"/>
  <c r="L729" i="5"/>
  <c r="C729" i="5"/>
  <c r="D729" i="5" s="1"/>
  <c r="F729" i="5" s="1"/>
  <c r="M728" i="5"/>
  <c r="L728" i="5"/>
  <c r="C728" i="5"/>
  <c r="D728" i="5" s="1"/>
  <c r="F728" i="5" s="1"/>
  <c r="M727" i="5"/>
  <c r="L727" i="5"/>
  <c r="C727" i="5"/>
  <c r="D727" i="5" s="1"/>
  <c r="F727" i="5" s="1"/>
  <c r="M726" i="5"/>
  <c r="L726" i="5"/>
  <c r="C726" i="5"/>
  <c r="D726" i="5" s="1"/>
  <c r="F726" i="5" s="1"/>
  <c r="M725" i="5"/>
  <c r="L725" i="5"/>
  <c r="C725" i="5"/>
  <c r="D725" i="5" s="1"/>
  <c r="F725" i="5" s="1"/>
  <c r="M724" i="5"/>
  <c r="L724" i="5"/>
  <c r="D724" i="5"/>
  <c r="F724" i="5" s="1"/>
  <c r="C724" i="5"/>
  <c r="M723" i="5"/>
  <c r="L723" i="5"/>
  <c r="C723" i="5"/>
  <c r="D723" i="5" s="1"/>
  <c r="F723" i="5" s="1"/>
  <c r="M722" i="5"/>
  <c r="L722" i="5"/>
  <c r="C722" i="5"/>
  <c r="D722" i="5" s="1"/>
  <c r="F722" i="5" s="1"/>
  <c r="M721" i="5"/>
  <c r="L721" i="5"/>
  <c r="C721" i="5"/>
  <c r="D721" i="5" s="1"/>
  <c r="F721" i="5" s="1"/>
  <c r="M720" i="5"/>
  <c r="L720" i="5"/>
  <c r="C720" i="5"/>
  <c r="D720" i="5" s="1"/>
  <c r="F720" i="5" s="1"/>
  <c r="M719" i="5"/>
  <c r="L719" i="5"/>
  <c r="C719" i="5"/>
  <c r="D719" i="5" s="1"/>
  <c r="F719" i="5" s="1"/>
  <c r="M718" i="5"/>
  <c r="L718" i="5"/>
  <c r="C718" i="5"/>
  <c r="D718" i="5" s="1"/>
  <c r="F718" i="5" s="1"/>
  <c r="M717" i="5"/>
  <c r="L717" i="5"/>
  <c r="C717" i="5"/>
  <c r="D717" i="5" s="1"/>
  <c r="F717" i="5" s="1"/>
  <c r="M716" i="5"/>
  <c r="L716" i="5"/>
  <c r="D716" i="5"/>
  <c r="F716" i="5" s="1"/>
  <c r="C716" i="5"/>
  <c r="M715" i="5"/>
  <c r="L715" i="5"/>
  <c r="C715" i="5"/>
  <c r="D715" i="5" s="1"/>
  <c r="F715" i="5" s="1"/>
  <c r="M714" i="5"/>
  <c r="L714" i="5"/>
  <c r="C714" i="5"/>
  <c r="D714" i="5" s="1"/>
  <c r="F714" i="5" s="1"/>
  <c r="M713" i="5"/>
  <c r="L713" i="5"/>
  <c r="C713" i="5"/>
  <c r="D713" i="5" s="1"/>
  <c r="F713" i="5" s="1"/>
  <c r="M712" i="5"/>
  <c r="L712" i="5"/>
  <c r="C712" i="5"/>
  <c r="D712" i="5" s="1"/>
  <c r="F712" i="5" s="1"/>
  <c r="M711" i="5"/>
  <c r="L711" i="5"/>
  <c r="C711" i="5"/>
  <c r="D711" i="5" s="1"/>
  <c r="F711" i="5" s="1"/>
  <c r="M710" i="5"/>
  <c r="L710" i="5"/>
  <c r="C710" i="5"/>
  <c r="D710" i="5" s="1"/>
  <c r="F710" i="5" s="1"/>
  <c r="M709" i="5"/>
  <c r="L709" i="5"/>
  <c r="C709" i="5"/>
  <c r="D709" i="5" s="1"/>
  <c r="F709" i="5" s="1"/>
  <c r="M708" i="5"/>
  <c r="L708" i="5"/>
  <c r="D708" i="5"/>
  <c r="F708" i="5" s="1"/>
  <c r="C708" i="5"/>
  <c r="M707" i="5"/>
  <c r="L707" i="5"/>
  <c r="C707" i="5"/>
  <c r="D707" i="5" s="1"/>
  <c r="F707" i="5" s="1"/>
  <c r="M706" i="5"/>
  <c r="L706" i="5"/>
  <c r="C706" i="5"/>
  <c r="D706" i="5" s="1"/>
  <c r="F706" i="5" s="1"/>
  <c r="M705" i="5"/>
  <c r="L705" i="5"/>
  <c r="C705" i="5"/>
  <c r="D705" i="5" s="1"/>
  <c r="F705" i="5" s="1"/>
  <c r="M704" i="5"/>
  <c r="L704" i="5"/>
  <c r="C704" i="5"/>
  <c r="D704" i="5" s="1"/>
  <c r="F704" i="5" s="1"/>
  <c r="M703" i="5"/>
  <c r="L703" i="5"/>
  <c r="C703" i="5"/>
  <c r="D703" i="5" s="1"/>
  <c r="F703" i="5" s="1"/>
  <c r="M702" i="5"/>
  <c r="L702" i="5"/>
  <c r="C702" i="5"/>
  <c r="D702" i="5" s="1"/>
  <c r="F702" i="5" s="1"/>
  <c r="M701" i="5"/>
  <c r="L701" i="5"/>
  <c r="C701" i="5"/>
  <c r="D701" i="5" s="1"/>
  <c r="F701" i="5" s="1"/>
  <c r="M700" i="5"/>
  <c r="L700" i="5"/>
  <c r="C700" i="5"/>
  <c r="D700" i="5" s="1"/>
  <c r="F700" i="5" s="1"/>
  <c r="M699" i="5"/>
  <c r="L699" i="5"/>
  <c r="C699" i="5"/>
  <c r="D699" i="5" s="1"/>
  <c r="F699" i="5" s="1"/>
  <c r="M698" i="5"/>
  <c r="L698" i="5"/>
  <c r="C698" i="5"/>
  <c r="D698" i="5" s="1"/>
  <c r="F698" i="5" s="1"/>
  <c r="M697" i="5"/>
  <c r="L697" i="5"/>
  <c r="C697" i="5"/>
  <c r="D697" i="5" s="1"/>
  <c r="F697" i="5" s="1"/>
  <c r="M696" i="5"/>
  <c r="L696" i="5"/>
  <c r="C696" i="5"/>
  <c r="D696" i="5" s="1"/>
  <c r="F696" i="5" s="1"/>
  <c r="M695" i="5"/>
  <c r="L695" i="5"/>
  <c r="C695" i="5"/>
  <c r="D695" i="5" s="1"/>
  <c r="F695" i="5" s="1"/>
  <c r="M694" i="5"/>
  <c r="L694" i="5"/>
  <c r="C694" i="5"/>
  <c r="D694" i="5" s="1"/>
  <c r="F694" i="5" s="1"/>
  <c r="M693" i="5"/>
  <c r="L693" i="5"/>
  <c r="C693" i="5"/>
  <c r="D693" i="5" s="1"/>
  <c r="F693" i="5" s="1"/>
  <c r="M692" i="5"/>
  <c r="L692" i="5"/>
  <c r="C692" i="5"/>
  <c r="D692" i="5" s="1"/>
  <c r="F692" i="5" s="1"/>
  <c r="M691" i="5"/>
  <c r="L691" i="5"/>
  <c r="C691" i="5"/>
  <c r="D691" i="5" s="1"/>
  <c r="F691" i="5" s="1"/>
  <c r="M690" i="5"/>
  <c r="L690" i="5"/>
  <c r="C690" i="5"/>
  <c r="D690" i="5" s="1"/>
  <c r="F690" i="5" s="1"/>
  <c r="M689" i="5"/>
  <c r="L689" i="5"/>
  <c r="C689" i="5"/>
  <c r="D689" i="5" s="1"/>
  <c r="F689" i="5" s="1"/>
  <c r="M688" i="5"/>
  <c r="L688" i="5"/>
  <c r="C688" i="5"/>
  <c r="D688" i="5" s="1"/>
  <c r="F688" i="5" s="1"/>
  <c r="M687" i="5"/>
  <c r="L687" i="5"/>
  <c r="C687" i="5"/>
  <c r="D687" i="5" s="1"/>
  <c r="F687" i="5" s="1"/>
  <c r="M686" i="5"/>
  <c r="L686" i="5"/>
  <c r="C686" i="5"/>
  <c r="D686" i="5" s="1"/>
  <c r="F686" i="5" s="1"/>
  <c r="M685" i="5"/>
  <c r="L685" i="5"/>
  <c r="C685" i="5"/>
  <c r="D685" i="5" s="1"/>
  <c r="F685" i="5" s="1"/>
  <c r="M684" i="5"/>
  <c r="L684" i="5"/>
  <c r="C684" i="5"/>
  <c r="D684" i="5" s="1"/>
  <c r="F684" i="5" s="1"/>
  <c r="M683" i="5"/>
  <c r="L683" i="5"/>
  <c r="C683" i="5"/>
  <c r="D683" i="5" s="1"/>
  <c r="F683" i="5" s="1"/>
  <c r="M682" i="5"/>
  <c r="L682" i="5"/>
  <c r="C682" i="5"/>
  <c r="D682" i="5" s="1"/>
  <c r="F682" i="5" s="1"/>
  <c r="M681" i="5"/>
  <c r="L681" i="5"/>
  <c r="C681" i="5"/>
  <c r="D681" i="5" s="1"/>
  <c r="F681" i="5" s="1"/>
  <c r="M680" i="5"/>
  <c r="L680" i="5"/>
  <c r="C680" i="5"/>
  <c r="D680" i="5" s="1"/>
  <c r="F680" i="5" s="1"/>
  <c r="M679" i="5"/>
  <c r="L679" i="5"/>
  <c r="C679" i="5"/>
  <c r="D679" i="5" s="1"/>
  <c r="F679" i="5" s="1"/>
  <c r="M678" i="5"/>
  <c r="L678" i="5"/>
  <c r="C678" i="5"/>
  <c r="D678" i="5" s="1"/>
  <c r="F678" i="5" s="1"/>
  <c r="M677" i="5"/>
  <c r="L677" i="5"/>
  <c r="C677" i="5"/>
  <c r="D677" i="5" s="1"/>
  <c r="F677" i="5" s="1"/>
  <c r="M676" i="5"/>
  <c r="L676" i="5"/>
  <c r="C676" i="5"/>
  <c r="D676" i="5" s="1"/>
  <c r="F676" i="5" s="1"/>
  <c r="M675" i="5"/>
  <c r="L675" i="5"/>
  <c r="C675" i="5"/>
  <c r="D675" i="5" s="1"/>
  <c r="F675" i="5" s="1"/>
  <c r="M674" i="5"/>
  <c r="L674" i="5"/>
  <c r="C674" i="5"/>
  <c r="D674" i="5" s="1"/>
  <c r="F674" i="5" s="1"/>
  <c r="M673" i="5"/>
  <c r="L673" i="5"/>
  <c r="C673" i="5"/>
  <c r="D673" i="5" s="1"/>
  <c r="F673" i="5" s="1"/>
  <c r="M672" i="5"/>
  <c r="L672" i="5"/>
  <c r="C672" i="5"/>
  <c r="D672" i="5" s="1"/>
  <c r="F672" i="5" s="1"/>
  <c r="M671" i="5"/>
  <c r="L671" i="5"/>
  <c r="C671" i="5"/>
  <c r="D671" i="5" s="1"/>
  <c r="F671" i="5" s="1"/>
  <c r="M670" i="5"/>
  <c r="L670" i="5"/>
  <c r="C670" i="5"/>
  <c r="D670" i="5" s="1"/>
  <c r="F670" i="5" s="1"/>
  <c r="M669" i="5"/>
  <c r="L669" i="5"/>
  <c r="C669" i="5"/>
  <c r="D669" i="5" s="1"/>
  <c r="F669" i="5" s="1"/>
  <c r="M668" i="5"/>
  <c r="L668" i="5"/>
  <c r="C668" i="5"/>
  <c r="D668" i="5" s="1"/>
  <c r="F668" i="5" s="1"/>
  <c r="M667" i="5"/>
  <c r="L667" i="5"/>
  <c r="C667" i="5"/>
  <c r="D667" i="5" s="1"/>
  <c r="F667" i="5" s="1"/>
  <c r="M666" i="5"/>
  <c r="L666" i="5"/>
  <c r="C666" i="5"/>
  <c r="D666" i="5" s="1"/>
  <c r="F666" i="5" s="1"/>
  <c r="M665" i="5"/>
  <c r="L665" i="5"/>
  <c r="C665" i="5"/>
  <c r="D665" i="5" s="1"/>
  <c r="F665" i="5" s="1"/>
  <c r="M664" i="5"/>
  <c r="L664" i="5"/>
  <c r="C664" i="5"/>
  <c r="D664" i="5" s="1"/>
  <c r="F664" i="5" s="1"/>
  <c r="M663" i="5"/>
  <c r="L663" i="5"/>
  <c r="C663" i="5"/>
  <c r="D663" i="5" s="1"/>
  <c r="F663" i="5" s="1"/>
  <c r="M662" i="5"/>
  <c r="L662" i="5"/>
  <c r="C662" i="5"/>
  <c r="D662" i="5" s="1"/>
  <c r="F662" i="5" s="1"/>
  <c r="M661" i="5"/>
  <c r="L661" i="5"/>
  <c r="C661" i="5"/>
  <c r="D661" i="5" s="1"/>
  <c r="F661" i="5" s="1"/>
  <c r="M660" i="5"/>
  <c r="L660" i="5"/>
  <c r="C660" i="5"/>
  <c r="D660" i="5" s="1"/>
  <c r="F660" i="5" s="1"/>
  <c r="M659" i="5"/>
  <c r="L659" i="5"/>
  <c r="C659" i="5"/>
  <c r="D659" i="5" s="1"/>
  <c r="F659" i="5" s="1"/>
  <c r="M658" i="5"/>
  <c r="L658" i="5"/>
  <c r="C658" i="5"/>
  <c r="D658" i="5" s="1"/>
  <c r="F658" i="5" s="1"/>
  <c r="M657" i="5"/>
  <c r="L657" i="5"/>
  <c r="C657" i="5"/>
  <c r="D657" i="5" s="1"/>
  <c r="F657" i="5" s="1"/>
  <c r="M656" i="5"/>
  <c r="L656" i="5"/>
  <c r="C656" i="5"/>
  <c r="D656" i="5" s="1"/>
  <c r="F656" i="5" s="1"/>
  <c r="M655" i="5"/>
  <c r="L655" i="5"/>
  <c r="C655" i="5"/>
  <c r="D655" i="5" s="1"/>
  <c r="F655" i="5" s="1"/>
  <c r="M654" i="5"/>
  <c r="L654" i="5"/>
  <c r="C654" i="5"/>
  <c r="D654" i="5" s="1"/>
  <c r="F654" i="5" s="1"/>
  <c r="M653" i="5"/>
  <c r="L653" i="5"/>
  <c r="C653" i="5"/>
  <c r="D653" i="5" s="1"/>
  <c r="F653" i="5" s="1"/>
  <c r="M652" i="5"/>
  <c r="L652" i="5"/>
  <c r="C652" i="5"/>
  <c r="D652" i="5" s="1"/>
  <c r="F652" i="5" s="1"/>
  <c r="M651" i="5"/>
  <c r="L651" i="5"/>
  <c r="C651" i="5"/>
  <c r="D651" i="5" s="1"/>
  <c r="F651" i="5" s="1"/>
  <c r="M650" i="5"/>
  <c r="L650" i="5"/>
  <c r="C650" i="5"/>
  <c r="D650" i="5" s="1"/>
  <c r="F650" i="5" s="1"/>
  <c r="M649" i="5"/>
  <c r="L649" i="5"/>
  <c r="C649" i="5"/>
  <c r="D649" i="5" s="1"/>
  <c r="F649" i="5" s="1"/>
  <c r="M648" i="5"/>
  <c r="L648" i="5"/>
  <c r="C648" i="5"/>
  <c r="D648" i="5" s="1"/>
  <c r="F648" i="5" s="1"/>
  <c r="M647" i="5"/>
  <c r="L647" i="5"/>
  <c r="C647" i="5"/>
  <c r="D647" i="5" s="1"/>
  <c r="F647" i="5" s="1"/>
  <c r="M646" i="5"/>
  <c r="L646" i="5"/>
  <c r="C646" i="5"/>
  <c r="D646" i="5" s="1"/>
  <c r="F646" i="5" s="1"/>
  <c r="M645" i="5"/>
  <c r="L645" i="5"/>
  <c r="C645" i="5"/>
  <c r="D645" i="5" s="1"/>
  <c r="F645" i="5" s="1"/>
  <c r="M644" i="5"/>
  <c r="L644" i="5"/>
  <c r="C644" i="5"/>
  <c r="D644" i="5" s="1"/>
  <c r="F644" i="5" s="1"/>
  <c r="M643" i="5"/>
  <c r="L643" i="5"/>
  <c r="C643" i="5"/>
  <c r="D643" i="5" s="1"/>
  <c r="F643" i="5" s="1"/>
  <c r="M642" i="5"/>
  <c r="L642" i="5"/>
  <c r="C642" i="5"/>
  <c r="D642" i="5" s="1"/>
  <c r="F642" i="5" s="1"/>
  <c r="M641" i="5"/>
  <c r="L641" i="5"/>
  <c r="C641" i="5"/>
  <c r="D641" i="5" s="1"/>
  <c r="F641" i="5" s="1"/>
  <c r="M640" i="5"/>
  <c r="L640" i="5"/>
  <c r="C640" i="5"/>
  <c r="D640" i="5" s="1"/>
  <c r="F640" i="5" s="1"/>
  <c r="M639" i="5"/>
  <c r="L639" i="5"/>
  <c r="C639" i="5"/>
  <c r="D639" i="5" s="1"/>
  <c r="F639" i="5" s="1"/>
  <c r="M638" i="5"/>
  <c r="L638" i="5"/>
  <c r="C638" i="5"/>
  <c r="D638" i="5" s="1"/>
  <c r="F638" i="5" s="1"/>
  <c r="M637" i="5"/>
  <c r="L637" i="5"/>
  <c r="C637" i="5"/>
  <c r="D637" i="5" s="1"/>
  <c r="F637" i="5" s="1"/>
  <c r="M636" i="5"/>
  <c r="L636" i="5"/>
  <c r="C636" i="5"/>
  <c r="D636" i="5" s="1"/>
  <c r="F636" i="5" s="1"/>
  <c r="M635" i="5"/>
  <c r="L635" i="5"/>
  <c r="C635" i="5"/>
  <c r="D635" i="5" s="1"/>
  <c r="F635" i="5" s="1"/>
  <c r="M634" i="5"/>
  <c r="L634" i="5"/>
  <c r="C634" i="5"/>
  <c r="D634" i="5" s="1"/>
  <c r="F634" i="5" s="1"/>
  <c r="M633" i="5"/>
  <c r="L633" i="5"/>
  <c r="C633" i="5"/>
  <c r="D633" i="5" s="1"/>
  <c r="F633" i="5" s="1"/>
  <c r="M632" i="5"/>
  <c r="L632" i="5"/>
  <c r="C632" i="5"/>
  <c r="D632" i="5" s="1"/>
  <c r="F632" i="5" s="1"/>
  <c r="M631" i="5"/>
  <c r="L631" i="5"/>
  <c r="C631" i="5"/>
  <c r="D631" i="5" s="1"/>
  <c r="F631" i="5" s="1"/>
  <c r="M630" i="5"/>
  <c r="L630" i="5"/>
  <c r="C630" i="5"/>
  <c r="D630" i="5" s="1"/>
  <c r="F630" i="5" s="1"/>
  <c r="M629" i="5"/>
  <c r="L629" i="5"/>
  <c r="C629" i="5"/>
  <c r="D629" i="5" s="1"/>
  <c r="F629" i="5" s="1"/>
  <c r="M628" i="5"/>
  <c r="L628" i="5"/>
  <c r="C628" i="5"/>
  <c r="D628" i="5" s="1"/>
  <c r="F628" i="5" s="1"/>
  <c r="M627" i="5"/>
  <c r="L627" i="5"/>
  <c r="C627" i="5"/>
  <c r="D627" i="5" s="1"/>
  <c r="F627" i="5" s="1"/>
  <c r="M626" i="5"/>
  <c r="L626" i="5"/>
  <c r="C626" i="5"/>
  <c r="D626" i="5" s="1"/>
  <c r="F626" i="5" s="1"/>
  <c r="M625" i="5"/>
  <c r="L625" i="5"/>
  <c r="C625" i="5"/>
  <c r="D625" i="5" s="1"/>
  <c r="F625" i="5" s="1"/>
  <c r="M624" i="5"/>
  <c r="L624" i="5"/>
  <c r="C624" i="5"/>
  <c r="D624" i="5" s="1"/>
  <c r="F624" i="5" s="1"/>
  <c r="M623" i="5"/>
  <c r="L623" i="5"/>
  <c r="C623" i="5"/>
  <c r="D623" i="5" s="1"/>
  <c r="F623" i="5" s="1"/>
  <c r="M622" i="5"/>
  <c r="L622" i="5"/>
  <c r="C622" i="5"/>
  <c r="D622" i="5" s="1"/>
  <c r="F622" i="5" s="1"/>
  <c r="M621" i="5"/>
  <c r="L621" i="5"/>
  <c r="C621" i="5"/>
  <c r="D621" i="5" s="1"/>
  <c r="F621" i="5" s="1"/>
  <c r="M620" i="5"/>
  <c r="L620" i="5"/>
  <c r="C620" i="5"/>
  <c r="D620" i="5" s="1"/>
  <c r="F620" i="5" s="1"/>
  <c r="M619" i="5"/>
  <c r="L619" i="5"/>
  <c r="C619" i="5"/>
  <c r="D619" i="5" s="1"/>
  <c r="F619" i="5" s="1"/>
  <c r="M618" i="5"/>
  <c r="L618" i="5"/>
  <c r="C618" i="5"/>
  <c r="D618" i="5" s="1"/>
  <c r="F618" i="5" s="1"/>
  <c r="M617" i="5"/>
  <c r="L617" i="5"/>
  <c r="C617" i="5"/>
  <c r="D617" i="5" s="1"/>
  <c r="F617" i="5" s="1"/>
  <c r="M616" i="5"/>
  <c r="L616" i="5"/>
  <c r="C616" i="5"/>
  <c r="D616" i="5" s="1"/>
  <c r="F616" i="5" s="1"/>
  <c r="M615" i="5"/>
  <c r="L615" i="5"/>
  <c r="C615" i="5"/>
  <c r="D615" i="5" s="1"/>
  <c r="F615" i="5" s="1"/>
  <c r="M614" i="5"/>
  <c r="L614" i="5"/>
  <c r="C614" i="5"/>
  <c r="D614" i="5" s="1"/>
  <c r="F614" i="5" s="1"/>
  <c r="M613" i="5"/>
  <c r="L613" i="5"/>
  <c r="C613" i="5"/>
  <c r="D613" i="5" s="1"/>
  <c r="F613" i="5" s="1"/>
  <c r="M612" i="5"/>
  <c r="L612" i="5"/>
  <c r="C612" i="5"/>
  <c r="D612" i="5" s="1"/>
  <c r="F612" i="5" s="1"/>
  <c r="M611" i="5"/>
  <c r="L611" i="5"/>
  <c r="C611" i="5"/>
  <c r="D611" i="5" s="1"/>
  <c r="F611" i="5" s="1"/>
  <c r="M610" i="5"/>
  <c r="L610" i="5"/>
  <c r="C610" i="5"/>
  <c r="D610" i="5" s="1"/>
  <c r="F610" i="5" s="1"/>
  <c r="M609" i="5"/>
  <c r="L609" i="5"/>
  <c r="C609" i="5"/>
  <c r="D609" i="5" s="1"/>
  <c r="F609" i="5" s="1"/>
  <c r="M608" i="5"/>
  <c r="L608" i="5"/>
  <c r="C608" i="5"/>
  <c r="D608" i="5" s="1"/>
  <c r="F608" i="5" s="1"/>
  <c r="M607" i="5"/>
  <c r="L607" i="5"/>
  <c r="C607" i="5"/>
  <c r="D607" i="5" s="1"/>
  <c r="F607" i="5" s="1"/>
  <c r="M606" i="5"/>
  <c r="L606" i="5"/>
  <c r="C606" i="5"/>
  <c r="D606" i="5" s="1"/>
  <c r="F606" i="5" s="1"/>
  <c r="M605" i="5"/>
  <c r="L605" i="5"/>
  <c r="C605" i="5"/>
  <c r="D605" i="5" s="1"/>
  <c r="F605" i="5" s="1"/>
  <c r="M604" i="5"/>
  <c r="L604" i="5"/>
  <c r="C604" i="5"/>
  <c r="D604" i="5" s="1"/>
  <c r="F604" i="5" s="1"/>
  <c r="M603" i="5"/>
  <c r="L603" i="5"/>
  <c r="C603" i="5"/>
  <c r="D603" i="5" s="1"/>
  <c r="F603" i="5" s="1"/>
  <c r="M602" i="5"/>
  <c r="L602" i="5"/>
  <c r="C602" i="5"/>
  <c r="D602" i="5" s="1"/>
  <c r="F602" i="5" s="1"/>
  <c r="M601" i="5"/>
  <c r="L601" i="5"/>
  <c r="C601" i="5"/>
  <c r="D601" i="5" s="1"/>
  <c r="F601" i="5" s="1"/>
  <c r="M600" i="5"/>
  <c r="L600" i="5"/>
  <c r="C600" i="5"/>
  <c r="D600" i="5" s="1"/>
  <c r="F600" i="5" s="1"/>
  <c r="M599" i="5"/>
  <c r="L599" i="5"/>
  <c r="C599" i="5"/>
  <c r="D599" i="5" s="1"/>
  <c r="F599" i="5" s="1"/>
  <c r="M598" i="5"/>
  <c r="L598" i="5"/>
  <c r="C598" i="5"/>
  <c r="D598" i="5" s="1"/>
  <c r="F598" i="5" s="1"/>
  <c r="M597" i="5"/>
  <c r="L597" i="5"/>
  <c r="C597" i="5"/>
  <c r="D597" i="5" s="1"/>
  <c r="F597" i="5" s="1"/>
  <c r="M596" i="5"/>
  <c r="L596" i="5"/>
  <c r="C596" i="5"/>
  <c r="D596" i="5" s="1"/>
  <c r="F596" i="5" s="1"/>
  <c r="M595" i="5"/>
  <c r="L595" i="5"/>
  <c r="C595" i="5"/>
  <c r="D595" i="5" s="1"/>
  <c r="F595" i="5" s="1"/>
  <c r="M594" i="5"/>
  <c r="L594" i="5"/>
  <c r="C594" i="5"/>
  <c r="D594" i="5" s="1"/>
  <c r="F594" i="5" s="1"/>
  <c r="M593" i="5"/>
  <c r="L593" i="5"/>
  <c r="C593" i="5"/>
  <c r="D593" i="5" s="1"/>
  <c r="F593" i="5" s="1"/>
  <c r="M592" i="5"/>
  <c r="L592" i="5"/>
  <c r="C592" i="5"/>
  <c r="D592" i="5" s="1"/>
  <c r="F592" i="5" s="1"/>
  <c r="M591" i="5"/>
  <c r="L591" i="5"/>
  <c r="C591" i="5"/>
  <c r="D591" i="5" s="1"/>
  <c r="F591" i="5" s="1"/>
  <c r="M590" i="5"/>
  <c r="L590" i="5"/>
  <c r="C590" i="5"/>
  <c r="D590" i="5" s="1"/>
  <c r="F590" i="5" s="1"/>
  <c r="M589" i="5"/>
  <c r="L589" i="5"/>
  <c r="C589" i="5"/>
  <c r="D589" i="5" s="1"/>
  <c r="F589" i="5" s="1"/>
  <c r="M588" i="5"/>
  <c r="L588" i="5"/>
  <c r="C588" i="5"/>
  <c r="D588" i="5" s="1"/>
  <c r="F588" i="5" s="1"/>
  <c r="M587" i="5"/>
  <c r="L587" i="5"/>
  <c r="C587" i="5"/>
  <c r="D587" i="5" s="1"/>
  <c r="F587" i="5" s="1"/>
  <c r="M586" i="5"/>
  <c r="L586" i="5"/>
  <c r="C586" i="5"/>
  <c r="D586" i="5" s="1"/>
  <c r="F586" i="5" s="1"/>
  <c r="M585" i="5"/>
  <c r="L585" i="5"/>
  <c r="C585" i="5"/>
  <c r="D585" i="5" s="1"/>
  <c r="F585" i="5" s="1"/>
  <c r="M584" i="5"/>
  <c r="L584" i="5"/>
  <c r="C584" i="5"/>
  <c r="D584" i="5" s="1"/>
  <c r="F584" i="5" s="1"/>
  <c r="M583" i="5"/>
  <c r="L583" i="5"/>
  <c r="C583" i="5"/>
  <c r="D583" i="5" s="1"/>
  <c r="F583" i="5" s="1"/>
  <c r="M582" i="5"/>
  <c r="L582" i="5"/>
  <c r="C582" i="5"/>
  <c r="D582" i="5" s="1"/>
  <c r="F582" i="5" s="1"/>
  <c r="M581" i="5"/>
  <c r="L581" i="5"/>
  <c r="C581" i="5"/>
  <c r="D581" i="5" s="1"/>
  <c r="F581" i="5" s="1"/>
  <c r="M580" i="5"/>
  <c r="L580" i="5"/>
  <c r="C580" i="5"/>
  <c r="D580" i="5" s="1"/>
  <c r="F580" i="5" s="1"/>
  <c r="M579" i="5"/>
  <c r="L579" i="5"/>
  <c r="C579" i="5"/>
  <c r="D579" i="5" s="1"/>
  <c r="F579" i="5" s="1"/>
  <c r="M578" i="5"/>
  <c r="L578" i="5"/>
  <c r="C578" i="5"/>
  <c r="D578" i="5" s="1"/>
  <c r="F578" i="5" s="1"/>
  <c r="M577" i="5"/>
  <c r="L577" i="5"/>
  <c r="C577" i="5"/>
  <c r="D577" i="5" s="1"/>
  <c r="F577" i="5" s="1"/>
  <c r="M576" i="5"/>
  <c r="L576" i="5"/>
  <c r="C576" i="5"/>
  <c r="D576" i="5" s="1"/>
  <c r="F576" i="5" s="1"/>
  <c r="M575" i="5"/>
  <c r="L575" i="5"/>
  <c r="C575" i="5"/>
  <c r="D575" i="5" s="1"/>
  <c r="F575" i="5" s="1"/>
  <c r="M574" i="5"/>
  <c r="L574" i="5"/>
  <c r="C574" i="5"/>
  <c r="D574" i="5" s="1"/>
  <c r="F574" i="5" s="1"/>
  <c r="M573" i="5"/>
  <c r="L573" i="5"/>
  <c r="C573" i="5"/>
  <c r="D573" i="5" s="1"/>
  <c r="F573" i="5" s="1"/>
  <c r="M572" i="5"/>
  <c r="L572" i="5"/>
  <c r="C572" i="5"/>
  <c r="D572" i="5" s="1"/>
  <c r="F572" i="5" s="1"/>
  <c r="M571" i="5"/>
  <c r="L571" i="5"/>
  <c r="C571" i="5"/>
  <c r="D571" i="5" s="1"/>
  <c r="F571" i="5" s="1"/>
  <c r="M570" i="5"/>
  <c r="L570" i="5"/>
  <c r="C570" i="5"/>
  <c r="D570" i="5" s="1"/>
  <c r="F570" i="5" s="1"/>
  <c r="M569" i="5"/>
  <c r="L569" i="5"/>
  <c r="C569" i="5"/>
  <c r="D569" i="5" s="1"/>
  <c r="F569" i="5" s="1"/>
  <c r="M568" i="5"/>
  <c r="L568" i="5"/>
  <c r="C568" i="5"/>
  <c r="D568" i="5" s="1"/>
  <c r="F568" i="5" s="1"/>
  <c r="M567" i="5"/>
  <c r="L567" i="5"/>
  <c r="C567" i="5"/>
  <c r="D567" i="5" s="1"/>
  <c r="F567" i="5" s="1"/>
  <c r="M566" i="5"/>
  <c r="L566" i="5"/>
  <c r="C566" i="5"/>
  <c r="D566" i="5" s="1"/>
  <c r="F566" i="5" s="1"/>
  <c r="M565" i="5"/>
  <c r="L565" i="5"/>
  <c r="C565" i="5"/>
  <c r="D565" i="5" s="1"/>
  <c r="F565" i="5" s="1"/>
  <c r="M564" i="5"/>
  <c r="L564" i="5"/>
  <c r="C564" i="5"/>
  <c r="D564" i="5" s="1"/>
  <c r="F564" i="5" s="1"/>
  <c r="M563" i="5"/>
  <c r="L563" i="5"/>
  <c r="C563" i="5"/>
  <c r="D563" i="5" s="1"/>
  <c r="F563" i="5" s="1"/>
  <c r="M562" i="5"/>
  <c r="L562" i="5"/>
  <c r="C562" i="5"/>
  <c r="D562" i="5" s="1"/>
  <c r="F562" i="5" s="1"/>
  <c r="M561" i="5"/>
  <c r="L561" i="5"/>
  <c r="C561" i="5"/>
  <c r="D561" i="5" s="1"/>
  <c r="F561" i="5" s="1"/>
  <c r="M560" i="5"/>
  <c r="L560" i="5"/>
  <c r="C560" i="5"/>
  <c r="D560" i="5" s="1"/>
  <c r="F560" i="5" s="1"/>
  <c r="M559" i="5"/>
  <c r="L559" i="5"/>
  <c r="C559" i="5"/>
  <c r="D559" i="5" s="1"/>
  <c r="F559" i="5" s="1"/>
  <c r="M558" i="5"/>
  <c r="L558" i="5"/>
  <c r="C558" i="5"/>
  <c r="D558" i="5" s="1"/>
  <c r="F558" i="5" s="1"/>
  <c r="M557" i="5"/>
  <c r="L557" i="5"/>
  <c r="C557" i="5"/>
  <c r="D557" i="5" s="1"/>
  <c r="F557" i="5" s="1"/>
  <c r="M556" i="5"/>
  <c r="L556" i="5"/>
  <c r="C556" i="5"/>
  <c r="D556" i="5" s="1"/>
  <c r="F556" i="5" s="1"/>
  <c r="M555" i="5"/>
  <c r="L555" i="5"/>
  <c r="C555" i="5"/>
  <c r="D555" i="5" s="1"/>
  <c r="F555" i="5" s="1"/>
  <c r="M554" i="5"/>
  <c r="L554" i="5"/>
  <c r="C554" i="5"/>
  <c r="D554" i="5" s="1"/>
  <c r="F554" i="5" s="1"/>
  <c r="M553" i="5"/>
  <c r="L553" i="5"/>
  <c r="C553" i="5"/>
  <c r="D553" i="5" s="1"/>
  <c r="F553" i="5" s="1"/>
  <c r="M552" i="5"/>
  <c r="L552" i="5"/>
  <c r="C552" i="5"/>
  <c r="D552" i="5" s="1"/>
  <c r="F552" i="5" s="1"/>
  <c r="M551" i="5"/>
  <c r="L551" i="5"/>
  <c r="C551" i="5"/>
  <c r="D551" i="5" s="1"/>
  <c r="F551" i="5" s="1"/>
  <c r="M550" i="5"/>
  <c r="L550" i="5"/>
  <c r="C550" i="5"/>
  <c r="D550" i="5" s="1"/>
  <c r="F550" i="5" s="1"/>
  <c r="M549" i="5"/>
  <c r="L549" i="5"/>
  <c r="C549" i="5"/>
  <c r="D549" i="5" s="1"/>
  <c r="F549" i="5" s="1"/>
  <c r="M548" i="5"/>
  <c r="L548" i="5"/>
  <c r="C548" i="5"/>
  <c r="D548" i="5" s="1"/>
  <c r="F548" i="5" s="1"/>
  <c r="M547" i="5"/>
  <c r="L547" i="5"/>
  <c r="C547" i="5"/>
  <c r="D547" i="5" s="1"/>
  <c r="F547" i="5" s="1"/>
  <c r="M546" i="5"/>
  <c r="L546" i="5"/>
  <c r="C546" i="5"/>
  <c r="D546" i="5" s="1"/>
  <c r="F546" i="5" s="1"/>
  <c r="M545" i="5"/>
  <c r="L545" i="5"/>
  <c r="C545" i="5"/>
  <c r="D545" i="5" s="1"/>
  <c r="F545" i="5" s="1"/>
  <c r="M544" i="5"/>
  <c r="L544" i="5"/>
  <c r="C544" i="5"/>
  <c r="D544" i="5" s="1"/>
  <c r="F544" i="5" s="1"/>
  <c r="M543" i="5"/>
  <c r="L543" i="5"/>
  <c r="C543" i="5"/>
  <c r="D543" i="5" s="1"/>
  <c r="F543" i="5" s="1"/>
  <c r="M542" i="5"/>
  <c r="L542" i="5"/>
  <c r="C542" i="5"/>
  <c r="D542" i="5" s="1"/>
  <c r="F542" i="5" s="1"/>
  <c r="M541" i="5"/>
  <c r="L541" i="5"/>
  <c r="C541" i="5"/>
  <c r="D541" i="5" s="1"/>
  <c r="F541" i="5" s="1"/>
  <c r="M540" i="5"/>
  <c r="L540" i="5"/>
  <c r="C540" i="5"/>
  <c r="D540" i="5" s="1"/>
  <c r="F540" i="5" s="1"/>
  <c r="M539" i="5"/>
  <c r="L539" i="5"/>
  <c r="C539" i="5"/>
  <c r="D539" i="5" s="1"/>
  <c r="F539" i="5" s="1"/>
  <c r="M538" i="5"/>
  <c r="L538" i="5"/>
  <c r="C538" i="5"/>
  <c r="D538" i="5" s="1"/>
  <c r="F538" i="5" s="1"/>
  <c r="M537" i="5"/>
  <c r="L537" i="5"/>
  <c r="C537" i="5"/>
  <c r="D537" i="5" s="1"/>
  <c r="F537" i="5" s="1"/>
  <c r="M536" i="5"/>
  <c r="L536" i="5"/>
  <c r="C536" i="5"/>
  <c r="D536" i="5" s="1"/>
  <c r="F536" i="5" s="1"/>
  <c r="M535" i="5"/>
  <c r="L535" i="5"/>
  <c r="C535" i="5"/>
  <c r="D535" i="5" s="1"/>
  <c r="F535" i="5" s="1"/>
  <c r="M534" i="5"/>
  <c r="L534" i="5"/>
  <c r="C534" i="5"/>
  <c r="D534" i="5" s="1"/>
  <c r="F534" i="5" s="1"/>
  <c r="M533" i="5"/>
  <c r="L533" i="5"/>
  <c r="C533" i="5"/>
  <c r="D533" i="5" s="1"/>
  <c r="F533" i="5" s="1"/>
  <c r="M532" i="5"/>
  <c r="L532" i="5"/>
  <c r="C532" i="5"/>
  <c r="D532" i="5" s="1"/>
  <c r="F532" i="5" s="1"/>
  <c r="M531" i="5"/>
  <c r="L531" i="5"/>
  <c r="C531" i="5"/>
  <c r="D531" i="5" s="1"/>
  <c r="F531" i="5" s="1"/>
  <c r="M530" i="5"/>
  <c r="L530" i="5"/>
  <c r="C530" i="5"/>
  <c r="D530" i="5" s="1"/>
  <c r="F530" i="5" s="1"/>
  <c r="M529" i="5"/>
  <c r="L529" i="5"/>
  <c r="C529" i="5"/>
  <c r="D529" i="5" s="1"/>
  <c r="F529" i="5" s="1"/>
  <c r="M528" i="5"/>
  <c r="L528" i="5"/>
  <c r="C528" i="5"/>
  <c r="D528" i="5" s="1"/>
  <c r="F528" i="5" s="1"/>
  <c r="M527" i="5"/>
  <c r="L527" i="5"/>
  <c r="C527" i="5"/>
  <c r="D527" i="5" s="1"/>
  <c r="F527" i="5" s="1"/>
  <c r="M526" i="5"/>
  <c r="L526" i="5"/>
  <c r="C526" i="5"/>
  <c r="D526" i="5" s="1"/>
  <c r="F526" i="5" s="1"/>
  <c r="M525" i="5"/>
  <c r="L525" i="5"/>
  <c r="C525" i="5"/>
  <c r="D525" i="5" s="1"/>
  <c r="F525" i="5" s="1"/>
  <c r="M524" i="5"/>
  <c r="L524" i="5"/>
  <c r="C524" i="5"/>
  <c r="D524" i="5" s="1"/>
  <c r="F524" i="5" s="1"/>
  <c r="M523" i="5"/>
  <c r="L523" i="5"/>
  <c r="C523" i="5"/>
  <c r="D523" i="5" s="1"/>
  <c r="F523" i="5" s="1"/>
  <c r="M522" i="5"/>
  <c r="L522" i="5"/>
  <c r="C522" i="5"/>
  <c r="D522" i="5" s="1"/>
  <c r="F522" i="5" s="1"/>
  <c r="M521" i="5"/>
  <c r="L521" i="5"/>
  <c r="C521" i="5"/>
  <c r="D521" i="5" s="1"/>
  <c r="F521" i="5" s="1"/>
  <c r="M520" i="5"/>
  <c r="L520" i="5"/>
  <c r="C520" i="5"/>
  <c r="D520" i="5" s="1"/>
  <c r="F520" i="5" s="1"/>
  <c r="M519" i="5"/>
  <c r="L519" i="5"/>
  <c r="C519" i="5"/>
  <c r="D519" i="5" s="1"/>
  <c r="F519" i="5" s="1"/>
  <c r="M518" i="5"/>
  <c r="L518" i="5"/>
  <c r="C518" i="5"/>
  <c r="D518" i="5" s="1"/>
  <c r="F518" i="5" s="1"/>
  <c r="M517" i="5"/>
  <c r="L517" i="5"/>
  <c r="C517" i="5"/>
  <c r="D517" i="5" s="1"/>
  <c r="F517" i="5" s="1"/>
  <c r="M516" i="5"/>
  <c r="L516" i="5"/>
  <c r="C516" i="5"/>
  <c r="D516" i="5" s="1"/>
  <c r="F516" i="5" s="1"/>
  <c r="M515" i="5"/>
  <c r="L515" i="5"/>
  <c r="C515" i="5"/>
  <c r="D515" i="5" s="1"/>
  <c r="F515" i="5" s="1"/>
  <c r="M514" i="5"/>
  <c r="L514" i="5"/>
  <c r="C514" i="5"/>
  <c r="D514" i="5" s="1"/>
  <c r="F514" i="5" s="1"/>
  <c r="M513" i="5"/>
  <c r="L513" i="5"/>
  <c r="C513" i="5"/>
  <c r="D513" i="5" s="1"/>
  <c r="F513" i="5" s="1"/>
  <c r="M512" i="5"/>
  <c r="L512" i="5"/>
  <c r="C512" i="5"/>
  <c r="D512" i="5" s="1"/>
  <c r="F512" i="5" s="1"/>
  <c r="M511" i="5"/>
  <c r="L511" i="5"/>
  <c r="C511" i="5"/>
  <c r="D511" i="5" s="1"/>
  <c r="F511" i="5" s="1"/>
  <c r="M510" i="5"/>
  <c r="L510" i="5"/>
  <c r="C510" i="5"/>
  <c r="D510" i="5" s="1"/>
  <c r="F510" i="5" s="1"/>
  <c r="M509" i="5"/>
  <c r="L509" i="5"/>
  <c r="C509" i="5"/>
  <c r="D509" i="5" s="1"/>
  <c r="F509" i="5" s="1"/>
  <c r="M508" i="5"/>
  <c r="L508" i="5"/>
  <c r="C508" i="5"/>
  <c r="D508" i="5" s="1"/>
  <c r="F508" i="5" s="1"/>
  <c r="M507" i="5"/>
  <c r="L507" i="5"/>
  <c r="C507" i="5"/>
  <c r="D507" i="5" s="1"/>
  <c r="F507" i="5" s="1"/>
  <c r="M506" i="5"/>
  <c r="L506" i="5"/>
  <c r="C506" i="5"/>
  <c r="D506" i="5" s="1"/>
  <c r="F506" i="5" s="1"/>
  <c r="M505" i="5"/>
  <c r="L505" i="5"/>
  <c r="C505" i="5"/>
  <c r="D505" i="5" s="1"/>
  <c r="F505" i="5" s="1"/>
  <c r="M504" i="5"/>
  <c r="L504" i="5"/>
  <c r="C504" i="5"/>
  <c r="D504" i="5" s="1"/>
  <c r="F504" i="5" s="1"/>
  <c r="M503" i="5"/>
  <c r="L503" i="5"/>
  <c r="C503" i="5"/>
  <c r="D503" i="5" s="1"/>
  <c r="F503" i="5" s="1"/>
  <c r="M502" i="5"/>
  <c r="L502" i="5"/>
  <c r="C502" i="5"/>
  <c r="D502" i="5" s="1"/>
  <c r="F502" i="5" s="1"/>
  <c r="M501" i="5"/>
  <c r="L501" i="5"/>
  <c r="C501" i="5"/>
  <c r="D501" i="5" s="1"/>
  <c r="F501" i="5" s="1"/>
  <c r="M500" i="5"/>
  <c r="L500" i="5"/>
  <c r="C500" i="5"/>
  <c r="D500" i="5" s="1"/>
  <c r="F500" i="5" s="1"/>
  <c r="M499" i="5"/>
  <c r="L499" i="5"/>
  <c r="C499" i="5"/>
  <c r="D499" i="5" s="1"/>
  <c r="F499" i="5" s="1"/>
  <c r="M498" i="5"/>
  <c r="L498" i="5"/>
  <c r="C498" i="5"/>
  <c r="D498" i="5" s="1"/>
  <c r="F498" i="5" s="1"/>
  <c r="M497" i="5"/>
  <c r="L497" i="5"/>
  <c r="C497" i="5"/>
  <c r="D497" i="5" s="1"/>
  <c r="F497" i="5" s="1"/>
  <c r="M496" i="5"/>
  <c r="L496" i="5"/>
  <c r="C496" i="5"/>
  <c r="D496" i="5" s="1"/>
  <c r="F496" i="5" s="1"/>
  <c r="M495" i="5"/>
  <c r="L495" i="5"/>
  <c r="C495" i="5"/>
  <c r="D495" i="5" s="1"/>
  <c r="F495" i="5" s="1"/>
  <c r="M494" i="5"/>
  <c r="L494" i="5"/>
  <c r="C494" i="5"/>
  <c r="D494" i="5" s="1"/>
  <c r="F494" i="5" s="1"/>
  <c r="M493" i="5"/>
  <c r="L493" i="5"/>
  <c r="C493" i="5"/>
  <c r="D493" i="5" s="1"/>
  <c r="F493" i="5" s="1"/>
  <c r="M492" i="5"/>
  <c r="L492" i="5"/>
  <c r="C492" i="5"/>
  <c r="D492" i="5" s="1"/>
  <c r="F492" i="5" s="1"/>
  <c r="M491" i="5"/>
  <c r="L491" i="5"/>
  <c r="C491" i="5"/>
  <c r="D491" i="5" s="1"/>
  <c r="F491" i="5" s="1"/>
  <c r="M490" i="5"/>
  <c r="L490" i="5"/>
  <c r="C490" i="5"/>
  <c r="D490" i="5" s="1"/>
  <c r="F490" i="5" s="1"/>
  <c r="M489" i="5"/>
  <c r="L489" i="5"/>
  <c r="C489" i="5"/>
  <c r="D489" i="5" s="1"/>
  <c r="F489" i="5" s="1"/>
  <c r="M488" i="5"/>
  <c r="L488" i="5"/>
  <c r="C488" i="5"/>
  <c r="D488" i="5" s="1"/>
  <c r="F488" i="5" s="1"/>
  <c r="M487" i="5"/>
  <c r="L487" i="5"/>
  <c r="C487" i="5"/>
  <c r="D487" i="5" s="1"/>
  <c r="F487" i="5" s="1"/>
  <c r="M486" i="5"/>
  <c r="L486" i="5"/>
  <c r="C486" i="5"/>
  <c r="D486" i="5" s="1"/>
  <c r="F486" i="5" s="1"/>
  <c r="M485" i="5"/>
  <c r="L485" i="5"/>
  <c r="C485" i="5"/>
  <c r="D485" i="5" s="1"/>
  <c r="F485" i="5" s="1"/>
  <c r="M484" i="5"/>
  <c r="L484" i="5"/>
  <c r="C484" i="5"/>
  <c r="D484" i="5" s="1"/>
  <c r="F484" i="5" s="1"/>
  <c r="M483" i="5"/>
  <c r="L483" i="5"/>
  <c r="C483" i="5"/>
  <c r="D483" i="5" s="1"/>
  <c r="F483" i="5" s="1"/>
  <c r="M482" i="5"/>
  <c r="L482" i="5"/>
  <c r="C482" i="5"/>
  <c r="D482" i="5" s="1"/>
  <c r="F482" i="5" s="1"/>
  <c r="M481" i="5"/>
  <c r="L481" i="5"/>
  <c r="C481" i="5"/>
  <c r="D481" i="5" s="1"/>
  <c r="F481" i="5" s="1"/>
  <c r="M480" i="5"/>
  <c r="L480" i="5"/>
  <c r="C480" i="5"/>
  <c r="D480" i="5" s="1"/>
  <c r="F480" i="5" s="1"/>
  <c r="M479" i="5"/>
  <c r="L479" i="5"/>
  <c r="C479" i="5"/>
  <c r="D479" i="5" s="1"/>
  <c r="F479" i="5" s="1"/>
  <c r="M478" i="5"/>
  <c r="L478" i="5"/>
  <c r="C478" i="5"/>
  <c r="D478" i="5" s="1"/>
  <c r="F478" i="5" s="1"/>
  <c r="M477" i="5"/>
  <c r="L477" i="5"/>
  <c r="C477" i="5"/>
  <c r="D477" i="5" s="1"/>
  <c r="F477" i="5" s="1"/>
  <c r="M476" i="5"/>
  <c r="L476" i="5"/>
  <c r="C476" i="5"/>
  <c r="D476" i="5" s="1"/>
  <c r="F476" i="5" s="1"/>
  <c r="M475" i="5"/>
  <c r="L475" i="5"/>
  <c r="C475" i="5"/>
  <c r="D475" i="5" s="1"/>
  <c r="F475" i="5" s="1"/>
  <c r="M474" i="5"/>
  <c r="L474" i="5"/>
  <c r="C474" i="5"/>
  <c r="D474" i="5" s="1"/>
  <c r="F474" i="5" s="1"/>
  <c r="M473" i="5"/>
  <c r="L473" i="5"/>
  <c r="C473" i="5"/>
  <c r="D473" i="5" s="1"/>
  <c r="F473" i="5" s="1"/>
  <c r="M472" i="5"/>
  <c r="L472" i="5"/>
  <c r="C472" i="5"/>
  <c r="D472" i="5" s="1"/>
  <c r="F472" i="5" s="1"/>
  <c r="M471" i="5"/>
  <c r="L471" i="5"/>
  <c r="C471" i="5"/>
  <c r="D471" i="5" s="1"/>
  <c r="F471" i="5" s="1"/>
  <c r="M470" i="5"/>
  <c r="L470" i="5"/>
  <c r="C470" i="5"/>
  <c r="D470" i="5" s="1"/>
  <c r="F470" i="5" s="1"/>
  <c r="M469" i="5"/>
  <c r="L469" i="5"/>
  <c r="C469" i="5"/>
  <c r="D469" i="5" s="1"/>
  <c r="F469" i="5" s="1"/>
  <c r="M468" i="5"/>
  <c r="L468" i="5"/>
  <c r="C468" i="5"/>
  <c r="D468" i="5" s="1"/>
  <c r="F468" i="5" s="1"/>
  <c r="M467" i="5"/>
  <c r="L467" i="5"/>
  <c r="C467" i="5"/>
  <c r="D467" i="5" s="1"/>
  <c r="F467" i="5" s="1"/>
  <c r="M466" i="5"/>
  <c r="L466" i="5"/>
  <c r="C466" i="5"/>
  <c r="D466" i="5" s="1"/>
  <c r="F466" i="5" s="1"/>
  <c r="M465" i="5"/>
  <c r="L465" i="5"/>
  <c r="C465" i="5"/>
  <c r="D465" i="5" s="1"/>
  <c r="F465" i="5" s="1"/>
  <c r="M464" i="5"/>
  <c r="L464" i="5"/>
  <c r="C464" i="5"/>
  <c r="D464" i="5" s="1"/>
  <c r="F464" i="5" s="1"/>
  <c r="M463" i="5"/>
  <c r="L463" i="5"/>
  <c r="C463" i="5"/>
  <c r="D463" i="5" s="1"/>
  <c r="F463" i="5" s="1"/>
  <c r="M462" i="5"/>
  <c r="L462" i="5"/>
  <c r="C462" i="5"/>
  <c r="D462" i="5" s="1"/>
  <c r="F462" i="5" s="1"/>
  <c r="M461" i="5"/>
  <c r="L461" i="5"/>
  <c r="C461" i="5"/>
  <c r="D461" i="5" s="1"/>
  <c r="F461" i="5" s="1"/>
  <c r="M460" i="5"/>
  <c r="L460" i="5"/>
  <c r="C460" i="5"/>
  <c r="D460" i="5" s="1"/>
  <c r="F460" i="5" s="1"/>
  <c r="M459" i="5"/>
  <c r="L459" i="5"/>
  <c r="C459" i="5"/>
  <c r="D459" i="5" s="1"/>
  <c r="F459" i="5" s="1"/>
  <c r="M458" i="5"/>
  <c r="L458" i="5"/>
  <c r="C458" i="5"/>
  <c r="D458" i="5" s="1"/>
  <c r="F458" i="5" s="1"/>
  <c r="M457" i="5"/>
  <c r="L457" i="5"/>
  <c r="C457" i="5"/>
  <c r="D457" i="5" s="1"/>
  <c r="F457" i="5" s="1"/>
  <c r="M456" i="5"/>
  <c r="L456" i="5"/>
  <c r="C456" i="5"/>
  <c r="D456" i="5" s="1"/>
  <c r="F456" i="5" s="1"/>
  <c r="M455" i="5"/>
  <c r="L455" i="5"/>
  <c r="C455" i="5"/>
  <c r="D455" i="5" s="1"/>
  <c r="F455" i="5" s="1"/>
  <c r="M454" i="5"/>
  <c r="L454" i="5"/>
  <c r="C454" i="5"/>
  <c r="D454" i="5" s="1"/>
  <c r="F454" i="5" s="1"/>
  <c r="M453" i="5"/>
  <c r="L453" i="5"/>
  <c r="C453" i="5"/>
  <c r="D453" i="5" s="1"/>
  <c r="F453" i="5" s="1"/>
  <c r="M452" i="5"/>
  <c r="L452" i="5"/>
  <c r="C452" i="5"/>
  <c r="D452" i="5" s="1"/>
  <c r="F452" i="5" s="1"/>
  <c r="M451" i="5"/>
  <c r="L451" i="5"/>
  <c r="C451" i="5"/>
  <c r="D451" i="5" s="1"/>
  <c r="F451" i="5" s="1"/>
  <c r="M450" i="5"/>
  <c r="L450" i="5"/>
  <c r="C450" i="5"/>
  <c r="D450" i="5" s="1"/>
  <c r="F450" i="5" s="1"/>
  <c r="M449" i="5"/>
  <c r="L449" i="5"/>
  <c r="C449" i="5"/>
  <c r="D449" i="5" s="1"/>
  <c r="F449" i="5" s="1"/>
  <c r="M448" i="5"/>
  <c r="L448" i="5"/>
  <c r="C448" i="5"/>
  <c r="D448" i="5" s="1"/>
  <c r="F448" i="5" s="1"/>
  <c r="M447" i="5"/>
  <c r="L447" i="5"/>
  <c r="C447" i="5"/>
  <c r="D447" i="5" s="1"/>
  <c r="F447" i="5" s="1"/>
  <c r="M446" i="5"/>
  <c r="L446" i="5"/>
  <c r="C446" i="5"/>
  <c r="D446" i="5" s="1"/>
  <c r="F446" i="5" s="1"/>
  <c r="M445" i="5"/>
  <c r="L445" i="5"/>
  <c r="C445" i="5"/>
  <c r="D445" i="5" s="1"/>
  <c r="F445" i="5" s="1"/>
  <c r="M444" i="5"/>
  <c r="L444" i="5"/>
  <c r="C444" i="5"/>
  <c r="D444" i="5" s="1"/>
  <c r="F444" i="5" s="1"/>
  <c r="M443" i="5"/>
  <c r="L443" i="5"/>
  <c r="C443" i="5"/>
  <c r="D443" i="5" s="1"/>
  <c r="F443" i="5" s="1"/>
  <c r="M442" i="5"/>
  <c r="L442" i="5"/>
  <c r="C442" i="5"/>
  <c r="D442" i="5" s="1"/>
  <c r="F442" i="5" s="1"/>
  <c r="M441" i="5"/>
  <c r="L441" i="5"/>
  <c r="C441" i="5"/>
  <c r="D441" i="5" s="1"/>
  <c r="F441" i="5" s="1"/>
  <c r="M440" i="5"/>
  <c r="L440" i="5"/>
  <c r="C440" i="5"/>
  <c r="D440" i="5" s="1"/>
  <c r="F440" i="5" s="1"/>
  <c r="M439" i="5"/>
  <c r="L439" i="5"/>
  <c r="C439" i="5"/>
  <c r="D439" i="5" s="1"/>
  <c r="F439" i="5" s="1"/>
  <c r="M438" i="5"/>
  <c r="L438" i="5"/>
  <c r="C438" i="5"/>
  <c r="D438" i="5" s="1"/>
  <c r="F438" i="5" s="1"/>
  <c r="M437" i="5"/>
  <c r="L437" i="5"/>
  <c r="C437" i="5"/>
  <c r="D437" i="5" s="1"/>
  <c r="F437" i="5" s="1"/>
  <c r="M436" i="5"/>
  <c r="L436" i="5"/>
  <c r="C436" i="5"/>
  <c r="D436" i="5" s="1"/>
  <c r="F436" i="5" s="1"/>
  <c r="M435" i="5"/>
  <c r="L435" i="5"/>
  <c r="C435" i="5"/>
  <c r="D435" i="5" s="1"/>
  <c r="F435" i="5" s="1"/>
  <c r="M434" i="5"/>
  <c r="L434" i="5"/>
  <c r="C434" i="5"/>
  <c r="D434" i="5" s="1"/>
  <c r="F434" i="5" s="1"/>
  <c r="M433" i="5"/>
  <c r="L433" i="5"/>
  <c r="C433" i="5"/>
  <c r="D433" i="5" s="1"/>
  <c r="F433" i="5" s="1"/>
  <c r="M432" i="5"/>
  <c r="L432" i="5"/>
  <c r="C432" i="5"/>
  <c r="D432" i="5" s="1"/>
  <c r="F432" i="5" s="1"/>
  <c r="M431" i="5"/>
  <c r="L431" i="5"/>
  <c r="C431" i="5"/>
  <c r="D431" i="5" s="1"/>
  <c r="F431" i="5" s="1"/>
  <c r="M430" i="5"/>
  <c r="L430" i="5"/>
  <c r="C430" i="5"/>
  <c r="D430" i="5" s="1"/>
  <c r="F430" i="5" s="1"/>
  <c r="M429" i="5"/>
  <c r="L429" i="5"/>
  <c r="C429" i="5"/>
  <c r="D429" i="5" s="1"/>
  <c r="F429" i="5" s="1"/>
  <c r="M428" i="5"/>
  <c r="L428" i="5"/>
  <c r="C428" i="5"/>
  <c r="D428" i="5" s="1"/>
  <c r="F428" i="5" s="1"/>
  <c r="M427" i="5"/>
  <c r="L427" i="5"/>
  <c r="C427" i="5"/>
  <c r="D427" i="5" s="1"/>
  <c r="F427" i="5" s="1"/>
  <c r="M426" i="5"/>
  <c r="L426" i="5"/>
  <c r="C426" i="5"/>
  <c r="D426" i="5" s="1"/>
  <c r="F426" i="5" s="1"/>
  <c r="M425" i="5"/>
  <c r="L425" i="5"/>
  <c r="C425" i="5"/>
  <c r="D425" i="5" s="1"/>
  <c r="F425" i="5" s="1"/>
  <c r="M424" i="5"/>
  <c r="L424" i="5"/>
  <c r="C424" i="5"/>
  <c r="D424" i="5" s="1"/>
  <c r="F424" i="5" s="1"/>
  <c r="M423" i="5"/>
  <c r="L423" i="5"/>
  <c r="C423" i="5"/>
  <c r="D423" i="5" s="1"/>
  <c r="F423" i="5" s="1"/>
  <c r="M422" i="5"/>
  <c r="L422" i="5"/>
  <c r="C422" i="5"/>
  <c r="D422" i="5" s="1"/>
  <c r="F422" i="5" s="1"/>
  <c r="M421" i="5"/>
  <c r="L421" i="5"/>
  <c r="C421" i="5"/>
  <c r="D421" i="5" s="1"/>
  <c r="F421" i="5" s="1"/>
  <c r="M420" i="5"/>
  <c r="L420" i="5"/>
  <c r="C420" i="5"/>
  <c r="D420" i="5" s="1"/>
  <c r="F420" i="5" s="1"/>
  <c r="M419" i="5"/>
  <c r="L419" i="5"/>
  <c r="C419" i="5"/>
  <c r="D419" i="5" s="1"/>
  <c r="F419" i="5" s="1"/>
  <c r="M418" i="5"/>
  <c r="L418" i="5"/>
  <c r="C418" i="5"/>
  <c r="D418" i="5" s="1"/>
  <c r="F418" i="5" s="1"/>
  <c r="M417" i="5"/>
  <c r="L417" i="5"/>
  <c r="C417" i="5"/>
  <c r="D417" i="5" s="1"/>
  <c r="F417" i="5" s="1"/>
  <c r="M416" i="5"/>
  <c r="L416" i="5"/>
  <c r="C416" i="5"/>
  <c r="D416" i="5" s="1"/>
  <c r="F416" i="5" s="1"/>
  <c r="M415" i="5"/>
  <c r="L415" i="5"/>
  <c r="C415" i="5"/>
  <c r="D415" i="5" s="1"/>
  <c r="F415" i="5" s="1"/>
  <c r="M414" i="5"/>
  <c r="L414" i="5"/>
  <c r="C414" i="5"/>
  <c r="D414" i="5" s="1"/>
  <c r="F414" i="5" s="1"/>
  <c r="M413" i="5"/>
  <c r="L413" i="5"/>
  <c r="C413" i="5"/>
  <c r="D413" i="5" s="1"/>
  <c r="F413" i="5" s="1"/>
  <c r="M412" i="5"/>
  <c r="L412" i="5"/>
  <c r="C412" i="5"/>
  <c r="D412" i="5" s="1"/>
  <c r="F412" i="5" s="1"/>
  <c r="M411" i="5"/>
  <c r="L411" i="5"/>
  <c r="C411" i="5"/>
  <c r="D411" i="5" s="1"/>
  <c r="F411" i="5" s="1"/>
  <c r="M410" i="5"/>
  <c r="L410" i="5"/>
  <c r="C410" i="5"/>
  <c r="D410" i="5" s="1"/>
  <c r="F410" i="5" s="1"/>
  <c r="M409" i="5"/>
  <c r="L409" i="5"/>
  <c r="C409" i="5"/>
  <c r="D409" i="5" s="1"/>
  <c r="F409" i="5" s="1"/>
  <c r="M408" i="5"/>
  <c r="L408" i="5"/>
  <c r="C408" i="5"/>
  <c r="D408" i="5" s="1"/>
  <c r="F408" i="5" s="1"/>
  <c r="M407" i="5"/>
  <c r="L407" i="5"/>
  <c r="C407" i="5"/>
  <c r="D407" i="5" s="1"/>
  <c r="F407" i="5" s="1"/>
  <c r="M406" i="5"/>
  <c r="L406" i="5"/>
  <c r="C406" i="5"/>
  <c r="D406" i="5" s="1"/>
  <c r="F406" i="5" s="1"/>
  <c r="M405" i="5"/>
  <c r="L405" i="5"/>
  <c r="C405" i="5"/>
  <c r="D405" i="5" s="1"/>
  <c r="F405" i="5" s="1"/>
  <c r="M404" i="5"/>
  <c r="L404" i="5"/>
  <c r="C404" i="5"/>
  <c r="D404" i="5" s="1"/>
  <c r="F404" i="5" s="1"/>
  <c r="M403" i="5"/>
  <c r="L403" i="5"/>
  <c r="C403" i="5"/>
  <c r="D403" i="5" s="1"/>
  <c r="F403" i="5" s="1"/>
  <c r="M402" i="5"/>
  <c r="L402" i="5"/>
  <c r="C402" i="5"/>
  <c r="D402" i="5" s="1"/>
  <c r="F402" i="5" s="1"/>
  <c r="M401" i="5"/>
  <c r="L401" i="5"/>
  <c r="C401" i="5"/>
  <c r="D401" i="5" s="1"/>
  <c r="F401" i="5" s="1"/>
  <c r="M400" i="5"/>
  <c r="L400" i="5"/>
  <c r="C400" i="5"/>
  <c r="D400" i="5" s="1"/>
  <c r="F400" i="5" s="1"/>
  <c r="M399" i="5"/>
  <c r="L399" i="5"/>
  <c r="C399" i="5"/>
  <c r="D399" i="5" s="1"/>
  <c r="F399" i="5" s="1"/>
  <c r="M398" i="5"/>
  <c r="L398" i="5"/>
  <c r="C398" i="5"/>
  <c r="D398" i="5" s="1"/>
  <c r="F398" i="5" s="1"/>
  <c r="M397" i="5"/>
  <c r="L397" i="5"/>
  <c r="C397" i="5"/>
  <c r="D397" i="5" s="1"/>
  <c r="F397" i="5" s="1"/>
  <c r="M396" i="5"/>
  <c r="L396" i="5"/>
  <c r="C396" i="5"/>
  <c r="D396" i="5" s="1"/>
  <c r="F396" i="5" s="1"/>
  <c r="M395" i="5"/>
  <c r="L395" i="5"/>
  <c r="C395" i="5"/>
  <c r="D395" i="5" s="1"/>
  <c r="F395" i="5" s="1"/>
  <c r="M394" i="5"/>
  <c r="L394" i="5"/>
  <c r="C394" i="5"/>
  <c r="D394" i="5" s="1"/>
  <c r="F394" i="5" s="1"/>
  <c r="M393" i="5"/>
  <c r="L393" i="5"/>
  <c r="C393" i="5"/>
  <c r="D393" i="5" s="1"/>
  <c r="F393" i="5" s="1"/>
  <c r="M392" i="5"/>
  <c r="L392" i="5"/>
  <c r="C392" i="5"/>
  <c r="D392" i="5" s="1"/>
  <c r="F392" i="5" s="1"/>
  <c r="M391" i="5"/>
  <c r="L391" i="5"/>
  <c r="C391" i="5"/>
  <c r="D391" i="5" s="1"/>
  <c r="F391" i="5" s="1"/>
  <c r="M390" i="5"/>
  <c r="L390" i="5"/>
  <c r="C390" i="5"/>
  <c r="D390" i="5" s="1"/>
  <c r="F390" i="5" s="1"/>
  <c r="M389" i="5"/>
  <c r="L389" i="5"/>
  <c r="C389" i="5"/>
  <c r="D389" i="5" s="1"/>
  <c r="F389" i="5" s="1"/>
  <c r="M388" i="5"/>
  <c r="L388" i="5"/>
  <c r="C388" i="5"/>
  <c r="D388" i="5" s="1"/>
  <c r="F388" i="5" s="1"/>
  <c r="M387" i="5"/>
  <c r="L387" i="5"/>
  <c r="C387" i="5"/>
  <c r="D387" i="5" s="1"/>
  <c r="F387" i="5" s="1"/>
  <c r="M386" i="5"/>
  <c r="L386" i="5"/>
  <c r="C386" i="5"/>
  <c r="D386" i="5" s="1"/>
  <c r="F386" i="5" s="1"/>
  <c r="M385" i="5"/>
  <c r="L385" i="5"/>
  <c r="C385" i="5"/>
  <c r="D385" i="5" s="1"/>
  <c r="F385" i="5" s="1"/>
  <c r="M384" i="5"/>
  <c r="L384" i="5"/>
  <c r="C384" i="5"/>
  <c r="D384" i="5" s="1"/>
  <c r="F384" i="5" s="1"/>
  <c r="M383" i="5"/>
  <c r="L383" i="5"/>
  <c r="C383" i="5"/>
  <c r="D383" i="5" s="1"/>
  <c r="F383" i="5" s="1"/>
  <c r="M382" i="5"/>
  <c r="L382" i="5"/>
  <c r="C382" i="5"/>
  <c r="D382" i="5" s="1"/>
  <c r="F382" i="5" s="1"/>
  <c r="M381" i="5"/>
  <c r="L381" i="5"/>
  <c r="C381" i="5"/>
  <c r="D381" i="5" s="1"/>
  <c r="F381" i="5" s="1"/>
  <c r="M380" i="5"/>
  <c r="L380" i="5"/>
  <c r="C380" i="5"/>
  <c r="D380" i="5" s="1"/>
  <c r="F380" i="5" s="1"/>
  <c r="M379" i="5"/>
  <c r="L379" i="5"/>
  <c r="C379" i="5"/>
  <c r="D379" i="5" s="1"/>
  <c r="F379" i="5" s="1"/>
  <c r="M378" i="5"/>
  <c r="L378" i="5"/>
  <c r="C378" i="5"/>
  <c r="D378" i="5" s="1"/>
  <c r="F378" i="5" s="1"/>
  <c r="M377" i="5"/>
  <c r="L377" i="5"/>
  <c r="C377" i="5"/>
  <c r="D377" i="5" s="1"/>
  <c r="F377" i="5" s="1"/>
  <c r="M376" i="5"/>
  <c r="L376" i="5"/>
  <c r="C376" i="5"/>
  <c r="D376" i="5" s="1"/>
  <c r="F376" i="5" s="1"/>
  <c r="M375" i="5"/>
  <c r="L375" i="5"/>
  <c r="C375" i="5"/>
  <c r="D375" i="5" s="1"/>
  <c r="F375" i="5" s="1"/>
  <c r="M374" i="5"/>
  <c r="L374" i="5"/>
  <c r="C374" i="5"/>
  <c r="D374" i="5" s="1"/>
  <c r="F374" i="5" s="1"/>
  <c r="M373" i="5"/>
  <c r="L373" i="5"/>
  <c r="C373" i="5"/>
  <c r="D373" i="5" s="1"/>
  <c r="F373" i="5" s="1"/>
  <c r="M372" i="5"/>
  <c r="L372" i="5"/>
  <c r="C372" i="5"/>
  <c r="D372" i="5" s="1"/>
  <c r="F372" i="5" s="1"/>
  <c r="M371" i="5"/>
  <c r="L371" i="5"/>
  <c r="C371" i="5"/>
  <c r="D371" i="5" s="1"/>
  <c r="F371" i="5" s="1"/>
  <c r="M370" i="5"/>
  <c r="L370" i="5"/>
  <c r="C370" i="5"/>
  <c r="D370" i="5" s="1"/>
  <c r="F370" i="5" s="1"/>
  <c r="M369" i="5"/>
  <c r="L369" i="5"/>
  <c r="C369" i="5"/>
  <c r="D369" i="5" s="1"/>
  <c r="F369" i="5" s="1"/>
  <c r="M368" i="5"/>
  <c r="L368" i="5"/>
  <c r="C368" i="5"/>
  <c r="D368" i="5" s="1"/>
  <c r="F368" i="5" s="1"/>
  <c r="M367" i="5"/>
  <c r="L367" i="5"/>
  <c r="C367" i="5"/>
  <c r="D367" i="5" s="1"/>
  <c r="F367" i="5" s="1"/>
  <c r="M366" i="5"/>
  <c r="L366" i="5"/>
  <c r="C366" i="5"/>
  <c r="D366" i="5" s="1"/>
  <c r="F366" i="5" s="1"/>
  <c r="M365" i="5"/>
  <c r="L365" i="5"/>
  <c r="C365" i="5"/>
  <c r="D365" i="5" s="1"/>
  <c r="F365" i="5" s="1"/>
  <c r="M364" i="5"/>
  <c r="L364" i="5"/>
  <c r="C364" i="5"/>
  <c r="D364" i="5" s="1"/>
  <c r="F364" i="5" s="1"/>
  <c r="M363" i="5"/>
  <c r="L363" i="5"/>
  <c r="C363" i="5"/>
  <c r="D363" i="5" s="1"/>
  <c r="F363" i="5" s="1"/>
  <c r="M362" i="5"/>
  <c r="L362" i="5"/>
  <c r="C362" i="5"/>
  <c r="D362" i="5" s="1"/>
  <c r="F362" i="5" s="1"/>
  <c r="M361" i="5"/>
  <c r="L361" i="5"/>
  <c r="C361" i="5"/>
  <c r="D361" i="5" s="1"/>
  <c r="F361" i="5" s="1"/>
  <c r="M360" i="5"/>
  <c r="L360" i="5"/>
  <c r="C360" i="5"/>
  <c r="D360" i="5" s="1"/>
  <c r="F360" i="5" s="1"/>
  <c r="M359" i="5"/>
  <c r="L359" i="5"/>
  <c r="C359" i="5"/>
  <c r="D359" i="5" s="1"/>
  <c r="F359" i="5" s="1"/>
  <c r="M358" i="5"/>
  <c r="L358" i="5"/>
  <c r="C358" i="5"/>
  <c r="D358" i="5" s="1"/>
  <c r="F358" i="5" s="1"/>
  <c r="M357" i="5"/>
  <c r="L357" i="5"/>
  <c r="C357" i="5"/>
  <c r="D357" i="5" s="1"/>
  <c r="F357" i="5" s="1"/>
  <c r="M356" i="5"/>
  <c r="L356" i="5"/>
  <c r="C356" i="5"/>
  <c r="D356" i="5" s="1"/>
  <c r="F356" i="5" s="1"/>
  <c r="M355" i="5"/>
  <c r="L355" i="5"/>
  <c r="C355" i="5"/>
  <c r="D355" i="5" s="1"/>
  <c r="F355" i="5" s="1"/>
  <c r="M354" i="5"/>
  <c r="L354" i="5"/>
  <c r="C354" i="5"/>
  <c r="D354" i="5" s="1"/>
  <c r="F354" i="5" s="1"/>
  <c r="M353" i="5"/>
  <c r="L353" i="5"/>
  <c r="C353" i="5"/>
  <c r="D353" i="5" s="1"/>
  <c r="F353" i="5" s="1"/>
  <c r="M352" i="5"/>
  <c r="L352" i="5"/>
  <c r="C352" i="5"/>
  <c r="D352" i="5" s="1"/>
  <c r="F352" i="5" s="1"/>
  <c r="M351" i="5"/>
  <c r="L351" i="5"/>
  <c r="C351" i="5"/>
  <c r="D351" i="5" s="1"/>
  <c r="F351" i="5" s="1"/>
  <c r="M350" i="5"/>
  <c r="L350" i="5"/>
  <c r="C350" i="5"/>
  <c r="D350" i="5" s="1"/>
  <c r="F350" i="5" s="1"/>
  <c r="M349" i="5"/>
  <c r="L349" i="5"/>
  <c r="C349" i="5"/>
  <c r="D349" i="5" s="1"/>
  <c r="F349" i="5" s="1"/>
  <c r="M348" i="5"/>
  <c r="L348" i="5"/>
  <c r="C348" i="5"/>
  <c r="D348" i="5" s="1"/>
  <c r="F348" i="5" s="1"/>
  <c r="M347" i="5"/>
  <c r="L347" i="5"/>
  <c r="C347" i="5"/>
  <c r="D347" i="5" s="1"/>
  <c r="F347" i="5" s="1"/>
  <c r="M346" i="5"/>
  <c r="L346" i="5"/>
  <c r="C346" i="5"/>
  <c r="D346" i="5" s="1"/>
  <c r="F346" i="5" s="1"/>
  <c r="M345" i="5"/>
  <c r="L345" i="5"/>
  <c r="C345" i="5"/>
  <c r="D345" i="5" s="1"/>
  <c r="F345" i="5" s="1"/>
  <c r="M344" i="5"/>
  <c r="L344" i="5"/>
  <c r="C344" i="5"/>
  <c r="D344" i="5" s="1"/>
  <c r="F344" i="5" s="1"/>
  <c r="M343" i="5"/>
  <c r="L343" i="5"/>
  <c r="C343" i="5"/>
  <c r="D343" i="5" s="1"/>
  <c r="F343" i="5" s="1"/>
  <c r="M342" i="5"/>
  <c r="L342" i="5"/>
  <c r="C342" i="5"/>
  <c r="D342" i="5" s="1"/>
  <c r="F342" i="5" s="1"/>
  <c r="M341" i="5"/>
  <c r="L341" i="5"/>
  <c r="C341" i="5"/>
  <c r="D341" i="5" s="1"/>
  <c r="F341" i="5" s="1"/>
  <c r="M340" i="5"/>
  <c r="L340" i="5"/>
  <c r="C340" i="5"/>
  <c r="D340" i="5" s="1"/>
  <c r="F340" i="5" s="1"/>
  <c r="M339" i="5"/>
  <c r="L339" i="5"/>
  <c r="C339" i="5"/>
  <c r="D339" i="5" s="1"/>
  <c r="F339" i="5" s="1"/>
  <c r="M338" i="5"/>
  <c r="L338" i="5"/>
  <c r="C338" i="5"/>
  <c r="D338" i="5" s="1"/>
  <c r="F338" i="5" s="1"/>
  <c r="M337" i="5"/>
  <c r="L337" i="5"/>
  <c r="C337" i="5"/>
  <c r="D337" i="5" s="1"/>
  <c r="F337" i="5" s="1"/>
  <c r="M336" i="5"/>
  <c r="L336" i="5"/>
  <c r="C336" i="5"/>
  <c r="D336" i="5" s="1"/>
  <c r="F336" i="5" s="1"/>
  <c r="M335" i="5"/>
  <c r="L335" i="5"/>
  <c r="C335" i="5"/>
  <c r="D335" i="5" s="1"/>
  <c r="F335" i="5" s="1"/>
  <c r="M334" i="5"/>
  <c r="L334" i="5"/>
  <c r="C334" i="5"/>
  <c r="D334" i="5" s="1"/>
  <c r="F334" i="5" s="1"/>
  <c r="M333" i="5"/>
  <c r="L333" i="5"/>
  <c r="C333" i="5"/>
  <c r="D333" i="5" s="1"/>
  <c r="F333" i="5" s="1"/>
  <c r="M332" i="5"/>
  <c r="L332" i="5"/>
  <c r="C332" i="5"/>
  <c r="D332" i="5" s="1"/>
  <c r="F332" i="5" s="1"/>
  <c r="M331" i="5"/>
  <c r="L331" i="5"/>
  <c r="C331" i="5"/>
  <c r="D331" i="5" s="1"/>
  <c r="F331" i="5" s="1"/>
  <c r="M330" i="5"/>
  <c r="L330" i="5"/>
  <c r="C330" i="5"/>
  <c r="D330" i="5" s="1"/>
  <c r="F330" i="5" s="1"/>
  <c r="M329" i="5"/>
  <c r="L329" i="5"/>
  <c r="C329" i="5"/>
  <c r="D329" i="5" s="1"/>
  <c r="F329" i="5" s="1"/>
  <c r="M328" i="5"/>
  <c r="L328" i="5"/>
  <c r="C328" i="5"/>
  <c r="D328" i="5" s="1"/>
  <c r="F328" i="5" s="1"/>
  <c r="M327" i="5"/>
  <c r="L327" i="5"/>
  <c r="C327" i="5"/>
  <c r="D327" i="5" s="1"/>
  <c r="F327" i="5" s="1"/>
  <c r="M326" i="5"/>
  <c r="L326" i="5"/>
  <c r="C326" i="5"/>
  <c r="D326" i="5" s="1"/>
  <c r="F326" i="5" s="1"/>
  <c r="M325" i="5"/>
  <c r="L325" i="5"/>
  <c r="C325" i="5"/>
  <c r="D325" i="5" s="1"/>
  <c r="F325" i="5" s="1"/>
  <c r="M324" i="5"/>
  <c r="L324" i="5"/>
  <c r="C324" i="5"/>
  <c r="D324" i="5" s="1"/>
  <c r="F324" i="5" s="1"/>
  <c r="M323" i="5"/>
  <c r="L323" i="5"/>
  <c r="C323" i="5"/>
  <c r="D323" i="5" s="1"/>
  <c r="F323" i="5" s="1"/>
  <c r="M322" i="5"/>
  <c r="L322" i="5"/>
  <c r="C322" i="5"/>
  <c r="D322" i="5" s="1"/>
  <c r="F322" i="5" s="1"/>
  <c r="M321" i="5"/>
  <c r="L321" i="5"/>
  <c r="C321" i="5"/>
  <c r="D321" i="5" s="1"/>
  <c r="F321" i="5" s="1"/>
  <c r="M320" i="5"/>
  <c r="L320" i="5"/>
  <c r="C320" i="5"/>
  <c r="D320" i="5" s="1"/>
  <c r="F320" i="5" s="1"/>
  <c r="M319" i="5"/>
  <c r="L319" i="5"/>
  <c r="C319" i="5"/>
  <c r="D319" i="5" s="1"/>
  <c r="F319" i="5" s="1"/>
  <c r="M318" i="5"/>
  <c r="L318" i="5"/>
  <c r="C318" i="5"/>
  <c r="D318" i="5" s="1"/>
  <c r="F318" i="5" s="1"/>
  <c r="M317" i="5"/>
  <c r="L317" i="5"/>
  <c r="C317" i="5"/>
  <c r="D317" i="5" s="1"/>
  <c r="F317" i="5" s="1"/>
  <c r="M316" i="5"/>
  <c r="L316" i="5"/>
  <c r="C316" i="5"/>
  <c r="D316" i="5" s="1"/>
  <c r="F316" i="5" s="1"/>
  <c r="M315" i="5"/>
  <c r="L315" i="5"/>
  <c r="C315" i="5"/>
  <c r="D315" i="5" s="1"/>
  <c r="F315" i="5" s="1"/>
  <c r="M314" i="5"/>
  <c r="L314" i="5"/>
  <c r="C314" i="5"/>
  <c r="D314" i="5" s="1"/>
  <c r="F314" i="5" s="1"/>
  <c r="M313" i="5"/>
  <c r="L313" i="5"/>
  <c r="C313" i="5"/>
  <c r="D313" i="5" s="1"/>
  <c r="F313" i="5" s="1"/>
  <c r="M312" i="5"/>
  <c r="L312" i="5"/>
  <c r="C312" i="5"/>
  <c r="D312" i="5" s="1"/>
  <c r="F312" i="5" s="1"/>
  <c r="M311" i="5"/>
  <c r="L311" i="5"/>
  <c r="C311" i="5"/>
  <c r="D311" i="5" s="1"/>
  <c r="F311" i="5" s="1"/>
  <c r="M310" i="5"/>
  <c r="L310" i="5"/>
  <c r="C310" i="5"/>
  <c r="D310" i="5" s="1"/>
  <c r="F310" i="5" s="1"/>
  <c r="M309" i="5"/>
  <c r="L309" i="5"/>
  <c r="C309" i="5"/>
  <c r="D309" i="5" s="1"/>
  <c r="F309" i="5" s="1"/>
  <c r="M308" i="5"/>
  <c r="L308" i="5"/>
  <c r="C308" i="5"/>
  <c r="D308" i="5" s="1"/>
  <c r="F308" i="5" s="1"/>
  <c r="M307" i="5"/>
  <c r="L307" i="5"/>
  <c r="C307" i="5"/>
  <c r="D307" i="5" s="1"/>
  <c r="F307" i="5" s="1"/>
  <c r="M306" i="5"/>
  <c r="L306" i="5"/>
  <c r="C306" i="5"/>
  <c r="D306" i="5" s="1"/>
  <c r="F306" i="5" s="1"/>
  <c r="M305" i="5"/>
  <c r="L305" i="5"/>
  <c r="C305" i="5"/>
  <c r="D305" i="5" s="1"/>
  <c r="F305" i="5" s="1"/>
  <c r="M304" i="5"/>
  <c r="L304" i="5"/>
  <c r="C304" i="5"/>
  <c r="D304" i="5" s="1"/>
  <c r="F304" i="5" s="1"/>
  <c r="M303" i="5"/>
  <c r="L303" i="5"/>
  <c r="C303" i="5"/>
  <c r="D303" i="5" s="1"/>
  <c r="F303" i="5" s="1"/>
  <c r="M302" i="5"/>
  <c r="L302" i="5"/>
  <c r="C302" i="5"/>
  <c r="D302" i="5" s="1"/>
  <c r="F302" i="5" s="1"/>
  <c r="M301" i="5"/>
  <c r="L301" i="5"/>
  <c r="C301" i="5"/>
  <c r="D301" i="5" s="1"/>
  <c r="F301" i="5" s="1"/>
  <c r="M300" i="5"/>
  <c r="L300" i="5"/>
  <c r="C300" i="5"/>
  <c r="D300" i="5" s="1"/>
  <c r="F300" i="5" s="1"/>
  <c r="M299" i="5"/>
  <c r="L299" i="5"/>
  <c r="C299" i="5"/>
  <c r="D299" i="5" s="1"/>
  <c r="F299" i="5" s="1"/>
  <c r="M298" i="5"/>
  <c r="L298" i="5"/>
  <c r="C298" i="5"/>
  <c r="D298" i="5" s="1"/>
  <c r="F298" i="5" s="1"/>
  <c r="M297" i="5"/>
  <c r="L297" i="5"/>
  <c r="C297" i="5"/>
  <c r="D297" i="5" s="1"/>
  <c r="F297" i="5" s="1"/>
  <c r="M296" i="5"/>
  <c r="L296" i="5"/>
  <c r="C296" i="5"/>
  <c r="D296" i="5" s="1"/>
  <c r="F296" i="5" s="1"/>
  <c r="M295" i="5"/>
  <c r="L295" i="5"/>
  <c r="C295" i="5"/>
  <c r="D295" i="5" s="1"/>
  <c r="F295" i="5" s="1"/>
  <c r="M294" i="5"/>
  <c r="L294" i="5"/>
  <c r="C294" i="5"/>
  <c r="D294" i="5" s="1"/>
  <c r="F294" i="5" s="1"/>
  <c r="M293" i="5"/>
  <c r="L293" i="5"/>
  <c r="C293" i="5"/>
  <c r="D293" i="5" s="1"/>
  <c r="F293" i="5" s="1"/>
  <c r="M292" i="5"/>
  <c r="L292" i="5"/>
  <c r="C292" i="5"/>
  <c r="D292" i="5" s="1"/>
  <c r="F292" i="5" s="1"/>
  <c r="M291" i="5"/>
  <c r="L291" i="5"/>
  <c r="C291" i="5"/>
  <c r="D291" i="5" s="1"/>
  <c r="F291" i="5" s="1"/>
  <c r="M290" i="5"/>
  <c r="L290" i="5"/>
  <c r="C290" i="5"/>
  <c r="D290" i="5" s="1"/>
  <c r="F290" i="5" s="1"/>
  <c r="M289" i="5"/>
  <c r="L289" i="5"/>
  <c r="C289" i="5"/>
  <c r="D289" i="5" s="1"/>
  <c r="F289" i="5" s="1"/>
  <c r="M288" i="5"/>
  <c r="L288" i="5"/>
  <c r="C288" i="5"/>
  <c r="D288" i="5" s="1"/>
  <c r="F288" i="5" s="1"/>
  <c r="M287" i="5"/>
  <c r="L287" i="5"/>
  <c r="C287" i="5"/>
  <c r="D287" i="5" s="1"/>
  <c r="F287" i="5" s="1"/>
  <c r="M286" i="5"/>
  <c r="L286" i="5"/>
  <c r="C286" i="5"/>
  <c r="D286" i="5" s="1"/>
  <c r="F286" i="5" s="1"/>
  <c r="M285" i="5"/>
  <c r="L285" i="5"/>
  <c r="C285" i="5"/>
  <c r="D285" i="5" s="1"/>
  <c r="F285" i="5" s="1"/>
  <c r="M284" i="5"/>
  <c r="L284" i="5"/>
  <c r="C284" i="5"/>
  <c r="D284" i="5" s="1"/>
  <c r="F284" i="5" s="1"/>
  <c r="M283" i="5"/>
  <c r="L283" i="5"/>
  <c r="C283" i="5"/>
  <c r="D283" i="5" s="1"/>
  <c r="F283" i="5" s="1"/>
  <c r="M282" i="5"/>
  <c r="L282" i="5"/>
  <c r="C282" i="5"/>
  <c r="D282" i="5" s="1"/>
  <c r="F282" i="5" s="1"/>
  <c r="M281" i="5"/>
  <c r="L281" i="5"/>
  <c r="C281" i="5"/>
  <c r="D281" i="5" s="1"/>
  <c r="F281" i="5" s="1"/>
  <c r="M280" i="5"/>
  <c r="L280" i="5"/>
  <c r="C280" i="5"/>
  <c r="D280" i="5" s="1"/>
  <c r="F280" i="5" s="1"/>
  <c r="M279" i="5"/>
  <c r="L279" i="5"/>
  <c r="C279" i="5"/>
  <c r="D279" i="5" s="1"/>
  <c r="F279" i="5" s="1"/>
  <c r="M278" i="5"/>
  <c r="L278" i="5"/>
  <c r="C278" i="5"/>
  <c r="D278" i="5" s="1"/>
  <c r="F278" i="5" s="1"/>
  <c r="M277" i="5"/>
  <c r="L277" i="5"/>
  <c r="C277" i="5"/>
  <c r="D277" i="5" s="1"/>
  <c r="F277" i="5" s="1"/>
  <c r="M276" i="5"/>
  <c r="L276" i="5"/>
  <c r="C276" i="5"/>
  <c r="D276" i="5" s="1"/>
  <c r="F276" i="5" s="1"/>
  <c r="M275" i="5"/>
  <c r="L275" i="5"/>
  <c r="C275" i="5"/>
  <c r="D275" i="5" s="1"/>
  <c r="F275" i="5" s="1"/>
  <c r="M274" i="5"/>
  <c r="L274" i="5"/>
  <c r="C274" i="5"/>
  <c r="D274" i="5" s="1"/>
  <c r="F274" i="5" s="1"/>
  <c r="M273" i="5"/>
  <c r="L273" i="5"/>
  <c r="C273" i="5"/>
  <c r="D273" i="5" s="1"/>
  <c r="F273" i="5" s="1"/>
  <c r="M272" i="5"/>
  <c r="L272" i="5"/>
  <c r="C272" i="5"/>
  <c r="D272" i="5" s="1"/>
  <c r="F272" i="5" s="1"/>
  <c r="M271" i="5"/>
  <c r="L271" i="5"/>
  <c r="C271" i="5"/>
  <c r="D271" i="5" s="1"/>
  <c r="F271" i="5" s="1"/>
  <c r="M270" i="5"/>
  <c r="L270" i="5"/>
  <c r="C270" i="5"/>
  <c r="D270" i="5" s="1"/>
  <c r="F270" i="5" s="1"/>
  <c r="M269" i="5"/>
  <c r="L269" i="5"/>
  <c r="C269" i="5"/>
  <c r="D269" i="5" s="1"/>
  <c r="F269" i="5" s="1"/>
  <c r="M268" i="5"/>
  <c r="L268" i="5"/>
  <c r="C268" i="5"/>
  <c r="D268" i="5" s="1"/>
  <c r="F268" i="5" s="1"/>
  <c r="M267" i="5"/>
  <c r="L267" i="5"/>
  <c r="C267" i="5"/>
  <c r="D267" i="5" s="1"/>
  <c r="F267" i="5" s="1"/>
  <c r="M266" i="5"/>
  <c r="L266" i="5"/>
  <c r="C266" i="5"/>
  <c r="D266" i="5" s="1"/>
  <c r="F266" i="5" s="1"/>
  <c r="M265" i="5"/>
  <c r="L265" i="5"/>
  <c r="C265" i="5"/>
  <c r="D265" i="5" s="1"/>
  <c r="F265" i="5" s="1"/>
  <c r="M264" i="5"/>
  <c r="L264" i="5"/>
  <c r="C264" i="5"/>
  <c r="D264" i="5" s="1"/>
  <c r="F264" i="5" s="1"/>
  <c r="M263" i="5"/>
  <c r="L263" i="5"/>
  <c r="C263" i="5"/>
  <c r="D263" i="5" s="1"/>
  <c r="F263" i="5" s="1"/>
  <c r="M262" i="5"/>
  <c r="L262" i="5"/>
  <c r="C262" i="5"/>
  <c r="D262" i="5" s="1"/>
  <c r="F262" i="5" s="1"/>
  <c r="M261" i="5"/>
  <c r="L261" i="5"/>
  <c r="C261" i="5"/>
  <c r="D261" i="5" s="1"/>
  <c r="F261" i="5" s="1"/>
  <c r="M260" i="5"/>
  <c r="L260" i="5"/>
  <c r="C260" i="5"/>
  <c r="D260" i="5" s="1"/>
  <c r="F260" i="5" s="1"/>
  <c r="M259" i="5"/>
  <c r="L259" i="5"/>
  <c r="C259" i="5"/>
  <c r="D259" i="5" s="1"/>
  <c r="F259" i="5" s="1"/>
  <c r="M258" i="5"/>
  <c r="L258" i="5"/>
  <c r="C258" i="5"/>
  <c r="D258" i="5" s="1"/>
  <c r="F258" i="5" s="1"/>
  <c r="M257" i="5"/>
  <c r="L257" i="5"/>
  <c r="C257" i="5"/>
  <c r="D257" i="5" s="1"/>
  <c r="F257" i="5" s="1"/>
  <c r="M256" i="5"/>
  <c r="L256" i="5"/>
  <c r="C256" i="5"/>
  <c r="D256" i="5" s="1"/>
  <c r="F256" i="5" s="1"/>
  <c r="M255" i="5"/>
  <c r="L255" i="5"/>
  <c r="C255" i="5"/>
  <c r="D255" i="5" s="1"/>
  <c r="F255" i="5" s="1"/>
  <c r="M254" i="5"/>
  <c r="L254" i="5"/>
  <c r="C254" i="5"/>
  <c r="D254" i="5" s="1"/>
  <c r="F254" i="5" s="1"/>
  <c r="M253" i="5"/>
  <c r="L253" i="5"/>
  <c r="C253" i="5"/>
  <c r="D253" i="5" s="1"/>
  <c r="F253" i="5" s="1"/>
  <c r="M252" i="5"/>
  <c r="L252" i="5"/>
  <c r="C252" i="5"/>
  <c r="D252" i="5" s="1"/>
  <c r="F252" i="5" s="1"/>
  <c r="M251" i="5"/>
  <c r="L251" i="5"/>
  <c r="C251" i="5"/>
  <c r="D251" i="5" s="1"/>
  <c r="F251" i="5" s="1"/>
  <c r="M250" i="5"/>
  <c r="L250" i="5"/>
  <c r="C250" i="5"/>
  <c r="D250" i="5" s="1"/>
  <c r="F250" i="5" s="1"/>
  <c r="M249" i="5"/>
  <c r="L249" i="5"/>
  <c r="C249" i="5"/>
  <c r="D249" i="5" s="1"/>
  <c r="F249" i="5" s="1"/>
  <c r="M248" i="5"/>
  <c r="L248" i="5"/>
  <c r="C248" i="5"/>
  <c r="D248" i="5" s="1"/>
  <c r="F248" i="5" s="1"/>
  <c r="M247" i="5"/>
  <c r="L247" i="5"/>
  <c r="C247" i="5"/>
  <c r="D247" i="5" s="1"/>
  <c r="F247" i="5" s="1"/>
  <c r="M246" i="5"/>
  <c r="L246" i="5"/>
  <c r="C246" i="5"/>
  <c r="D246" i="5" s="1"/>
  <c r="F246" i="5" s="1"/>
  <c r="M245" i="5"/>
  <c r="L245" i="5"/>
  <c r="C245" i="5"/>
  <c r="D245" i="5" s="1"/>
  <c r="F245" i="5" s="1"/>
  <c r="M244" i="5"/>
  <c r="L244" i="5"/>
  <c r="C244" i="5"/>
  <c r="D244" i="5" s="1"/>
  <c r="F244" i="5" s="1"/>
  <c r="M243" i="5"/>
  <c r="L243" i="5"/>
  <c r="C243" i="5"/>
  <c r="D243" i="5" s="1"/>
  <c r="F243" i="5" s="1"/>
  <c r="M242" i="5"/>
  <c r="L242" i="5"/>
  <c r="C242" i="5"/>
  <c r="D242" i="5" s="1"/>
  <c r="F242" i="5" s="1"/>
  <c r="M241" i="5"/>
  <c r="L241" i="5"/>
  <c r="C241" i="5"/>
  <c r="D241" i="5" s="1"/>
  <c r="F241" i="5" s="1"/>
  <c r="M240" i="5"/>
  <c r="L240" i="5"/>
  <c r="C240" i="5"/>
  <c r="D240" i="5" s="1"/>
  <c r="F240" i="5" s="1"/>
  <c r="M239" i="5"/>
  <c r="L239" i="5"/>
  <c r="C239" i="5"/>
  <c r="D239" i="5" s="1"/>
  <c r="F239" i="5" s="1"/>
  <c r="M238" i="5"/>
  <c r="L238" i="5"/>
  <c r="C238" i="5"/>
  <c r="D238" i="5" s="1"/>
  <c r="F238" i="5" s="1"/>
  <c r="M237" i="5"/>
  <c r="L237" i="5"/>
  <c r="C237" i="5"/>
  <c r="D237" i="5" s="1"/>
  <c r="F237" i="5" s="1"/>
  <c r="M236" i="5"/>
  <c r="L236" i="5"/>
  <c r="C236" i="5"/>
  <c r="D236" i="5" s="1"/>
  <c r="F236" i="5" s="1"/>
  <c r="M235" i="5"/>
  <c r="L235" i="5"/>
  <c r="C235" i="5"/>
  <c r="D235" i="5" s="1"/>
  <c r="F235" i="5" s="1"/>
  <c r="M234" i="5"/>
  <c r="L234" i="5"/>
  <c r="C234" i="5"/>
  <c r="D234" i="5" s="1"/>
  <c r="F234" i="5" s="1"/>
  <c r="M233" i="5"/>
  <c r="L233" i="5"/>
  <c r="C233" i="5"/>
  <c r="D233" i="5" s="1"/>
  <c r="F233" i="5" s="1"/>
  <c r="M232" i="5"/>
  <c r="L232" i="5"/>
  <c r="C232" i="5"/>
  <c r="D232" i="5" s="1"/>
  <c r="F232" i="5" s="1"/>
  <c r="M231" i="5"/>
  <c r="L231" i="5"/>
  <c r="C231" i="5"/>
  <c r="D231" i="5" s="1"/>
  <c r="F231" i="5" s="1"/>
  <c r="M230" i="5"/>
  <c r="L230" i="5"/>
  <c r="C230" i="5"/>
  <c r="D230" i="5" s="1"/>
  <c r="F230" i="5" s="1"/>
  <c r="M229" i="5"/>
  <c r="L229" i="5"/>
  <c r="C229" i="5"/>
  <c r="D229" i="5" s="1"/>
  <c r="F229" i="5" s="1"/>
  <c r="M228" i="5"/>
  <c r="L228" i="5"/>
  <c r="C228" i="5"/>
  <c r="D228" i="5" s="1"/>
  <c r="F228" i="5" s="1"/>
  <c r="M227" i="5"/>
  <c r="L227" i="5"/>
  <c r="C227" i="5"/>
  <c r="D227" i="5" s="1"/>
  <c r="F227" i="5" s="1"/>
  <c r="M226" i="5"/>
  <c r="L226" i="5"/>
  <c r="C226" i="5"/>
  <c r="D226" i="5" s="1"/>
  <c r="F226" i="5" s="1"/>
  <c r="M225" i="5"/>
  <c r="L225" i="5"/>
  <c r="C225" i="5"/>
  <c r="D225" i="5" s="1"/>
  <c r="F225" i="5" s="1"/>
  <c r="M224" i="5"/>
  <c r="L224" i="5"/>
  <c r="C224" i="5"/>
  <c r="D224" i="5" s="1"/>
  <c r="F224" i="5" s="1"/>
  <c r="M223" i="5"/>
  <c r="L223" i="5"/>
  <c r="C223" i="5"/>
  <c r="D223" i="5" s="1"/>
  <c r="F223" i="5" s="1"/>
  <c r="M222" i="5"/>
  <c r="L222" i="5"/>
  <c r="C222" i="5"/>
  <c r="D222" i="5" s="1"/>
  <c r="F222" i="5" s="1"/>
  <c r="M221" i="5"/>
  <c r="L221" i="5"/>
  <c r="C221" i="5"/>
  <c r="D221" i="5" s="1"/>
  <c r="F221" i="5" s="1"/>
  <c r="M220" i="5"/>
  <c r="L220" i="5"/>
  <c r="C220" i="5"/>
  <c r="D220" i="5" s="1"/>
  <c r="F220" i="5" s="1"/>
  <c r="M219" i="5"/>
  <c r="L219" i="5"/>
  <c r="C219" i="5"/>
  <c r="D219" i="5" s="1"/>
  <c r="F219" i="5" s="1"/>
  <c r="M218" i="5"/>
  <c r="L218" i="5"/>
  <c r="C218" i="5"/>
  <c r="D218" i="5" s="1"/>
  <c r="F218" i="5" s="1"/>
  <c r="M217" i="5"/>
  <c r="L217" i="5"/>
  <c r="C217" i="5"/>
  <c r="D217" i="5" s="1"/>
  <c r="F217" i="5" s="1"/>
  <c r="M216" i="5"/>
  <c r="L216" i="5"/>
  <c r="C216" i="5"/>
  <c r="D216" i="5" s="1"/>
  <c r="F216" i="5" s="1"/>
  <c r="M215" i="5"/>
  <c r="L215" i="5"/>
  <c r="C215" i="5"/>
  <c r="D215" i="5" s="1"/>
  <c r="F215" i="5" s="1"/>
  <c r="M214" i="5"/>
  <c r="L214" i="5"/>
  <c r="C214" i="5"/>
  <c r="D214" i="5" s="1"/>
  <c r="F214" i="5" s="1"/>
  <c r="M213" i="5"/>
  <c r="L213" i="5"/>
  <c r="C213" i="5"/>
  <c r="D213" i="5" s="1"/>
  <c r="F213" i="5" s="1"/>
  <c r="M212" i="5"/>
  <c r="L212" i="5"/>
  <c r="C212" i="5"/>
  <c r="D212" i="5" s="1"/>
  <c r="F212" i="5" s="1"/>
  <c r="M211" i="5"/>
  <c r="L211" i="5"/>
  <c r="C211" i="5"/>
  <c r="D211" i="5" s="1"/>
  <c r="F211" i="5" s="1"/>
  <c r="M210" i="5"/>
  <c r="L210" i="5"/>
  <c r="C210" i="5"/>
  <c r="D210" i="5" s="1"/>
  <c r="F210" i="5" s="1"/>
  <c r="M209" i="5"/>
  <c r="L209" i="5"/>
  <c r="C209" i="5"/>
  <c r="D209" i="5" s="1"/>
  <c r="F209" i="5" s="1"/>
  <c r="M208" i="5"/>
  <c r="L208" i="5"/>
  <c r="C208" i="5"/>
  <c r="D208" i="5" s="1"/>
  <c r="F208" i="5" s="1"/>
  <c r="M207" i="5"/>
  <c r="L207" i="5"/>
  <c r="C207" i="5"/>
  <c r="D207" i="5" s="1"/>
  <c r="F207" i="5" s="1"/>
  <c r="M206" i="5"/>
  <c r="L206" i="5"/>
  <c r="C206" i="5"/>
  <c r="D206" i="5" s="1"/>
  <c r="F206" i="5" s="1"/>
  <c r="M205" i="5"/>
  <c r="L205" i="5"/>
  <c r="C205" i="5"/>
  <c r="D205" i="5" s="1"/>
  <c r="F205" i="5" s="1"/>
  <c r="M204" i="5"/>
  <c r="L204" i="5"/>
  <c r="C204" i="5"/>
  <c r="D204" i="5" s="1"/>
  <c r="F204" i="5" s="1"/>
  <c r="M203" i="5"/>
  <c r="L203" i="5"/>
  <c r="C203" i="5"/>
  <c r="D203" i="5" s="1"/>
  <c r="F203" i="5" s="1"/>
  <c r="M202" i="5"/>
  <c r="L202" i="5"/>
  <c r="C202" i="5"/>
  <c r="D202" i="5" s="1"/>
  <c r="F202" i="5" s="1"/>
  <c r="M201" i="5"/>
  <c r="L201" i="5"/>
  <c r="C201" i="5"/>
  <c r="D201" i="5" s="1"/>
  <c r="F201" i="5" s="1"/>
  <c r="M200" i="5"/>
  <c r="L200" i="5"/>
  <c r="C200" i="5"/>
  <c r="D200" i="5" s="1"/>
  <c r="F200" i="5" s="1"/>
  <c r="M199" i="5"/>
  <c r="L199" i="5"/>
  <c r="C199" i="5"/>
  <c r="D199" i="5" s="1"/>
  <c r="F199" i="5" s="1"/>
  <c r="M198" i="5"/>
  <c r="L198" i="5"/>
  <c r="C198" i="5"/>
  <c r="D198" i="5" s="1"/>
  <c r="F198" i="5" s="1"/>
  <c r="M197" i="5"/>
  <c r="L197" i="5"/>
  <c r="C197" i="5"/>
  <c r="D197" i="5" s="1"/>
  <c r="F197" i="5" s="1"/>
  <c r="M196" i="5"/>
  <c r="L196" i="5"/>
  <c r="C196" i="5"/>
  <c r="D196" i="5" s="1"/>
  <c r="F196" i="5" s="1"/>
  <c r="M195" i="5"/>
  <c r="L195" i="5"/>
  <c r="C195" i="5"/>
  <c r="D195" i="5" s="1"/>
  <c r="F195" i="5" s="1"/>
  <c r="M194" i="5"/>
  <c r="L194" i="5"/>
  <c r="C194" i="5"/>
  <c r="D194" i="5" s="1"/>
  <c r="F194" i="5" s="1"/>
  <c r="M193" i="5"/>
  <c r="L193" i="5"/>
  <c r="C193" i="5"/>
  <c r="D193" i="5" s="1"/>
  <c r="F193" i="5" s="1"/>
  <c r="M192" i="5"/>
  <c r="L192" i="5"/>
  <c r="C192" i="5"/>
  <c r="D192" i="5" s="1"/>
  <c r="F192" i="5" s="1"/>
  <c r="M191" i="5"/>
  <c r="L191" i="5"/>
  <c r="C191" i="5"/>
  <c r="D191" i="5" s="1"/>
  <c r="F191" i="5" s="1"/>
  <c r="M190" i="5"/>
  <c r="L190" i="5"/>
  <c r="C190" i="5"/>
  <c r="D190" i="5" s="1"/>
  <c r="F190" i="5" s="1"/>
  <c r="M189" i="5"/>
  <c r="L189" i="5"/>
  <c r="C189" i="5"/>
  <c r="D189" i="5" s="1"/>
  <c r="F189" i="5" s="1"/>
  <c r="M188" i="5"/>
  <c r="L188" i="5"/>
  <c r="C188" i="5"/>
  <c r="D188" i="5" s="1"/>
  <c r="F188" i="5" s="1"/>
  <c r="M187" i="5"/>
  <c r="L187" i="5"/>
  <c r="C187" i="5"/>
  <c r="D187" i="5" s="1"/>
  <c r="F187" i="5" s="1"/>
  <c r="M186" i="5"/>
  <c r="L186" i="5"/>
  <c r="C186" i="5"/>
  <c r="D186" i="5" s="1"/>
  <c r="F186" i="5" s="1"/>
  <c r="M185" i="5"/>
  <c r="L185" i="5"/>
  <c r="C185" i="5"/>
  <c r="D185" i="5" s="1"/>
  <c r="F185" i="5" s="1"/>
  <c r="M184" i="5"/>
  <c r="L184" i="5"/>
  <c r="C184" i="5"/>
  <c r="D184" i="5" s="1"/>
  <c r="F184" i="5" s="1"/>
  <c r="M183" i="5"/>
  <c r="L183" i="5"/>
  <c r="C183" i="5"/>
  <c r="D183" i="5" s="1"/>
  <c r="F183" i="5" s="1"/>
  <c r="M182" i="5"/>
  <c r="L182" i="5"/>
  <c r="C182" i="5"/>
  <c r="D182" i="5" s="1"/>
  <c r="F182" i="5" s="1"/>
  <c r="M181" i="5"/>
  <c r="L181" i="5"/>
  <c r="C181" i="5"/>
  <c r="D181" i="5" s="1"/>
  <c r="F181" i="5" s="1"/>
  <c r="M180" i="5"/>
  <c r="L180" i="5"/>
  <c r="C180" i="5"/>
  <c r="D180" i="5" s="1"/>
  <c r="F180" i="5" s="1"/>
  <c r="M179" i="5"/>
  <c r="L179" i="5"/>
  <c r="C179" i="5"/>
  <c r="D179" i="5" s="1"/>
  <c r="F179" i="5" s="1"/>
  <c r="M178" i="5"/>
  <c r="L178" i="5"/>
  <c r="C178" i="5"/>
  <c r="D178" i="5" s="1"/>
  <c r="F178" i="5" s="1"/>
  <c r="M177" i="5"/>
  <c r="L177" i="5"/>
  <c r="C177" i="5"/>
  <c r="D177" i="5" s="1"/>
  <c r="F177" i="5" s="1"/>
  <c r="M176" i="5"/>
  <c r="L176" i="5"/>
  <c r="C176" i="5"/>
  <c r="D176" i="5" s="1"/>
  <c r="F176" i="5" s="1"/>
  <c r="M175" i="5"/>
  <c r="L175" i="5"/>
  <c r="C175" i="5"/>
  <c r="D175" i="5" s="1"/>
  <c r="F175" i="5" s="1"/>
  <c r="M174" i="5"/>
  <c r="L174" i="5"/>
  <c r="C174" i="5"/>
  <c r="D174" i="5" s="1"/>
  <c r="F174" i="5" s="1"/>
  <c r="M173" i="5"/>
  <c r="L173" i="5"/>
  <c r="C173" i="5"/>
  <c r="D173" i="5" s="1"/>
  <c r="F173" i="5" s="1"/>
  <c r="M172" i="5"/>
  <c r="L172" i="5"/>
  <c r="C172" i="5"/>
  <c r="D172" i="5" s="1"/>
  <c r="F172" i="5" s="1"/>
  <c r="M171" i="5"/>
  <c r="L171" i="5"/>
  <c r="C171" i="5"/>
  <c r="D171" i="5" s="1"/>
  <c r="F171" i="5" s="1"/>
  <c r="M170" i="5"/>
  <c r="L170" i="5"/>
  <c r="C170" i="5"/>
  <c r="D170" i="5" s="1"/>
  <c r="F170" i="5" s="1"/>
  <c r="M169" i="5"/>
  <c r="L169" i="5"/>
  <c r="C169" i="5"/>
  <c r="D169" i="5" s="1"/>
  <c r="F169" i="5" s="1"/>
  <c r="M168" i="5"/>
  <c r="L168" i="5"/>
  <c r="C168" i="5"/>
  <c r="D168" i="5" s="1"/>
  <c r="F168" i="5" s="1"/>
  <c r="M167" i="5"/>
  <c r="L167" i="5"/>
  <c r="C167" i="5"/>
  <c r="D167" i="5" s="1"/>
  <c r="F167" i="5" s="1"/>
  <c r="M166" i="5"/>
  <c r="L166" i="5"/>
  <c r="C166" i="5"/>
  <c r="D166" i="5" s="1"/>
  <c r="F166" i="5" s="1"/>
  <c r="M165" i="5"/>
  <c r="L165" i="5"/>
  <c r="C165" i="5"/>
  <c r="D165" i="5" s="1"/>
  <c r="F165" i="5" s="1"/>
  <c r="M164" i="5"/>
  <c r="L164" i="5"/>
  <c r="C164" i="5"/>
  <c r="D164" i="5" s="1"/>
  <c r="F164" i="5" s="1"/>
  <c r="M163" i="5"/>
  <c r="L163" i="5"/>
  <c r="C163" i="5"/>
  <c r="D163" i="5" s="1"/>
  <c r="F163" i="5" s="1"/>
  <c r="M162" i="5"/>
  <c r="L162" i="5"/>
  <c r="C162" i="5"/>
  <c r="D162" i="5" s="1"/>
  <c r="F162" i="5" s="1"/>
  <c r="M161" i="5"/>
  <c r="L161" i="5"/>
  <c r="C161" i="5"/>
  <c r="D161" i="5" s="1"/>
  <c r="F161" i="5" s="1"/>
  <c r="M160" i="5"/>
  <c r="L160" i="5"/>
  <c r="C160" i="5"/>
  <c r="D160" i="5" s="1"/>
  <c r="F160" i="5" s="1"/>
  <c r="M159" i="5"/>
  <c r="L159" i="5"/>
  <c r="C159" i="5"/>
  <c r="D159" i="5" s="1"/>
  <c r="F159" i="5" s="1"/>
  <c r="M158" i="5"/>
  <c r="L158" i="5"/>
  <c r="C158" i="5"/>
  <c r="D158" i="5" s="1"/>
  <c r="F158" i="5" s="1"/>
  <c r="M157" i="5"/>
  <c r="L157" i="5"/>
  <c r="C157" i="5"/>
  <c r="D157" i="5" s="1"/>
  <c r="F157" i="5" s="1"/>
  <c r="M156" i="5"/>
  <c r="L156" i="5"/>
  <c r="C156" i="5"/>
  <c r="D156" i="5" s="1"/>
  <c r="F156" i="5" s="1"/>
  <c r="M155" i="5"/>
  <c r="L155" i="5"/>
  <c r="C155" i="5"/>
  <c r="D155" i="5" s="1"/>
  <c r="F155" i="5" s="1"/>
  <c r="M154" i="5"/>
  <c r="L154" i="5"/>
  <c r="C154" i="5"/>
  <c r="D154" i="5" s="1"/>
  <c r="F154" i="5" s="1"/>
  <c r="M153" i="5"/>
  <c r="L153" i="5"/>
  <c r="C153" i="5"/>
  <c r="D153" i="5" s="1"/>
  <c r="F153" i="5" s="1"/>
  <c r="M152" i="5"/>
  <c r="L152" i="5"/>
  <c r="C152" i="5"/>
  <c r="D152" i="5" s="1"/>
  <c r="F152" i="5" s="1"/>
  <c r="M151" i="5"/>
  <c r="L151" i="5"/>
  <c r="C151" i="5"/>
  <c r="D151" i="5" s="1"/>
  <c r="F151" i="5" s="1"/>
  <c r="M150" i="5"/>
  <c r="L150" i="5"/>
  <c r="C150" i="5"/>
  <c r="D150" i="5" s="1"/>
  <c r="F150" i="5" s="1"/>
  <c r="M149" i="5"/>
  <c r="L149" i="5"/>
  <c r="C149" i="5"/>
  <c r="D149" i="5" s="1"/>
  <c r="F149" i="5" s="1"/>
  <c r="M148" i="5"/>
  <c r="L148" i="5"/>
  <c r="C148" i="5"/>
  <c r="D148" i="5" s="1"/>
  <c r="F148" i="5" s="1"/>
  <c r="M147" i="5"/>
  <c r="L147" i="5"/>
  <c r="C147" i="5"/>
  <c r="D147" i="5" s="1"/>
  <c r="F147" i="5" s="1"/>
  <c r="M146" i="5"/>
  <c r="L146" i="5"/>
  <c r="C146" i="5"/>
  <c r="D146" i="5" s="1"/>
  <c r="F146" i="5" s="1"/>
  <c r="M145" i="5"/>
  <c r="L145" i="5"/>
  <c r="C145" i="5"/>
  <c r="D145" i="5" s="1"/>
  <c r="F145" i="5" s="1"/>
  <c r="M144" i="5"/>
  <c r="L144" i="5"/>
  <c r="C144" i="5"/>
  <c r="D144" i="5" s="1"/>
  <c r="F144" i="5" s="1"/>
  <c r="M143" i="5"/>
  <c r="L143" i="5"/>
  <c r="C143" i="5"/>
  <c r="D143" i="5" s="1"/>
  <c r="F143" i="5" s="1"/>
  <c r="M142" i="5"/>
  <c r="L142" i="5"/>
  <c r="C142" i="5"/>
  <c r="D142" i="5" s="1"/>
  <c r="F142" i="5" s="1"/>
  <c r="M141" i="5"/>
  <c r="L141" i="5"/>
  <c r="C141" i="5"/>
  <c r="D141" i="5" s="1"/>
  <c r="F141" i="5" s="1"/>
  <c r="M140" i="5"/>
  <c r="L140" i="5"/>
  <c r="C140" i="5"/>
  <c r="D140" i="5" s="1"/>
  <c r="F140" i="5" s="1"/>
  <c r="M139" i="5"/>
  <c r="L139" i="5"/>
  <c r="C139" i="5"/>
  <c r="D139" i="5" s="1"/>
  <c r="F139" i="5" s="1"/>
  <c r="M138" i="5"/>
  <c r="L138" i="5"/>
  <c r="C138" i="5"/>
  <c r="D138" i="5" s="1"/>
  <c r="F138" i="5" s="1"/>
  <c r="M137" i="5"/>
  <c r="L137" i="5"/>
  <c r="C137" i="5"/>
  <c r="D137" i="5" s="1"/>
  <c r="F137" i="5" s="1"/>
  <c r="M136" i="5"/>
  <c r="L136" i="5"/>
  <c r="C136" i="5"/>
  <c r="D136" i="5" s="1"/>
  <c r="F136" i="5" s="1"/>
  <c r="M135" i="5"/>
  <c r="L135" i="5"/>
  <c r="C135" i="5"/>
  <c r="D135" i="5" s="1"/>
  <c r="F135" i="5" s="1"/>
  <c r="M134" i="5"/>
  <c r="L134" i="5"/>
  <c r="C134" i="5"/>
  <c r="D134" i="5" s="1"/>
  <c r="F134" i="5" s="1"/>
  <c r="M133" i="5"/>
  <c r="L133" i="5"/>
  <c r="C133" i="5"/>
  <c r="D133" i="5" s="1"/>
  <c r="F133" i="5" s="1"/>
  <c r="M132" i="5"/>
  <c r="L132" i="5"/>
  <c r="C132" i="5"/>
  <c r="D132" i="5" s="1"/>
  <c r="F132" i="5" s="1"/>
  <c r="M131" i="5"/>
  <c r="L131" i="5"/>
  <c r="C131" i="5"/>
  <c r="D131" i="5" s="1"/>
  <c r="F131" i="5" s="1"/>
  <c r="M130" i="5"/>
  <c r="L130" i="5"/>
  <c r="C130" i="5"/>
  <c r="D130" i="5" s="1"/>
  <c r="F130" i="5" s="1"/>
  <c r="M129" i="5"/>
  <c r="L129" i="5"/>
  <c r="C129" i="5"/>
  <c r="D129" i="5" s="1"/>
  <c r="F129" i="5" s="1"/>
  <c r="M128" i="5"/>
  <c r="L128" i="5"/>
  <c r="C128" i="5"/>
  <c r="D128" i="5" s="1"/>
  <c r="F128" i="5" s="1"/>
  <c r="M127" i="5"/>
  <c r="L127" i="5"/>
  <c r="C127" i="5"/>
  <c r="D127" i="5" s="1"/>
  <c r="F127" i="5" s="1"/>
  <c r="M126" i="5"/>
  <c r="L126" i="5"/>
  <c r="C126" i="5"/>
  <c r="D126" i="5" s="1"/>
  <c r="F126" i="5" s="1"/>
  <c r="M125" i="5"/>
  <c r="L125" i="5"/>
  <c r="C125" i="5"/>
  <c r="D125" i="5" s="1"/>
  <c r="F125" i="5" s="1"/>
  <c r="M124" i="5"/>
  <c r="L124" i="5"/>
  <c r="C124" i="5"/>
  <c r="D124" i="5" s="1"/>
  <c r="F124" i="5" s="1"/>
  <c r="M123" i="5"/>
  <c r="L123" i="5"/>
  <c r="C123" i="5"/>
  <c r="D123" i="5" s="1"/>
  <c r="F123" i="5" s="1"/>
  <c r="M122" i="5"/>
  <c r="L122" i="5"/>
  <c r="C122" i="5"/>
  <c r="D122" i="5" s="1"/>
  <c r="F122" i="5" s="1"/>
  <c r="M121" i="5"/>
  <c r="L121" i="5"/>
  <c r="C121" i="5"/>
  <c r="D121" i="5" s="1"/>
  <c r="F121" i="5" s="1"/>
  <c r="M120" i="5"/>
  <c r="L120" i="5"/>
  <c r="C120" i="5"/>
  <c r="D120" i="5" s="1"/>
  <c r="F120" i="5" s="1"/>
  <c r="M119" i="5"/>
  <c r="L119" i="5"/>
  <c r="C119" i="5"/>
  <c r="D119" i="5" s="1"/>
  <c r="F119" i="5" s="1"/>
  <c r="M118" i="5"/>
  <c r="L118" i="5"/>
  <c r="C118" i="5"/>
  <c r="D118" i="5" s="1"/>
  <c r="F118" i="5" s="1"/>
  <c r="M117" i="5"/>
  <c r="L117" i="5"/>
  <c r="C117" i="5"/>
  <c r="D117" i="5" s="1"/>
  <c r="F117" i="5" s="1"/>
  <c r="M116" i="5"/>
  <c r="L116" i="5"/>
  <c r="C116" i="5"/>
  <c r="D116" i="5" s="1"/>
  <c r="F116" i="5" s="1"/>
  <c r="M115" i="5"/>
  <c r="L115" i="5"/>
  <c r="C115" i="5"/>
  <c r="D115" i="5" s="1"/>
  <c r="F115" i="5" s="1"/>
  <c r="M114" i="5"/>
  <c r="L114" i="5"/>
  <c r="C114" i="5"/>
  <c r="D114" i="5" s="1"/>
  <c r="F114" i="5" s="1"/>
  <c r="M113" i="5"/>
  <c r="L113" i="5"/>
  <c r="C113" i="5"/>
  <c r="D113" i="5" s="1"/>
  <c r="F113" i="5" s="1"/>
  <c r="M112" i="5"/>
  <c r="L112" i="5"/>
  <c r="C112" i="5"/>
  <c r="D112" i="5" s="1"/>
  <c r="F112" i="5" s="1"/>
  <c r="M111" i="5"/>
  <c r="L111" i="5"/>
  <c r="C111" i="5"/>
  <c r="D111" i="5" s="1"/>
  <c r="F111" i="5" s="1"/>
  <c r="M110" i="5"/>
  <c r="L110" i="5"/>
  <c r="C110" i="5"/>
  <c r="D110" i="5" s="1"/>
  <c r="F110" i="5" s="1"/>
  <c r="M109" i="5"/>
  <c r="L109" i="5"/>
  <c r="C109" i="5"/>
  <c r="D109" i="5" s="1"/>
  <c r="F109" i="5" s="1"/>
  <c r="M108" i="5"/>
  <c r="L108" i="5"/>
  <c r="C108" i="5"/>
  <c r="D108" i="5" s="1"/>
  <c r="F108" i="5" s="1"/>
  <c r="M107" i="5"/>
  <c r="L107" i="5"/>
  <c r="C107" i="5"/>
  <c r="D107" i="5" s="1"/>
  <c r="F107" i="5" s="1"/>
  <c r="M106" i="5"/>
  <c r="L106" i="5"/>
  <c r="C106" i="5"/>
  <c r="D106" i="5" s="1"/>
  <c r="F106" i="5" s="1"/>
  <c r="M105" i="5"/>
  <c r="L105" i="5"/>
  <c r="C105" i="5"/>
  <c r="D105" i="5" s="1"/>
  <c r="F105" i="5" s="1"/>
  <c r="M104" i="5"/>
  <c r="L104" i="5"/>
  <c r="C104" i="5"/>
  <c r="D104" i="5" s="1"/>
  <c r="F104" i="5" s="1"/>
  <c r="M103" i="5"/>
  <c r="L103" i="5"/>
  <c r="C103" i="5"/>
  <c r="D103" i="5" s="1"/>
  <c r="F103" i="5" s="1"/>
  <c r="M102" i="5"/>
  <c r="L102" i="5"/>
  <c r="C102" i="5"/>
  <c r="D102" i="5" s="1"/>
  <c r="F102" i="5" s="1"/>
  <c r="M101" i="5"/>
  <c r="L101" i="5"/>
  <c r="C101" i="5"/>
  <c r="D101" i="5" s="1"/>
  <c r="F101" i="5" s="1"/>
  <c r="M100" i="5"/>
  <c r="L100" i="5"/>
  <c r="C100" i="5"/>
  <c r="D100" i="5" s="1"/>
  <c r="F100" i="5" s="1"/>
  <c r="M99" i="5"/>
  <c r="L99" i="5"/>
  <c r="C99" i="5"/>
  <c r="D99" i="5" s="1"/>
  <c r="F99" i="5" s="1"/>
  <c r="M98" i="5"/>
  <c r="L98" i="5"/>
  <c r="C98" i="5"/>
  <c r="D98" i="5" s="1"/>
  <c r="F98" i="5" s="1"/>
  <c r="M97" i="5"/>
  <c r="L97" i="5"/>
  <c r="C97" i="5"/>
  <c r="D97" i="5" s="1"/>
  <c r="F97" i="5" s="1"/>
  <c r="M96" i="5"/>
  <c r="L96" i="5"/>
  <c r="C96" i="5"/>
  <c r="D96" i="5" s="1"/>
  <c r="F96" i="5" s="1"/>
  <c r="M95" i="5"/>
  <c r="L95" i="5"/>
  <c r="C95" i="5"/>
  <c r="D95" i="5" s="1"/>
  <c r="F95" i="5" s="1"/>
  <c r="M94" i="5"/>
  <c r="L94" i="5"/>
  <c r="C94" i="5"/>
  <c r="D94" i="5" s="1"/>
  <c r="F94" i="5" s="1"/>
  <c r="M93" i="5"/>
  <c r="L93" i="5"/>
  <c r="C93" i="5"/>
  <c r="D93" i="5" s="1"/>
  <c r="F93" i="5" s="1"/>
  <c r="M92" i="5"/>
  <c r="L92" i="5"/>
  <c r="C92" i="5"/>
  <c r="D92" i="5" s="1"/>
  <c r="F92" i="5" s="1"/>
  <c r="M91" i="5"/>
  <c r="L91" i="5"/>
  <c r="C91" i="5"/>
  <c r="D91" i="5" s="1"/>
  <c r="F91" i="5" s="1"/>
  <c r="M90" i="5"/>
  <c r="L90" i="5"/>
  <c r="C90" i="5"/>
  <c r="D90" i="5" s="1"/>
  <c r="F90" i="5" s="1"/>
  <c r="M89" i="5"/>
  <c r="L89" i="5"/>
  <c r="C89" i="5"/>
  <c r="D89" i="5" s="1"/>
  <c r="F89" i="5" s="1"/>
  <c r="M88" i="5"/>
  <c r="L88" i="5"/>
  <c r="C88" i="5"/>
  <c r="D88" i="5" s="1"/>
  <c r="F88" i="5" s="1"/>
  <c r="M87" i="5"/>
  <c r="L87" i="5"/>
  <c r="C87" i="5"/>
  <c r="D87" i="5" s="1"/>
  <c r="F87" i="5" s="1"/>
  <c r="M86" i="5"/>
  <c r="L86" i="5"/>
  <c r="C86" i="5"/>
  <c r="D86" i="5" s="1"/>
  <c r="F86" i="5" s="1"/>
  <c r="M85" i="5"/>
  <c r="L85" i="5"/>
  <c r="C85" i="5"/>
  <c r="D85" i="5" s="1"/>
  <c r="F85" i="5" s="1"/>
  <c r="M84" i="5"/>
  <c r="L84" i="5"/>
  <c r="C84" i="5"/>
  <c r="D84" i="5" s="1"/>
  <c r="F84" i="5" s="1"/>
  <c r="M83" i="5"/>
  <c r="L83" i="5"/>
  <c r="C83" i="5"/>
  <c r="D83" i="5" s="1"/>
  <c r="F83" i="5" s="1"/>
  <c r="M82" i="5"/>
  <c r="L82" i="5"/>
  <c r="C82" i="5"/>
  <c r="D82" i="5" s="1"/>
  <c r="F82" i="5" s="1"/>
  <c r="M81" i="5"/>
  <c r="L81" i="5"/>
  <c r="C81" i="5"/>
  <c r="D81" i="5" s="1"/>
  <c r="F81" i="5" s="1"/>
  <c r="M80" i="5"/>
  <c r="L80" i="5"/>
  <c r="C80" i="5"/>
  <c r="D80" i="5" s="1"/>
  <c r="F80" i="5" s="1"/>
  <c r="M79" i="5"/>
  <c r="L79" i="5"/>
  <c r="C79" i="5"/>
  <c r="D79" i="5" s="1"/>
  <c r="F79" i="5" s="1"/>
  <c r="M78" i="5"/>
  <c r="L78" i="5"/>
  <c r="C78" i="5"/>
  <c r="D78" i="5" s="1"/>
  <c r="F78" i="5" s="1"/>
  <c r="M77" i="5"/>
  <c r="L77" i="5"/>
  <c r="C77" i="5"/>
  <c r="D77" i="5" s="1"/>
  <c r="F77" i="5" s="1"/>
  <c r="M76" i="5"/>
  <c r="L76" i="5"/>
  <c r="C76" i="5"/>
  <c r="D76" i="5" s="1"/>
  <c r="F76" i="5" s="1"/>
  <c r="M75" i="5"/>
  <c r="L75" i="5"/>
  <c r="C75" i="5"/>
  <c r="D75" i="5" s="1"/>
  <c r="F75" i="5" s="1"/>
  <c r="M74" i="5"/>
  <c r="L74" i="5"/>
  <c r="C74" i="5"/>
  <c r="D74" i="5" s="1"/>
  <c r="F74" i="5" s="1"/>
  <c r="M73" i="5"/>
  <c r="L73" i="5"/>
  <c r="C73" i="5"/>
  <c r="D73" i="5" s="1"/>
  <c r="F73" i="5" s="1"/>
  <c r="M72" i="5"/>
  <c r="L72" i="5"/>
  <c r="C72" i="5"/>
  <c r="D72" i="5" s="1"/>
  <c r="F72" i="5" s="1"/>
  <c r="M71" i="5"/>
  <c r="L71" i="5"/>
  <c r="C71" i="5"/>
  <c r="D71" i="5" s="1"/>
  <c r="F71" i="5" s="1"/>
  <c r="M70" i="5"/>
  <c r="L70" i="5"/>
  <c r="C70" i="5"/>
  <c r="D70" i="5" s="1"/>
  <c r="F70" i="5" s="1"/>
  <c r="M69" i="5"/>
  <c r="L69" i="5"/>
  <c r="C69" i="5"/>
  <c r="D69" i="5" s="1"/>
  <c r="F69" i="5" s="1"/>
  <c r="M68" i="5"/>
  <c r="L68" i="5"/>
  <c r="D68" i="5"/>
  <c r="F68" i="5" s="1"/>
  <c r="C68" i="5"/>
  <c r="M67" i="5"/>
  <c r="L67" i="5"/>
  <c r="C67" i="5"/>
  <c r="D67" i="5" s="1"/>
  <c r="F67" i="5" s="1"/>
  <c r="M66" i="5"/>
  <c r="L66" i="5"/>
  <c r="C66" i="5"/>
  <c r="D66" i="5" s="1"/>
  <c r="F66" i="5" s="1"/>
  <c r="M65" i="5"/>
  <c r="L65" i="5"/>
  <c r="C65" i="5"/>
  <c r="D65" i="5" s="1"/>
  <c r="F65" i="5" s="1"/>
  <c r="M64" i="5"/>
  <c r="L64" i="5"/>
  <c r="C64" i="5"/>
  <c r="D64" i="5" s="1"/>
  <c r="F64" i="5" s="1"/>
  <c r="M63" i="5"/>
  <c r="L63" i="5"/>
  <c r="C63" i="5"/>
  <c r="D63" i="5" s="1"/>
  <c r="F63" i="5" s="1"/>
  <c r="M62" i="5"/>
  <c r="L62" i="5"/>
  <c r="C62" i="5"/>
  <c r="D62" i="5" s="1"/>
  <c r="F62" i="5" s="1"/>
  <c r="M61" i="5"/>
  <c r="L61" i="5"/>
  <c r="C61" i="5"/>
  <c r="D61" i="5" s="1"/>
  <c r="F61" i="5" s="1"/>
  <c r="M60" i="5"/>
  <c r="L60" i="5"/>
  <c r="D60" i="5"/>
  <c r="F60" i="5" s="1"/>
  <c r="C60" i="5"/>
  <c r="M59" i="5"/>
  <c r="L59" i="5"/>
  <c r="C59" i="5"/>
  <c r="D59" i="5" s="1"/>
  <c r="F59" i="5" s="1"/>
  <c r="M58" i="5"/>
  <c r="L58" i="5"/>
  <c r="C58" i="5"/>
  <c r="D58" i="5" s="1"/>
  <c r="F58" i="5" s="1"/>
  <c r="M57" i="5"/>
  <c r="L57" i="5"/>
  <c r="C57" i="5"/>
  <c r="D57" i="5" s="1"/>
  <c r="F57" i="5" s="1"/>
  <c r="M56" i="5"/>
  <c r="L56" i="5"/>
  <c r="C56" i="5"/>
  <c r="D56" i="5" s="1"/>
  <c r="F56" i="5" s="1"/>
  <c r="M55" i="5"/>
  <c r="L55" i="5"/>
  <c r="C55" i="5"/>
  <c r="D55" i="5" s="1"/>
  <c r="F55" i="5" s="1"/>
  <c r="M54" i="5"/>
  <c r="L54" i="5"/>
  <c r="C54" i="5"/>
  <c r="D54" i="5" s="1"/>
  <c r="F54" i="5" s="1"/>
  <c r="M53" i="5"/>
  <c r="L53" i="5"/>
  <c r="C53" i="5"/>
  <c r="D53" i="5" s="1"/>
  <c r="F53" i="5" s="1"/>
  <c r="M52" i="5"/>
  <c r="L52" i="5"/>
  <c r="D52" i="5"/>
  <c r="F52" i="5" s="1"/>
  <c r="C52" i="5"/>
  <c r="M51" i="5"/>
  <c r="L51" i="5"/>
  <c r="C51" i="5"/>
  <c r="D51" i="5" s="1"/>
  <c r="F51" i="5" s="1"/>
  <c r="M50" i="5"/>
  <c r="L50" i="5"/>
  <c r="C50" i="5"/>
  <c r="D50" i="5" s="1"/>
  <c r="F50" i="5" s="1"/>
  <c r="M49" i="5"/>
  <c r="L49" i="5"/>
  <c r="C49" i="5"/>
  <c r="D49" i="5" s="1"/>
  <c r="F49" i="5" s="1"/>
  <c r="M48" i="5"/>
  <c r="L48" i="5"/>
  <c r="C48" i="5"/>
  <c r="D48" i="5" s="1"/>
  <c r="F48" i="5" s="1"/>
  <c r="M47" i="5"/>
  <c r="L47" i="5"/>
  <c r="C47" i="5"/>
  <c r="D47" i="5" s="1"/>
  <c r="F47" i="5" s="1"/>
  <c r="M46" i="5"/>
  <c r="L46" i="5"/>
  <c r="C46" i="5"/>
  <c r="D46" i="5" s="1"/>
  <c r="F46" i="5" s="1"/>
  <c r="M45" i="5"/>
  <c r="L45" i="5"/>
  <c r="C45" i="5"/>
  <c r="D45" i="5" s="1"/>
  <c r="F45" i="5" s="1"/>
  <c r="M44" i="5"/>
  <c r="L44" i="5"/>
  <c r="D44" i="5"/>
  <c r="F44" i="5" s="1"/>
  <c r="C44" i="5"/>
  <c r="M43" i="5"/>
  <c r="L43" i="5"/>
  <c r="C43" i="5"/>
  <c r="D43" i="5" s="1"/>
  <c r="F43" i="5" s="1"/>
  <c r="M42" i="5"/>
  <c r="L42" i="5"/>
  <c r="C42" i="5"/>
  <c r="D42" i="5" s="1"/>
  <c r="F42" i="5" s="1"/>
  <c r="M41" i="5"/>
  <c r="L41" i="5"/>
  <c r="C41" i="5"/>
  <c r="D41" i="5" s="1"/>
  <c r="F41" i="5" s="1"/>
  <c r="M40" i="5"/>
  <c r="L40" i="5"/>
  <c r="C40" i="5"/>
  <c r="D40" i="5" s="1"/>
  <c r="F40" i="5" s="1"/>
  <c r="M39" i="5"/>
  <c r="L39" i="5"/>
  <c r="C39" i="5"/>
  <c r="D39" i="5" s="1"/>
  <c r="F39" i="5" s="1"/>
  <c r="M38" i="5"/>
  <c r="L38" i="5"/>
  <c r="C38" i="5"/>
  <c r="D38" i="5" s="1"/>
  <c r="F38" i="5" s="1"/>
  <c r="M37" i="5"/>
  <c r="L37" i="5"/>
  <c r="C37" i="5"/>
  <c r="D37" i="5" s="1"/>
  <c r="F37" i="5" s="1"/>
  <c r="M36" i="5"/>
  <c r="L36" i="5"/>
  <c r="D36" i="5"/>
  <c r="F36" i="5" s="1"/>
  <c r="C36" i="5"/>
  <c r="M35" i="5"/>
  <c r="L35" i="5"/>
  <c r="C35" i="5"/>
  <c r="D35" i="5" s="1"/>
  <c r="F35" i="5" s="1"/>
  <c r="M34" i="5"/>
  <c r="L34" i="5"/>
  <c r="C34" i="5"/>
  <c r="D34" i="5" s="1"/>
  <c r="F34" i="5" s="1"/>
  <c r="M33" i="5"/>
  <c r="L33" i="5"/>
  <c r="C33" i="5"/>
  <c r="D33" i="5" s="1"/>
  <c r="F33" i="5" s="1"/>
  <c r="M32" i="5"/>
  <c r="L32" i="5"/>
  <c r="C32" i="5"/>
  <c r="D32" i="5" s="1"/>
  <c r="F32" i="5" s="1"/>
  <c r="M31" i="5"/>
  <c r="L31" i="5"/>
  <c r="C31" i="5"/>
  <c r="D31" i="5" s="1"/>
  <c r="F31" i="5" s="1"/>
  <c r="M30" i="5"/>
  <c r="L30" i="5"/>
  <c r="C30" i="5"/>
  <c r="D30" i="5" s="1"/>
  <c r="F30" i="5" s="1"/>
  <c r="M29" i="5"/>
  <c r="L29" i="5"/>
  <c r="C29" i="5"/>
  <c r="D29" i="5" s="1"/>
  <c r="F29" i="5" s="1"/>
  <c r="M28" i="5"/>
  <c r="L28" i="5"/>
  <c r="D28" i="5"/>
  <c r="F28" i="5" s="1"/>
  <c r="C28" i="5"/>
  <c r="M27" i="5"/>
  <c r="L27" i="5"/>
  <c r="C27" i="5"/>
  <c r="D27" i="5" s="1"/>
  <c r="F27" i="5" s="1"/>
  <c r="M26" i="5"/>
  <c r="L26" i="5"/>
  <c r="C26" i="5"/>
  <c r="D26" i="5" s="1"/>
  <c r="F26" i="5" s="1"/>
  <c r="M25" i="5"/>
  <c r="L25" i="5"/>
  <c r="C25" i="5"/>
  <c r="D25" i="5" s="1"/>
  <c r="F25" i="5" s="1"/>
  <c r="M24" i="5"/>
  <c r="L24" i="5"/>
  <c r="C24" i="5"/>
  <c r="D24" i="5" s="1"/>
  <c r="F24" i="5" s="1"/>
  <c r="M23" i="5"/>
  <c r="L23" i="5"/>
  <c r="C23" i="5"/>
  <c r="D23" i="5" s="1"/>
  <c r="F23" i="5" s="1"/>
  <c r="M22" i="5"/>
  <c r="L22" i="5"/>
  <c r="C22" i="5"/>
  <c r="D22" i="5" s="1"/>
  <c r="F22" i="5" s="1"/>
  <c r="M21" i="5"/>
  <c r="L21" i="5"/>
  <c r="C21" i="5"/>
  <c r="D21" i="5" s="1"/>
  <c r="F21" i="5" s="1"/>
  <c r="M20" i="5"/>
  <c r="L20" i="5"/>
  <c r="D20" i="5"/>
  <c r="F20" i="5" s="1"/>
  <c r="C20" i="5"/>
  <c r="M19" i="5"/>
  <c r="L19" i="5"/>
  <c r="C19" i="5"/>
  <c r="D19" i="5" s="1"/>
  <c r="F19" i="5" s="1"/>
  <c r="M18" i="5"/>
  <c r="L18" i="5"/>
  <c r="C18" i="5"/>
  <c r="D18" i="5" s="1"/>
  <c r="F18" i="5" s="1"/>
  <c r="M17" i="5"/>
  <c r="L17" i="5"/>
  <c r="C17" i="5"/>
  <c r="D17" i="5" s="1"/>
  <c r="F17" i="5" s="1"/>
  <c r="M16" i="5"/>
  <c r="L16" i="5"/>
  <c r="C16" i="5"/>
  <c r="D16" i="5" s="1"/>
  <c r="F16" i="5" s="1"/>
  <c r="M15" i="5"/>
  <c r="L15" i="5"/>
  <c r="C15" i="5"/>
  <c r="D15" i="5" s="1"/>
  <c r="F15" i="5" s="1"/>
  <c r="M14" i="5"/>
  <c r="L14" i="5"/>
  <c r="C14" i="5"/>
  <c r="D14" i="5" s="1"/>
  <c r="F14" i="5" s="1"/>
  <c r="M13" i="5"/>
  <c r="L13" i="5"/>
  <c r="C13" i="5"/>
  <c r="D13" i="5" s="1"/>
  <c r="F13" i="5" s="1"/>
  <c r="M12" i="5"/>
  <c r="L12" i="5"/>
  <c r="D12" i="5"/>
  <c r="F12" i="5" s="1"/>
  <c r="C12" i="5"/>
  <c r="M11" i="5"/>
  <c r="L11" i="5"/>
  <c r="C11" i="5"/>
  <c r="D11" i="5" s="1"/>
  <c r="F11" i="5" s="1"/>
  <c r="M10" i="5"/>
  <c r="L10" i="5"/>
  <c r="C10" i="5"/>
  <c r="D10" i="5" s="1"/>
  <c r="F10" i="5" s="1"/>
  <c r="M9" i="5"/>
  <c r="L9" i="5"/>
  <c r="C9" i="5"/>
  <c r="D9" i="5" s="1"/>
  <c r="F9" i="5" s="1"/>
  <c r="M8" i="5"/>
  <c r="L8" i="5"/>
  <c r="C8" i="5"/>
  <c r="D8" i="5" s="1"/>
  <c r="F8" i="5" s="1"/>
  <c r="M7" i="5"/>
  <c r="L7" i="5"/>
  <c r="C7" i="5"/>
  <c r="D7" i="5" s="1"/>
  <c r="F7" i="5" s="1"/>
  <c r="M6" i="5"/>
  <c r="L6" i="5"/>
  <c r="C6" i="5"/>
  <c r="D6" i="5" s="1"/>
  <c r="F6" i="5" s="1"/>
  <c r="M5" i="5"/>
  <c r="L5" i="5"/>
  <c r="C5" i="5"/>
  <c r="D5" i="5" s="1"/>
  <c r="F5" i="5" s="1"/>
  <c r="M4" i="5"/>
  <c r="L4" i="5"/>
  <c r="D4" i="5"/>
  <c r="F4" i="5" s="1"/>
  <c r="C4" i="5"/>
  <c r="M3" i="5"/>
  <c r="L3" i="5"/>
  <c r="C3" i="5"/>
  <c r="D3" i="5" s="1"/>
  <c r="F3" i="5" s="1"/>
  <c r="M2" i="5"/>
  <c r="L2" i="5"/>
  <c r="C2" i="5"/>
  <c r="D2" i="5" s="1"/>
  <c r="F2" i="5" s="1"/>
  <c r="M12" i="16" l="1"/>
  <c r="M11" i="16"/>
  <c r="L12" i="16"/>
  <c r="L11" i="16"/>
  <c r="K12" i="16"/>
  <c r="K11" i="16"/>
  <c r="J12" i="16"/>
  <c r="J11" i="16"/>
  <c r="I12" i="16"/>
  <c r="I11" i="16"/>
  <c r="H12" i="16"/>
  <c r="H11" i="16"/>
  <c r="G12" i="16"/>
  <c r="G11" i="16"/>
  <c r="F12" i="16"/>
  <c r="F11" i="16"/>
  <c r="E12" i="16"/>
  <c r="E11" i="16"/>
  <c r="D12" i="16"/>
  <c r="D11" i="16"/>
  <c r="C12" i="16"/>
  <c r="C11" i="16"/>
  <c r="B12" i="16"/>
  <c r="B11" i="16"/>
  <c r="D108" i="12" l="1"/>
  <c r="S22" i="19" l="1"/>
  <c r="S23" i="19"/>
  <c r="S24" i="19"/>
  <c r="S25" i="19"/>
  <c r="S26" i="19"/>
  <c r="S27" i="19"/>
  <c r="S28" i="19"/>
  <c r="S29" i="19"/>
  <c r="S30" i="19"/>
  <c r="S31" i="19"/>
  <c r="S32" i="19"/>
  <c r="S33" i="19"/>
  <c r="S34" i="19"/>
  <c r="S35" i="19"/>
  <c r="S21" i="19"/>
  <c r="S7" i="19"/>
  <c r="S8" i="19"/>
  <c r="S9" i="19"/>
  <c r="S10" i="19"/>
  <c r="S11" i="19"/>
  <c r="S12" i="19"/>
  <c r="S13" i="19"/>
  <c r="S14" i="19"/>
  <c r="S15" i="19"/>
  <c r="S16" i="19"/>
  <c r="S17" i="19"/>
  <c r="S18" i="19"/>
  <c r="S19" i="19"/>
  <c r="S20" i="19"/>
  <c r="S6" i="19"/>
  <c r="M22" i="19"/>
  <c r="M23" i="19"/>
  <c r="M24" i="19"/>
  <c r="M25" i="19"/>
  <c r="M26" i="19"/>
  <c r="M27" i="19"/>
  <c r="M28" i="19"/>
  <c r="M29" i="19"/>
  <c r="M30" i="19"/>
  <c r="M31" i="19"/>
  <c r="M32" i="19"/>
  <c r="M33" i="19"/>
  <c r="M34" i="19"/>
  <c r="M35" i="19"/>
  <c r="M21" i="19"/>
  <c r="M20" i="19"/>
  <c r="M7" i="19"/>
  <c r="M8" i="19"/>
  <c r="M9" i="19"/>
  <c r="M10" i="19"/>
  <c r="M11" i="19"/>
  <c r="M12" i="19"/>
  <c r="M13" i="19"/>
  <c r="M14" i="19"/>
  <c r="M15" i="19"/>
  <c r="M16" i="19"/>
  <c r="M17" i="19"/>
  <c r="M18" i="19"/>
  <c r="M19" i="19"/>
  <c r="M6" i="19"/>
  <c r="I22" i="19"/>
  <c r="I23" i="19"/>
  <c r="I24" i="19"/>
  <c r="I25" i="19"/>
  <c r="I26" i="19"/>
  <c r="I27" i="19"/>
  <c r="I28" i="19"/>
  <c r="I29" i="19"/>
  <c r="I30" i="19"/>
  <c r="I31" i="19"/>
  <c r="I32" i="19"/>
  <c r="I33" i="19"/>
  <c r="I34" i="19"/>
  <c r="I35" i="19"/>
  <c r="I21" i="19"/>
  <c r="I7" i="19"/>
  <c r="I8" i="19"/>
  <c r="I9" i="19"/>
  <c r="I10" i="19"/>
  <c r="I11" i="19"/>
  <c r="I12" i="19"/>
  <c r="I13" i="19"/>
  <c r="I14" i="19"/>
  <c r="I15" i="19"/>
  <c r="I16" i="19"/>
  <c r="I17" i="19"/>
  <c r="I18" i="19"/>
  <c r="I19" i="19"/>
  <c r="I20" i="19"/>
  <c r="I6" i="19"/>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48" i="3"/>
  <c r="I125" i="16" l="1"/>
  <c r="F8" i="10"/>
  <c r="F9" i="10"/>
  <c r="F10" i="10"/>
  <c r="F11" i="10"/>
  <c r="F12" i="10"/>
  <c r="F13" i="10"/>
  <c r="F14" i="10"/>
  <c r="F15" i="10"/>
  <c r="F16" i="10"/>
  <c r="F17" i="10"/>
  <c r="F18" i="10"/>
  <c r="F7" i="10"/>
  <c r="Q36" i="3" l="1"/>
  <c r="E18" i="3" l="1"/>
  <c r="N42" i="2"/>
  <c r="O34" i="4" l="1"/>
  <c r="P34" i="4"/>
  <c r="N34" i="4"/>
  <c r="Q34" i="4" s="1"/>
  <c r="I34" i="4"/>
  <c r="J34" i="4"/>
  <c r="H34" i="4"/>
  <c r="K34" i="4" s="1"/>
  <c r="C34" i="4"/>
  <c r="D34" i="4"/>
  <c r="B34" i="4"/>
  <c r="E34" i="4" s="1"/>
  <c r="AG7" i="3" l="1"/>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6" i="3"/>
  <c r="P18" i="8" l="1"/>
  <c r="J18" i="8"/>
  <c r="P19" i="8"/>
  <c r="J19" i="8"/>
  <c r="E44" i="1" l="1"/>
  <c r="C44" i="1"/>
  <c r="E41" i="1"/>
  <c r="C41" i="1"/>
  <c r="Q82" i="6"/>
  <c r="P82" i="6"/>
  <c r="K54" i="4" l="1"/>
  <c r="K43" i="4"/>
  <c r="K44" i="4"/>
  <c r="K45" i="4"/>
  <c r="K46" i="4"/>
  <c r="K47" i="4"/>
  <c r="K48" i="4"/>
  <c r="K49" i="4"/>
  <c r="K50" i="4"/>
  <c r="K51" i="4"/>
  <c r="K52" i="4"/>
  <c r="K53" i="4"/>
  <c r="K42" i="4"/>
  <c r="E43" i="4"/>
  <c r="E44" i="4"/>
  <c r="E45" i="4"/>
  <c r="E46" i="4"/>
  <c r="E47" i="4"/>
  <c r="E48" i="4"/>
  <c r="E49" i="4"/>
  <c r="E50" i="4"/>
  <c r="E51" i="4"/>
  <c r="E52" i="4"/>
  <c r="E53" i="4"/>
  <c r="E54" i="4"/>
  <c r="E56" i="4" l="1"/>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6" i="3"/>
  <c r="V7" i="3" l="1"/>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7" i="3"/>
  <c r="Q38" i="3"/>
  <c r="Q39" i="3"/>
  <c r="Q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6" i="3"/>
  <c r="E6" i="3"/>
  <c r="E7" i="3"/>
  <c r="E8" i="3"/>
  <c r="E9" i="3"/>
  <c r="E10" i="3"/>
  <c r="E11" i="3"/>
  <c r="E12" i="3"/>
  <c r="E13" i="3"/>
  <c r="E14" i="3"/>
  <c r="E15" i="3"/>
  <c r="E16" i="3"/>
  <c r="E17" i="3"/>
  <c r="E19" i="3"/>
  <c r="E20" i="3"/>
  <c r="E21" i="3"/>
  <c r="E22" i="3"/>
  <c r="E23" i="3"/>
  <c r="E24" i="3"/>
  <c r="E25" i="3"/>
  <c r="E26" i="3"/>
  <c r="E27" i="3"/>
  <c r="E28" i="3"/>
  <c r="E29" i="3"/>
  <c r="E30" i="3"/>
  <c r="E31" i="3"/>
  <c r="E32" i="3"/>
  <c r="E33" i="3"/>
  <c r="E34" i="3"/>
  <c r="E35" i="3"/>
  <c r="E36" i="3"/>
  <c r="E37" i="3"/>
  <c r="E38" i="3"/>
  <c r="E39" i="3"/>
  <c r="F5" i="2" l="1"/>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6" i="19"/>
  <c r="N6" i="19" l="1"/>
  <c r="L6" i="3"/>
  <c r="T9" i="14"/>
  <c r="L115" i="14"/>
  <c r="M115" i="14"/>
  <c r="N115" i="14"/>
  <c r="O115" i="14"/>
  <c r="P115" i="14"/>
  <c r="Q115" i="14"/>
  <c r="L116" i="14"/>
  <c r="M116" i="14"/>
  <c r="N116" i="14"/>
  <c r="O116" i="14"/>
  <c r="P116" i="14"/>
  <c r="Q116" i="14"/>
  <c r="L117" i="14"/>
  <c r="M117" i="14"/>
  <c r="N117" i="14"/>
  <c r="O117" i="14"/>
  <c r="P117" i="14"/>
  <c r="Q117" i="14"/>
  <c r="L118" i="14"/>
  <c r="M118" i="14"/>
  <c r="N118" i="14"/>
  <c r="O118" i="14"/>
  <c r="P118" i="14"/>
  <c r="Q118" i="14"/>
  <c r="L119" i="14"/>
  <c r="M119" i="14"/>
  <c r="N119" i="14"/>
  <c r="O119" i="14"/>
  <c r="P119" i="14"/>
  <c r="Q119" i="14"/>
  <c r="L120" i="14"/>
  <c r="M120" i="14"/>
  <c r="N120" i="14"/>
  <c r="O120" i="14"/>
  <c r="P120" i="14"/>
  <c r="Q120" i="14"/>
  <c r="L121" i="14"/>
  <c r="M121" i="14"/>
  <c r="N121" i="14"/>
  <c r="O121" i="14"/>
  <c r="P121" i="14"/>
  <c r="Q121" i="14"/>
  <c r="L122" i="14"/>
  <c r="M122" i="14"/>
  <c r="N122" i="14"/>
  <c r="O122" i="14"/>
  <c r="P122" i="14"/>
  <c r="Q122" i="14"/>
  <c r="L123" i="14"/>
  <c r="M123" i="14"/>
  <c r="N123" i="14"/>
  <c r="O123" i="14"/>
  <c r="P123" i="14"/>
  <c r="Q123" i="14"/>
  <c r="L124" i="14"/>
  <c r="M124" i="14"/>
  <c r="N124" i="14"/>
  <c r="O124" i="14"/>
  <c r="P124" i="14"/>
  <c r="Q124" i="14"/>
  <c r="L125" i="14"/>
  <c r="M125" i="14"/>
  <c r="N125" i="14"/>
  <c r="O125" i="14"/>
  <c r="P125" i="14"/>
  <c r="Q125" i="14"/>
  <c r="L126" i="14"/>
  <c r="M126" i="14"/>
  <c r="N126" i="14"/>
  <c r="O126" i="14"/>
  <c r="P126" i="14"/>
  <c r="Q126" i="14"/>
  <c r="L127" i="14"/>
  <c r="M127" i="14"/>
  <c r="N127" i="14"/>
  <c r="O127" i="14"/>
  <c r="P127" i="14"/>
  <c r="Q127" i="14"/>
  <c r="L128" i="14"/>
  <c r="M128" i="14"/>
  <c r="N128" i="14"/>
  <c r="O128" i="14"/>
  <c r="P128" i="14"/>
  <c r="Q128" i="14"/>
  <c r="L129" i="14"/>
  <c r="M129" i="14"/>
  <c r="N129" i="14"/>
  <c r="O129" i="14"/>
  <c r="P129" i="14"/>
  <c r="Q129" i="14"/>
  <c r="L130" i="14"/>
  <c r="M130" i="14"/>
  <c r="N130" i="14"/>
  <c r="O130" i="14"/>
  <c r="P130" i="14"/>
  <c r="Q130" i="14"/>
  <c r="L131" i="14"/>
  <c r="M131" i="14"/>
  <c r="N131" i="14"/>
  <c r="O131" i="14"/>
  <c r="P131" i="14"/>
  <c r="Q131" i="14"/>
  <c r="L132" i="14"/>
  <c r="M132" i="14"/>
  <c r="N132" i="14"/>
  <c r="O132" i="14"/>
  <c r="P132" i="14"/>
  <c r="Q132" i="14"/>
  <c r="L133" i="14"/>
  <c r="M133" i="14"/>
  <c r="N133" i="14"/>
  <c r="O133" i="14"/>
  <c r="P133" i="14"/>
  <c r="Q133" i="14"/>
  <c r="L134" i="14"/>
  <c r="M134" i="14"/>
  <c r="N134" i="14"/>
  <c r="O134" i="14"/>
  <c r="P134" i="14"/>
  <c r="Q134" i="14"/>
  <c r="L135" i="14"/>
  <c r="M135" i="14"/>
  <c r="N135" i="14"/>
  <c r="O135" i="14"/>
  <c r="P135" i="14"/>
  <c r="Q135" i="14"/>
  <c r="L136" i="14"/>
  <c r="M136" i="14"/>
  <c r="N136" i="14"/>
  <c r="O136" i="14"/>
  <c r="P136" i="14"/>
  <c r="Q136" i="14"/>
  <c r="L137" i="14"/>
  <c r="M137" i="14"/>
  <c r="N137" i="14"/>
  <c r="O137" i="14"/>
  <c r="P137" i="14"/>
  <c r="Q137" i="14"/>
  <c r="L138" i="14"/>
  <c r="M138" i="14"/>
  <c r="N138" i="14"/>
  <c r="O138" i="14"/>
  <c r="P138" i="14"/>
  <c r="Q138" i="14"/>
  <c r="L139" i="14"/>
  <c r="M139" i="14"/>
  <c r="N139" i="14"/>
  <c r="O139" i="14"/>
  <c r="P139" i="14"/>
  <c r="Q139" i="14"/>
  <c r="L140" i="14"/>
  <c r="M140" i="14"/>
  <c r="N140" i="14"/>
  <c r="O140" i="14"/>
  <c r="P140" i="14"/>
  <c r="Q140" i="14"/>
  <c r="L141" i="14"/>
  <c r="M141" i="14"/>
  <c r="N141" i="14"/>
  <c r="O141" i="14"/>
  <c r="P141" i="14"/>
  <c r="Q141" i="14"/>
  <c r="L142" i="14"/>
  <c r="M142" i="14"/>
  <c r="N142" i="14"/>
  <c r="O142" i="14"/>
  <c r="P142" i="14"/>
  <c r="Q142" i="14"/>
  <c r="L143" i="14"/>
  <c r="M143" i="14"/>
  <c r="N143" i="14"/>
  <c r="O143" i="14"/>
  <c r="P143" i="14"/>
  <c r="Q143" i="14"/>
  <c r="L144" i="14"/>
  <c r="M144" i="14"/>
  <c r="N144" i="14"/>
  <c r="O144" i="14"/>
  <c r="P144" i="14"/>
  <c r="Q144" i="14"/>
  <c r="L145" i="14"/>
  <c r="M145" i="14"/>
  <c r="N145" i="14"/>
  <c r="O145" i="14"/>
  <c r="P145" i="14"/>
  <c r="Q145" i="14"/>
  <c r="L146" i="14"/>
  <c r="M146" i="14"/>
  <c r="N146" i="14"/>
  <c r="O146" i="14"/>
  <c r="P146" i="14"/>
  <c r="Q146" i="14"/>
  <c r="L147" i="14"/>
  <c r="M147" i="14"/>
  <c r="N147" i="14"/>
  <c r="O147" i="14"/>
  <c r="P147" i="14"/>
  <c r="Q147" i="14"/>
  <c r="L148" i="14"/>
  <c r="M148" i="14"/>
  <c r="N148" i="14"/>
  <c r="O148" i="14"/>
  <c r="P148" i="14"/>
  <c r="Q148" i="14"/>
  <c r="L149" i="14"/>
  <c r="M149" i="14"/>
  <c r="N149" i="14"/>
  <c r="O149" i="14"/>
  <c r="P149" i="14"/>
  <c r="Q149" i="14"/>
  <c r="L150" i="14"/>
  <c r="M150" i="14"/>
  <c r="N150" i="14"/>
  <c r="O150" i="14"/>
  <c r="P150" i="14"/>
  <c r="Q150" i="14"/>
  <c r="L151" i="14"/>
  <c r="M151" i="14"/>
  <c r="N151" i="14"/>
  <c r="O151" i="14"/>
  <c r="P151" i="14"/>
  <c r="Q151" i="14"/>
  <c r="L152" i="14"/>
  <c r="M152" i="14"/>
  <c r="N152" i="14"/>
  <c r="O152" i="14"/>
  <c r="P152" i="14"/>
  <c r="Q152" i="14"/>
  <c r="L153" i="14"/>
  <c r="M153" i="14"/>
  <c r="N153" i="14"/>
  <c r="O153" i="14"/>
  <c r="P153" i="14"/>
  <c r="Q153" i="14"/>
  <c r="L154" i="14"/>
  <c r="M154" i="14"/>
  <c r="N154" i="14"/>
  <c r="O154" i="14"/>
  <c r="P154" i="14"/>
  <c r="Q154" i="14"/>
  <c r="L155" i="14"/>
  <c r="M155" i="14"/>
  <c r="N155" i="14"/>
  <c r="O155" i="14"/>
  <c r="P155" i="14"/>
  <c r="Q155" i="14"/>
  <c r="L156" i="14"/>
  <c r="M156" i="14"/>
  <c r="N156" i="14"/>
  <c r="O156" i="14"/>
  <c r="P156" i="14"/>
  <c r="Q156" i="14"/>
  <c r="L157" i="14"/>
  <c r="M157" i="14"/>
  <c r="N157" i="14"/>
  <c r="O157" i="14"/>
  <c r="P157" i="14"/>
  <c r="Q157" i="14"/>
  <c r="L158" i="14"/>
  <c r="M158" i="14"/>
  <c r="N158" i="14"/>
  <c r="O158" i="14"/>
  <c r="P158" i="14"/>
  <c r="Q158" i="14"/>
  <c r="L159" i="14"/>
  <c r="M159" i="14"/>
  <c r="N159" i="14"/>
  <c r="O159" i="14"/>
  <c r="P159" i="14"/>
  <c r="Q159" i="14"/>
  <c r="L160" i="14"/>
  <c r="M160" i="14"/>
  <c r="N160" i="14"/>
  <c r="O160" i="14"/>
  <c r="P160" i="14"/>
  <c r="Q160" i="14"/>
  <c r="L161" i="14"/>
  <c r="M161" i="14"/>
  <c r="N161" i="14"/>
  <c r="O161" i="14"/>
  <c r="P161" i="14"/>
  <c r="Q161" i="14"/>
  <c r="Q114" i="14"/>
  <c r="P114" i="14"/>
  <c r="O114" i="14"/>
  <c r="N114" i="14"/>
  <c r="M114" i="14"/>
  <c r="L114" i="14"/>
  <c r="K6" i="14"/>
  <c r="D98" i="3"/>
  <c r="D97" i="3"/>
  <c r="E48" i="3"/>
  <c r="F48" i="3"/>
  <c r="G48" i="3"/>
  <c r="H48" i="3"/>
  <c r="I48" i="3"/>
  <c r="J48" i="3"/>
  <c r="E49" i="3"/>
  <c r="F49" i="3"/>
  <c r="G49" i="3"/>
  <c r="H49" i="3"/>
  <c r="I49" i="3"/>
  <c r="J49" i="3"/>
  <c r="E50" i="3"/>
  <c r="F50" i="3"/>
  <c r="G50" i="3"/>
  <c r="H50" i="3"/>
  <c r="I50" i="3"/>
  <c r="J50" i="3"/>
  <c r="E51" i="3"/>
  <c r="F51" i="3"/>
  <c r="G51" i="3"/>
  <c r="H51" i="3"/>
  <c r="I51" i="3"/>
  <c r="J51" i="3"/>
  <c r="E52" i="3"/>
  <c r="F52" i="3"/>
  <c r="G52" i="3"/>
  <c r="H52" i="3"/>
  <c r="I52" i="3"/>
  <c r="J52" i="3"/>
  <c r="E53" i="3"/>
  <c r="F53" i="3"/>
  <c r="G53" i="3"/>
  <c r="H53" i="3"/>
  <c r="I53" i="3"/>
  <c r="J53" i="3"/>
  <c r="E54" i="3"/>
  <c r="F54" i="3"/>
  <c r="G54" i="3"/>
  <c r="H54" i="3"/>
  <c r="I54" i="3"/>
  <c r="J54" i="3"/>
  <c r="E55" i="3"/>
  <c r="F55" i="3"/>
  <c r="G55" i="3"/>
  <c r="H55" i="3"/>
  <c r="I55" i="3"/>
  <c r="J55" i="3"/>
  <c r="E56" i="3"/>
  <c r="F56" i="3"/>
  <c r="G56" i="3"/>
  <c r="H56" i="3"/>
  <c r="I56" i="3"/>
  <c r="J56" i="3"/>
  <c r="E57" i="3"/>
  <c r="F57" i="3"/>
  <c r="G57" i="3"/>
  <c r="H57" i="3"/>
  <c r="I57" i="3"/>
  <c r="J57" i="3"/>
  <c r="E58" i="3"/>
  <c r="F58" i="3"/>
  <c r="G58" i="3"/>
  <c r="H58" i="3"/>
  <c r="I58" i="3"/>
  <c r="J58" i="3"/>
  <c r="E59" i="3"/>
  <c r="F59" i="3"/>
  <c r="G59" i="3"/>
  <c r="H59" i="3"/>
  <c r="I59" i="3"/>
  <c r="J59" i="3"/>
  <c r="E60" i="3"/>
  <c r="F60" i="3"/>
  <c r="G60" i="3"/>
  <c r="H60" i="3"/>
  <c r="I60" i="3"/>
  <c r="J60" i="3"/>
  <c r="E61" i="3"/>
  <c r="F61" i="3"/>
  <c r="G61" i="3"/>
  <c r="H61" i="3"/>
  <c r="I61" i="3"/>
  <c r="J61" i="3"/>
  <c r="E62" i="3"/>
  <c r="F62" i="3"/>
  <c r="G62" i="3"/>
  <c r="H62" i="3"/>
  <c r="I62" i="3"/>
  <c r="J62" i="3"/>
  <c r="E63" i="3"/>
  <c r="F63" i="3"/>
  <c r="G63" i="3"/>
  <c r="H63" i="3"/>
  <c r="I63" i="3"/>
  <c r="J63" i="3"/>
  <c r="E64" i="3"/>
  <c r="F64" i="3"/>
  <c r="G64" i="3"/>
  <c r="H64" i="3"/>
  <c r="I64" i="3"/>
  <c r="J64" i="3"/>
  <c r="E65" i="3"/>
  <c r="F65" i="3"/>
  <c r="G65" i="3"/>
  <c r="H65" i="3"/>
  <c r="I65" i="3"/>
  <c r="J65" i="3"/>
  <c r="E66" i="3"/>
  <c r="F66" i="3"/>
  <c r="G66" i="3"/>
  <c r="H66" i="3"/>
  <c r="I66" i="3"/>
  <c r="J66" i="3"/>
  <c r="E67" i="3"/>
  <c r="F67" i="3"/>
  <c r="G67" i="3"/>
  <c r="H67" i="3"/>
  <c r="I67" i="3"/>
  <c r="J67" i="3"/>
  <c r="E68" i="3"/>
  <c r="F68" i="3"/>
  <c r="G68" i="3"/>
  <c r="H68" i="3"/>
  <c r="I68" i="3"/>
  <c r="J68" i="3"/>
  <c r="E69" i="3"/>
  <c r="F69" i="3"/>
  <c r="G69" i="3"/>
  <c r="H69" i="3"/>
  <c r="I69" i="3"/>
  <c r="J69" i="3"/>
  <c r="E70" i="3"/>
  <c r="F70" i="3"/>
  <c r="G70" i="3"/>
  <c r="H70" i="3"/>
  <c r="I70" i="3"/>
  <c r="J70" i="3"/>
  <c r="E71" i="3"/>
  <c r="F71" i="3"/>
  <c r="G71" i="3"/>
  <c r="H71" i="3"/>
  <c r="I71" i="3"/>
  <c r="J71" i="3"/>
  <c r="E72" i="3"/>
  <c r="F72" i="3"/>
  <c r="G72" i="3"/>
  <c r="H72" i="3"/>
  <c r="I72" i="3"/>
  <c r="J72" i="3"/>
  <c r="E73" i="3"/>
  <c r="F73" i="3"/>
  <c r="G73" i="3"/>
  <c r="H73" i="3"/>
  <c r="I73" i="3"/>
  <c r="J73" i="3"/>
  <c r="E74" i="3"/>
  <c r="F74" i="3"/>
  <c r="G74" i="3"/>
  <c r="H74" i="3"/>
  <c r="I74" i="3"/>
  <c r="J74" i="3"/>
  <c r="E75" i="3"/>
  <c r="F75" i="3"/>
  <c r="G75" i="3"/>
  <c r="H75" i="3"/>
  <c r="I75" i="3"/>
  <c r="J75" i="3"/>
  <c r="E76" i="3"/>
  <c r="F76" i="3"/>
  <c r="G76" i="3"/>
  <c r="H76" i="3"/>
  <c r="I76" i="3"/>
  <c r="J76" i="3"/>
  <c r="E77" i="3"/>
  <c r="F77" i="3"/>
  <c r="G77" i="3"/>
  <c r="H77" i="3"/>
  <c r="I77" i="3"/>
  <c r="J77" i="3"/>
  <c r="E78" i="3"/>
  <c r="F78" i="3"/>
  <c r="G78" i="3"/>
  <c r="H78" i="3"/>
  <c r="I78" i="3"/>
  <c r="J78" i="3"/>
  <c r="E79" i="3"/>
  <c r="F79" i="3"/>
  <c r="G79" i="3"/>
  <c r="H79" i="3"/>
  <c r="I79" i="3"/>
  <c r="J79" i="3"/>
  <c r="E80" i="3"/>
  <c r="F80" i="3"/>
  <c r="G80" i="3"/>
  <c r="H80" i="3"/>
  <c r="I80" i="3"/>
  <c r="J80" i="3"/>
  <c r="E81" i="3"/>
  <c r="F81" i="3"/>
  <c r="G81" i="3"/>
  <c r="H81" i="3"/>
  <c r="I81" i="3"/>
  <c r="J81" i="3"/>
  <c r="E82" i="3"/>
  <c r="F82" i="3"/>
  <c r="G82" i="3"/>
  <c r="H82" i="3"/>
  <c r="I82" i="3"/>
  <c r="J82" i="3"/>
  <c r="E83" i="3"/>
  <c r="F83" i="3"/>
  <c r="G83" i="3"/>
  <c r="H83" i="3"/>
  <c r="I83" i="3"/>
  <c r="J83" i="3"/>
  <c r="E84" i="3"/>
  <c r="F84" i="3"/>
  <c r="G84" i="3"/>
  <c r="H84" i="3"/>
  <c r="I84" i="3"/>
  <c r="J84" i="3"/>
  <c r="E85" i="3"/>
  <c r="F85" i="3"/>
  <c r="G85" i="3"/>
  <c r="H85" i="3"/>
  <c r="I85" i="3"/>
  <c r="J85" i="3"/>
  <c r="E86" i="3"/>
  <c r="F86" i="3"/>
  <c r="G86" i="3"/>
  <c r="H86" i="3"/>
  <c r="I86" i="3"/>
  <c r="J86" i="3"/>
  <c r="E87" i="3"/>
  <c r="F87" i="3"/>
  <c r="G87" i="3"/>
  <c r="H87" i="3"/>
  <c r="I87" i="3"/>
  <c r="J87" i="3"/>
  <c r="E88" i="3"/>
  <c r="F88" i="3"/>
  <c r="G88" i="3"/>
  <c r="H88" i="3"/>
  <c r="I88" i="3"/>
  <c r="J88" i="3"/>
  <c r="E89" i="3"/>
  <c r="F89" i="3"/>
  <c r="G89" i="3"/>
  <c r="H89" i="3"/>
  <c r="I89" i="3"/>
  <c r="J89" i="3"/>
  <c r="E90" i="3"/>
  <c r="F90" i="3"/>
  <c r="G90" i="3"/>
  <c r="H90" i="3"/>
  <c r="I90" i="3"/>
  <c r="J90" i="3"/>
  <c r="E91" i="3"/>
  <c r="F91" i="3"/>
  <c r="G91" i="3"/>
  <c r="H91" i="3"/>
  <c r="I91" i="3"/>
  <c r="J91" i="3"/>
  <c r="E92" i="3"/>
  <c r="F92" i="3"/>
  <c r="G92" i="3"/>
  <c r="H92" i="3"/>
  <c r="I92" i="3"/>
  <c r="J92" i="3"/>
  <c r="E93" i="3"/>
  <c r="F93" i="3"/>
  <c r="G93" i="3"/>
  <c r="H93" i="3"/>
  <c r="I93" i="3"/>
  <c r="J93" i="3"/>
  <c r="E94" i="3"/>
  <c r="F94" i="3"/>
  <c r="G94" i="3"/>
  <c r="H94" i="3"/>
  <c r="I94" i="3"/>
  <c r="J94" i="3"/>
  <c r="E95" i="3"/>
  <c r="F95" i="3"/>
  <c r="G95" i="3"/>
  <c r="H95" i="3"/>
  <c r="I95" i="3"/>
  <c r="J95"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48"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E39" i="2" l="1"/>
  <c r="F39" i="2"/>
  <c r="E40" i="2"/>
  <c r="F40" i="2"/>
  <c r="E41" i="2"/>
  <c r="F41" i="2"/>
  <c r="E42" i="2"/>
  <c r="F42" i="2"/>
  <c r="E43" i="2"/>
  <c r="F43" i="2"/>
  <c r="E44" i="2"/>
  <c r="F44" i="2"/>
  <c r="E45" i="2"/>
  <c r="F45" i="2"/>
  <c r="E46" i="2"/>
  <c r="F46" i="2"/>
  <c r="E47" i="2"/>
  <c r="F47" i="2"/>
  <c r="E48" i="2"/>
  <c r="F48" i="2"/>
  <c r="E49" i="2"/>
  <c r="F49" i="2"/>
  <c r="E50" i="2"/>
  <c r="F50" i="2"/>
  <c r="E51" i="2"/>
  <c r="F51" i="2"/>
  <c r="E52" i="2"/>
  <c r="F52" i="2"/>
  <c r="E53" i="2"/>
  <c r="F53" i="2"/>
  <c r="E54" i="2"/>
  <c r="F54" i="2"/>
  <c r="E55" i="2"/>
  <c r="F55" i="2"/>
  <c r="E56" i="2"/>
  <c r="F56" i="2"/>
  <c r="E57" i="2"/>
  <c r="F57" i="2"/>
  <c r="E58" i="2"/>
  <c r="F58" i="2"/>
  <c r="E59" i="2"/>
  <c r="F59" i="2"/>
  <c r="E60" i="2"/>
  <c r="F60" i="2"/>
  <c r="E61" i="2"/>
  <c r="F61" i="2"/>
  <c r="E62" i="2"/>
  <c r="F62" i="2"/>
  <c r="E63" i="2"/>
  <c r="F63"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6" i="2"/>
  <c r="F7" i="2"/>
  <c r="E5" i="2"/>
  <c r="I45" i="17" l="1"/>
  <c r="G34" i="17"/>
  <c r="O57" i="17"/>
  <c r="O50" i="17"/>
  <c r="I43" i="17"/>
  <c r="O43" i="17"/>
  <c r="O39" i="17"/>
  <c r="G49" i="17"/>
  <c r="H49" i="17"/>
  <c r="G50" i="17"/>
  <c r="H50" i="17"/>
  <c r="G51" i="17"/>
  <c r="H51" i="17"/>
  <c r="G52" i="17"/>
  <c r="H52" i="17"/>
  <c r="G53" i="17"/>
  <c r="H53" i="17"/>
  <c r="G54" i="17"/>
  <c r="H54" i="17"/>
  <c r="G55" i="17"/>
  <c r="H55" i="17"/>
  <c r="G56" i="17"/>
  <c r="H56" i="17"/>
  <c r="G57" i="17"/>
  <c r="H57" i="17"/>
  <c r="G58" i="17"/>
  <c r="H58" i="17"/>
  <c r="G59" i="17"/>
  <c r="H59" i="17"/>
  <c r="G60" i="17"/>
  <c r="H60" i="17"/>
  <c r="G61" i="17"/>
  <c r="H61" i="17"/>
  <c r="G62" i="17"/>
  <c r="H62" i="17"/>
  <c r="H48" i="17"/>
  <c r="G48" i="17"/>
  <c r="H34" i="17"/>
  <c r="C18" i="9" l="1"/>
  <c r="D18" i="9"/>
  <c r="E18" i="9"/>
  <c r="F18" i="9"/>
  <c r="G18" i="9"/>
  <c r="H18" i="9"/>
  <c r="I18" i="9"/>
  <c r="J18" i="9"/>
  <c r="K18" i="9"/>
  <c r="L18" i="9"/>
  <c r="M18" i="9"/>
  <c r="C36" i="10" l="1"/>
  <c r="D36" i="10"/>
  <c r="E36" i="10"/>
  <c r="F36" i="10"/>
  <c r="C37" i="10"/>
  <c r="D37" i="10"/>
  <c r="E37" i="10"/>
  <c r="F37" i="10"/>
  <c r="C38" i="10"/>
  <c r="D38" i="10"/>
  <c r="E38" i="10"/>
  <c r="F38" i="10"/>
  <c r="C39" i="10"/>
  <c r="D39" i="10"/>
  <c r="E39" i="10"/>
  <c r="F39" i="10"/>
  <c r="C40" i="10"/>
  <c r="D40" i="10"/>
  <c r="E40" i="10"/>
  <c r="F40" i="10"/>
  <c r="C41" i="10"/>
  <c r="D41" i="10"/>
  <c r="E41" i="10"/>
  <c r="F41" i="10"/>
  <c r="C42" i="10"/>
  <c r="D42" i="10"/>
  <c r="E42" i="10"/>
  <c r="F42" i="10"/>
  <c r="C43" i="10"/>
  <c r="D43" i="10"/>
  <c r="E43" i="10"/>
  <c r="F43" i="10"/>
  <c r="C44" i="10"/>
  <c r="D44" i="10"/>
  <c r="E44" i="10"/>
  <c r="F44" i="10"/>
  <c r="D35" i="10"/>
  <c r="E35" i="10"/>
  <c r="F35" i="10"/>
  <c r="C35" i="10"/>
  <c r="R66" i="15" l="1"/>
  <c r="H235" i="11" l="1"/>
  <c r="F15" i="7" l="1"/>
  <c r="F13" i="7"/>
  <c r="P13" i="8"/>
  <c r="AI84" i="21" l="1"/>
  <c r="AI85" i="21"/>
  <c r="AI86" i="21"/>
  <c r="AI87" i="21"/>
  <c r="AI88" i="21"/>
  <c r="AI89" i="21"/>
  <c r="AI90" i="21"/>
  <c r="AI91" i="21"/>
  <c r="AI92" i="21"/>
  <c r="AI94" i="21"/>
  <c r="AI83" i="21"/>
  <c r="AH84" i="21"/>
  <c r="AH85" i="21"/>
  <c r="AH86" i="21"/>
  <c r="AH87" i="21"/>
  <c r="AH88" i="21"/>
  <c r="AH89" i="21"/>
  <c r="AH90" i="21"/>
  <c r="AH91" i="21"/>
  <c r="AH92" i="21"/>
  <c r="AH94" i="21"/>
  <c r="AH83" i="21"/>
  <c r="AG84" i="21"/>
  <c r="AG85" i="21"/>
  <c r="AG86" i="21"/>
  <c r="AG87" i="21"/>
  <c r="AG88" i="21"/>
  <c r="AG89" i="21"/>
  <c r="AG90" i="21"/>
  <c r="AG91" i="21"/>
  <c r="AG92" i="21"/>
  <c r="AG94" i="21"/>
  <c r="AG83" i="21"/>
  <c r="AF84" i="21"/>
  <c r="AF85" i="21"/>
  <c r="AF86" i="21"/>
  <c r="AF87" i="21"/>
  <c r="AF88" i="21"/>
  <c r="AF89" i="21"/>
  <c r="AF90" i="21"/>
  <c r="AF91" i="21"/>
  <c r="AF92" i="21"/>
  <c r="AF94" i="21"/>
  <c r="AF83" i="21"/>
  <c r="T84" i="21"/>
  <c r="T85" i="21"/>
  <c r="T86" i="21"/>
  <c r="T87" i="21"/>
  <c r="T88" i="21"/>
  <c r="T89" i="21"/>
  <c r="T90" i="21"/>
  <c r="T91" i="21"/>
  <c r="T92" i="21"/>
  <c r="T83" i="21"/>
  <c r="S84" i="21"/>
  <c r="S85" i="21"/>
  <c r="S86" i="21"/>
  <c r="S87" i="21"/>
  <c r="S88" i="21"/>
  <c r="S89" i="21"/>
  <c r="S90" i="21"/>
  <c r="S91" i="21"/>
  <c r="S92" i="21"/>
  <c r="S94" i="21"/>
  <c r="S83" i="21"/>
  <c r="R84" i="21"/>
  <c r="R85" i="21"/>
  <c r="R86" i="21"/>
  <c r="R87" i="21"/>
  <c r="R88" i="21"/>
  <c r="R89" i="21"/>
  <c r="R90" i="21"/>
  <c r="R91" i="21"/>
  <c r="R92" i="21"/>
  <c r="R94" i="21"/>
  <c r="R83" i="21"/>
  <c r="Q84" i="21"/>
  <c r="Q85" i="21"/>
  <c r="Q86" i="21"/>
  <c r="Q87" i="21"/>
  <c r="Q88" i="21"/>
  <c r="Q89" i="21"/>
  <c r="Q90" i="21"/>
  <c r="Q91" i="21"/>
  <c r="Q92" i="21"/>
  <c r="Q94" i="21"/>
  <c r="Q83" i="21"/>
  <c r="AE11" i="26" l="1"/>
  <c r="AC11" i="26"/>
  <c r="AA11" i="26"/>
  <c r="Y11" i="26"/>
  <c r="W11" i="26"/>
  <c r="U11" i="26"/>
  <c r="S11" i="26"/>
  <c r="Q11" i="26"/>
  <c r="O11" i="26"/>
  <c r="M11" i="26"/>
  <c r="K11" i="26"/>
  <c r="I11" i="26"/>
  <c r="G11" i="26"/>
  <c r="E11" i="26"/>
  <c r="C11" i="26"/>
  <c r="AF11" i="26"/>
  <c r="AD11" i="26"/>
  <c r="AB11" i="26"/>
  <c r="Z11" i="26"/>
  <c r="X11" i="26"/>
  <c r="V11" i="26"/>
  <c r="T11" i="26"/>
  <c r="R11" i="26"/>
  <c r="P11" i="26"/>
  <c r="N11" i="26"/>
  <c r="L11" i="26"/>
  <c r="J11" i="26"/>
  <c r="H11" i="26"/>
  <c r="F11" i="26"/>
  <c r="D11" i="26"/>
  <c r="B11" i="26"/>
  <c r="AE13" i="26"/>
  <c r="AC13" i="26"/>
  <c r="AA13" i="26"/>
  <c r="Y13" i="26"/>
  <c r="W13" i="26"/>
  <c r="U13" i="26"/>
  <c r="S13" i="26"/>
  <c r="Q13" i="26"/>
  <c r="O13" i="26"/>
  <c r="M13" i="26"/>
  <c r="K13" i="26"/>
  <c r="I13" i="26"/>
  <c r="G13" i="26"/>
  <c r="E13" i="26"/>
  <c r="C13" i="26"/>
  <c r="AF13" i="26"/>
  <c r="AD13" i="26"/>
  <c r="AB13" i="26"/>
  <c r="Z13" i="26"/>
  <c r="X13" i="26"/>
  <c r="V13" i="26"/>
  <c r="T13" i="26"/>
  <c r="R13" i="26"/>
  <c r="P13" i="26"/>
  <c r="N13" i="26"/>
  <c r="L13" i="26"/>
  <c r="J13" i="26"/>
  <c r="H13" i="26"/>
  <c r="F13" i="26"/>
  <c r="D13" i="26"/>
  <c r="B13" i="26"/>
  <c r="AF10" i="26"/>
  <c r="AD10" i="26"/>
  <c r="AB10" i="26"/>
  <c r="Z10" i="26"/>
  <c r="X10" i="26"/>
  <c r="V10" i="26"/>
  <c r="T10" i="26"/>
  <c r="R10" i="26"/>
  <c r="P10" i="26"/>
  <c r="N10" i="26"/>
  <c r="L10" i="26"/>
  <c r="J10" i="26"/>
  <c r="H10" i="26"/>
  <c r="F10" i="26"/>
  <c r="D10" i="26"/>
  <c r="B10" i="26"/>
  <c r="AE10" i="26"/>
  <c r="AC10" i="26"/>
  <c r="AA10" i="26"/>
  <c r="Y10" i="26"/>
  <c r="W10" i="26"/>
  <c r="U10" i="26"/>
  <c r="S10" i="26"/>
  <c r="Q10" i="26"/>
  <c r="O10" i="26"/>
  <c r="M10" i="26"/>
  <c r="K10" i="26"/>
  <c r="I10" i="26"/>
  <c r="G10" i="26"/>
  <c r="E10" i="26"/>
  <c r="C10" i="26"/>
  <c r="AF12" i="26"/>
  <c r="AD12" i="26"/>
  <c r="AB12" i="26"/>
  <c r="Z12" i="26"/>
  <c r="X12" i="26"/>
  <c r="V12" i="26"/>
  <c r="T12" i="26"/>
  <c r="R12" i="26"/>
  <c r="P12" i="26"/>
  <c r="N12" i="26"/>
  <c r="L12" i="26"/>
  <c r="J12" i="26"/>
  <c r="H12" i="26"/>
  <c r="F12" i="26"/>
  <c r="D12" i="26"/>
  <c r="B12" i="26"/>
  <c r="AE12" i="26"/>
  <c r="AC12" i="26"/>
  <c r="AA12" i="26"/>
  <c r="Y12" i="26"/>
  <c r="W12" i="26"/>
  <c r="U12" i="26"/>
  <c r="S12" i="26"/>
  <c r="Q12" i="26"/>
  <c r="O12" i="26"/>
  <c r="M12" i="26"/>
  <c r="K12" i="26"/>
  <c r="I12" i="26"/>
  <c r="G12" i="26"/>
  <c r="E12" i="26"/>
  <c r="C12" i="26"/>
  <c r="AE9" i="26"/>
  <c r="AC9" i="26"/>
  <c r="AA9" i="26"/>
  <c r="Y9" i="26"/>
  <c r="W9" i="26"/>
  <c r="U9" i="26"/>
  <c r="S9" i="26"/>
  <c r="Q9" i="26"/>
  <c r="O9" i="26"/>
  <c r="M9" i="26"/>
  <c r="K9" i="26"/>
  <c r="I9" i="26"/>
  <c r="G9" i="26"/>
  <c r="E9" i="26"/>
  <c r="C9" i="26"/>
  <c r="AF9" i="26"/>
  <c r="AD9" i="26"/>
  <c r="AB9" i="26"/>
  <c r="Z9" i="26"/>
  <c r="X9" i="26"/>
  <c r="V9" i="26"/>
  <c r="T9" i="26"/>
  <c r="R9" i="26"/>
  <c r="P9" i="26"/>
  <c r="N9" i="26"/>
  <c r="L9" i="26"/>
  <c r="J9" i="26"/>
  <c r="H9" i="26"/>
  <c r="F9" i="26"/>
  <c r="D9" i="26"/>
  <c r="B9" i="26"/>
  <c r="A9" i="26"/>
  <c r="A10" i="26"/>
  <c r="A11" i="26"/>
  <c r="A12" i="26"/>
  <c r="A13" i="26"/>
  <c r="M16" i="7"/>
  <c r="S4" i="26" l="1"/>
  <c r="S2" i="26"/>
  <c r="B17" i="26"/>
  <c r="B16" i="26"/>
  <c r="G152" i="3" l="1"/>
  <c r="F29" i="8" l="1"/>
  <c r="F28" i="8"/>
  <c r="Q212" i="7"/>
  <c r="C189" i="21" l="1"/>
  <c r="D189" i="21"/>
  <c r="E189" i="21"/>
  <c r="F189" i="21"/>
  <c r="G189" i="21"/>
  <c r="H189" i="21"/>
  <c r="I189" i="21"/>
  <c r="J189" i="21"/>
  <c r="K189" i="21"/>
  <c r="L189" i="21"/>
  <c r="M189" i="21"/>
  <c r="C190" i="21"/>
  <c r="D190" i="21"/>
  <c r="E190" i="21"/>
  <c r="F190" i="21"/>
  <c r="G190" i="21"/>
  <c r="H190" i="21"/>
  <c r="I190" i="21"/>
  <c r="J190" i="21"/>
  <c r="K190" i="21"/>
  <c r="L190" i="21"/>
  <c r="M190" i="21"/>
  <c r="C191" i="21"/>
  <c r="D191" i="21"/>
  <c r="E191" i="21"/>
  <c r="F191" i="21"/>
  <c r="G191" i="21"/>
  <c r="H191" i="21"/>
  <c r="I191" i="21"/>
  <c r="J191" i="21"/>
  <c r="K191" i="21"/>
  <c r="L191" i="21"/>
  <c r="M191" i="21"/>
  <c r="C192" i="21"/>
  <c r="D192" i="21"/>
  <c r="E192" i="21"/>
  <c r="F192" i="21"/>
  <c r="G192" i="21"/>
  <c r="H192" i="21"/>
  <c r="I192" i="21"/>
  <c r="J192" i="21"/>
  <c r="K192" i="21"/>
  <c r="L192" i="21"/>
  <c r="M192" i="21"/>
  <c r="C193" i="21"/>
  <c r="D193" i="21"/>
  <c r="E193" i="21"/>
  <c r="F193" i="21"/>
  <c r="G193" i="21"/>
  <c r="H193" i="21"/>
  <c r="I193" i="21"/>
  <c r="J193" i="21"/>
  <c r="K193" i="21"/>
  <c r="L193" i="21"/>
  <c r="M193" i="21"/>
  <c r="C194" i="21"/>
  <c r="D194" i="21"/>
  <c r="E194" i="21"/>
  <c r="F194" i="21"/>
  <c r="G194" i="21"/>
  <c r="H194" i="21"/>
  <c r="I194" i="21"/>
  <c r="J194" i="21"/>
  <c r="K194" i="21"/>
  <c r="L194" i="21"/>
  <c r="M194" i="21"/>
  <c r="C195" i="21"/>
  <c r="D195" i="21"/>
  <c r="E195" i="21"/>
  <c r="F195" i="21"/>
  <c r="G195" i="21"/>
  <c r="H195" i="21"/>
  <c r="I195" i="21"/>
  <c r="J195" i="21"/>
  <c r="K195" i="21"/>
  <c r="L195" i="21"/>
  <c r="M195" i="21"/>
  <c r="E188" i="21"/>
  <c r="F188" i="21"/>
  <c r="G188" i="21"/>
  <c r="H188" i="21"/>
  <c r="I188" i="21"/>
  <c r="J188" i="21"/>
  <c r="K188" i="21"/>
  <c r="L188" i="21"/>
  <c r="M188" i="21"/>
  <c r="A150" i="21" l="1"/>
  <c r="F28" i="18"/>
  <c r="F29" i="18"/>
  <c r="F30" i="18"/>
  <c r="F31" i="18"/>
  <c r="F32" i="18"/>
  <c r="F33" i="18"/>
  <c r="F34" i="18"/>
  <c r="F35" i="18"/>
  <c r="F36" i="18"/>
  <c r="F27" i="18"/>
  <c r="P11" i="11" l="1"/>
  <c r="O56" i="4"/>
  <c r="P56" i="4"/>
  <c r="Q56" i="4"/>
  <c r="R56" i="4"/>
  <c r="S56" i="4"/>
  <c r="T56" i="4"/>
  <c r="U56" i="4"/>
  <c r="V56" i="4"/>
  <c r="W56" i="4"/>
  <c r="X56" i="4"/>
  <c r="Y56" i="4"/>
  <c r="Z56" i="4"/>
  <c r="AA56" i="4"/>
  <c r="AC56" i="4"/>
  <c r="N56" i="4"/>
  <c r="Q214" i="7" l="1"/>
  <c r="Q213" i="7"/>
  <c r="D56" i="4"/>
  <c r="Q202" i="7" s="1"/>
  <c r="C56" i="4"/>
  <c r="Q201" i="7" s="1"/>
  <c r="Q200" i="7"/>
  <c r="S94" i="24" l="1"/>
  <c r="Q94" i="24"/>
  <c r="N94" i="24"/>
  <c r="L94" i="24"/>
  <c r="M44" i="15"/>
  <c r="E44" i="15"/>
  <c r="B41" i="8" l="1"/>
  <c r="S52" i="22" l="1"/>
  <c r="O53" i="22"/>
  <c r="O52" i="22"/>
  <c r="G53" i="22"/>
  <c r="K52" i="22"/>
  <c r="G52" i="22"/>
  <c r="I74" i="16"/>
  <c r="O74" i="16"/>
  <c r="J106" i="21" l="1"/>
  <c r="J107" i="21"/>
  <c r="J108" i="21"/>
  <c r="J109" i="21"/>
  <c r="J110" i="21"/>
  <c r="J111" i="21"/>
  <c r="J112" i="21"/>
  <c r="J113" i="21"/>
  <c r="J114" i="21"/>
  <c r="I6" i="11" l="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P90" i="16"/>
  <c r="H216" i="11"/>
  <c r="H217" i="11"/>
  <c r="H218" i="11"/>
  <c r="H219" i="11"/>
  <c r="H220" i="11"/>
  <c r="H221" i="11"/>
  <c r="H222" i="11"/>
  <c r="H223" i="11"/>
  <c r="H224" i="11"/>
  <c r="H225" i="11"/>
  <c r="H226" i="11"/>
  <c r="H227" i="11"/>
  <c r="H228" i="11"/>
  <c r="H229" i="11"/>
  <c r="H230" i="11"/>
  <c r="H231" i="11"/>
  <c r="H232" i="11"/>
  <c r="H233" i="11"/>
  <c r="H234"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F79" i="16" l="1"/>
  <c r="A80" i="16"/>
  <c r="I80" i="16"/>
  <c r="F81" i="16"/>
  <c r="A82" i="16"/>
  <c r="I82" i="16"/>
  <c r="F83" i="16"/>
  <c r="A86" i="16"/>
  <c r="I86" i="16"/>
  <c r="F87" i="16"/>
  <c r="A88" i="16"/>
  <c r="I88" i="16"/>
  <c r="F89" i="16"/>
  <c r="A90" i="16"/>
  <c r="I90" i="16"/>
  <c r="P79" i="16"/>
  <c r="K80" i="16"/>
  <c r="S80" i="16"/>
  <c r="P81" i="16"/>
  <c r="K82" i="16"/>
  <c r="S82" i="16"/>
  <c r="P83" i="16"/>
  <c r="K86" i="16"/>
  <c r="S86" i="16"/>
  <c r="P87" i="16"/>
  <c r="K88" i="16"/>
  <c r="S88" i="16"/>
  <c r="P89" i="16"/>
  <c r="K90" i="16"/>
  <c r="S90" i="16"/>
  <c r="A79" i="16"/>
  <c r="I79" i="16"/>
  <c r="F80" i="16"/>
  <c r="A81" i="16"/>
  <c r="I81" i="16"/>
  <c r="F82" i="16"/>
  <c r="A83" i="16"/>
  <c r="I83" i="16"/>
  <c r="F86" i="16"/>
  <c r="A87" i="16"/>
  <c r="I87" i="16"/>
  <c r="F88" i="16"/>
  <c r="A89" i="16"/>
  <c r="I89" i="16"/>
  <c r="F90" i="16"/>
  <c r="K79" i="16"/>
  <c r="S79" i="16"/>
  <c r="P80" i="16"/>
  <c r="K81" i="16"/>
  <c r="S81" i="16"/>
  <c r="P82" i="16"/>
  <c r="K83" i="16"/>
  <c r="S83" i="16"/>
  <c r="P86" i="16"/>
  <c r="S87" i="16"/>
  <c r="P88" i="16"/>
  <c r="K89" i="16"/>
  <c r="S89" i="16"/>
  <c r="P6" i="11"/>
  <c r="P7" i="11"/>
  <c r="P8" i="11"/>
  <c r="P9" i="11"/>
  <c r="P10" i="11"/>
  <c r="P12" i="11"/>
  <c r="P13" i="11"/>
  <c r="P14" i="11"/>
  <c r="P15" i="11"/>
  <c r="P16" i="11"/>
  <c r="P17" i="11"/>
  <c r="P18" i="11"/>
  <c r="P19" i="11"/>
  <c r="K74" i="16" l="1"/>
  <c r="G42" i="8"/>
  <c r="F42" i="8"/>
  <c r="E42" i="8"/>
  <c r="D42" i="8"/>
  <c r="C42" i="8"/>
  <c r="B42" i="8"/>
  <c r="O43" i="8" l="1"/>
  <c r="O46" i="8"/>
  <c r="O45" i="8"/>
  <c r="O48" i="8"/>
  <c r="O44" i="8"/>
  <c r="O47" i="8"/>
  <c r="O49" i="8"/>
  <c r="K131" i="16" l="1"/>
  <c r="L131" i="16"/>
  <c r="M131" i="16"/>
  <c r="O131" i="16"/>
  <c r="P131" i="16"/>
  <c r="P130" i="16"/>
  <c r="O130" i="16"/>
  <c r="K130" i="16"/>
  <c r="M130" i="16"/>
  <c r="L130" i="16"/>
  <c r="O126" i="16"/>
  <c r="L126" i="16"/>
  <c r="I126" i="16"/>
  <c r="F126" i="16"/>
  <c r="G126" i="16"/>
  <c r="H126" i="16"/>
  <c r="J126" i="16"/>
  <c r="K126" i="16"/>
  <c r="M126" i="16"/>
  <c r="N126" i="16"/>
  <c r="P126" i="16"/>
  <c r="Q126" i="16"/>
  <c r="O125" i="16"/>
  <c r="Q125" i="16"/>
  <c r="P125" i="16"/>
  <c r="L125" i="16"/>
  <c r="N125" i="16"/>
  <c r="M125" i="16"/>
  <c r="K125" i="16"/>
  <c r="J125" i="16"/>
  <c r="F125" i="16"/>
  <c r="H125" i="16"/>
  <c r="G125" i="16"/>
  <c r="I12" i="1"/>
  <c r="S101" i="24" l="1"/>
  <c r="Q101" i="24"/>
  <c r="S100" i="24"/>
  <c r="Q100" i="24"/>
  <c r="S99" i="24"/>
  <c r="Q99" i="24"/>
  <c r="S98" i="24"/>
  <c r="Q98" i="24"/>
  <c r="S97" i="24"/>
  <c r="Q97" i="24"/>
  <c r="S96" i="24"/>
  <c r="Q96" i="24"/>
  <c r="S95" i="24"/>
  <c r="Q95" i="24"/>
  <c r="S93" i="24"/>
  <c r="Q93" i="24"/>
  <c r="S92" i="24"/>
  <c r="Q92" i="24"/>
  <c r="S91" i="24"/>
  <c r="Q91" i="24"/>
  <c r="S90" i="24"/>
  <c r="Q90" i="24"/>
  <c r="S89" i="24"/>
  <c r="Q89" i="24"/>
  <c r="S88" i="24"/>
  <c r="Q88" i="24"/>
  <c r="S87" i="24"/>
  <c r="Q87" i="24"/>
  <c r="S86" i="24"/>
  <c r="Q86" i="24"/>
  <c r="S85" i="24"/>
  <c r="Q85" i="24"/>
  <c r="S84" i="24"/>
  <c r="Q84" i="24"/>
  <c r="S83" i="24"/>
  <c r="Q83" i="24"/>
  <c r="S82" i="24"/>
  <c r="Q82" i="24"/>
  <c r="S81" i="24"/>
  <c r="Q81" i="24"/>
  <c r="S80" i="24"/>
  <c r="Q80" i="24"/>
  <c r="S79" i="24"/>
  <c r="Q79" i="24"/>
  <c r="S78" i="24"/>
  <c r="Q78" i="24"/>
  <c r="S77" i="24"/>
  <c r="Q77" i="24"/>
  <c r="S76" i="24"/>
  <c r="Q76" i="24"/>
  <c r="S75" i="24"/>
  <c r="Q75" i="24"/>
  <c r="S74" i="24"/>
  <c r="Q74" i="24"/>
  <c r="S73" i="24"/>
  <c r="Q73" i="24"/>
  <c r="S72" i="24"/>
  <c r="Q72" i="24"/>
  <c r="S71" i="24"/>
  <c r="Q71" i="24"/>
  <c r="S70" i="24"/>
  <c r="Q70" i="24"/>
  <c r="S69" i="24"/>
  <c r="Q69" i="24"/>
  <c r="S68" i="24"/>
  <c r="Q68" i="24"/>
  <c r="S67" i="24"/>
  <c r="Q67" i="24"/>
  <c r="S66" i="24"/>
  <c r="Q66" i="24"/>
  <c r="S65" i="24"/>
  <c r="Q65" i="24"/>
  <c r="S64" i="24"/>
  <c r="Q64" i="24"/>
  <c r="N101" i="24"/>
  <c r="L101" i="24"/>
  <c r="N100" i="24"/>
  <c r="L100" i="24"/>
  <c r="N99" i="24"/>
  <c r="L99" i="24"/>
  <c r="N98" i="24"/>
  <c r="L98" i="24"/>
  <c r="N97" i="24"/>
  <c r="L97" i="24"/>
  <c r="N96" i="24"/>
  <c r="L96" i="24"/>
  <c r="N95" i="24"/>
  <c r="L95" i="24"/>
  <c r="N93" i="24"/>
  <c r="L93" i="24"/>
  <c r="N92" i="24"/>
  <c r="L92" i="24"/>
  <c r="N91" i="24"/>
  <c r="L91" i="24"/>
  <c r="N90" i="24"/>
  <c r="L90" i="24"/>
  <c r="N89" i="24"/>
  <c r="L89" i="24"/>
  <c r="N88" i="24"/>
  <c r="L88" i="24"/>
  <c r="N87" i="24"/>
  <c r="L87" i="24"/>
  <c r="N86" i="24"/>
  <c r="L86" i="24"/>
  <c r="N85" i="24"/>
  <c r="L85" i="24"/>
  <c r="N84" i="24"/>
  <c r="L84" i="24"/>
  <c r="N83" i="24"/>
  <c r="L83" i="24"/>
  <c r="N82" i="24"/>
  <c r="L82" i="24"/>
  <c r="N81" i="24"/>
  <c r="L81" i="24"/>
  <c r="N80" i="24"/>
  <c r="L80" i="24"/>
  <c r="N79" i="24"/>
  <c r="L79" i="24"/>
  <c r="N78" i="24"/>
  <c r="L78" i="24"/>
  <c r="N77" i="24"/>
  <c r="L77" i="24"/>
  <c r="N76" i="24"/>
  <c r="L76" i="24"/>
  <c r="N75" i="24"/>
  <c r="L75" i="24"/>
  <c r="N74" i="24"/>
  <c r="L74" i="24"/>
  <c r="N73" i="24"/>
  <c r="L73" i="24"/>
  <c r="N72" i="24"/>
  <c r="L72" i="24"/>
  <c r="N71" i="24"/>
  <c r="L71" i="24"/>
  <c r="N70" i="24"/>
  <c r="L70" i="24"/>
  <c r="N69" i="24"/>
  <c r="L69" i="24"/>
  <c r="N68" i="24"/>
  <c r="L68" i="24"/>
  <c r="N67" i="24"/>
  <c r="L67" i="24"/>
  <c r="N66" i="24"/>
  <c r="L66" i="24"/>
  <c r="N65" i="24"/>
  <c r="L65" i="24"/>
  <c r="N64" i="24"/>
  <c r="L64" i="24"/>
  <c r="J75" i="15"/>
  <c r="J74" i="15"/>
  <c r="A75" i="15"/>
  <c r="A74" i="15"/>
  <c r="N75" i="15"/>
  <c r="M75" i="15"/>
  <c r="L75" i="15"/>
  <c r="K75" i="15"/>
  <c r="E75" i="15"/>
  <c r="D75" i="15"/>
  <c r="C75" i="15"/>
  <c r="B75" i="15"/>
  <c r="K74" i="15"/>
  <c r="B74" i="15"/>
  <c r="N74" i="15"/>
  <c r="M74" i="15"/>
  <c r="L74" i="15"/>
  <c r="C74" i="15"/>
  <c r="D74" i="15"/>
  <c r="E74" i="15"/>
  <c r="R69" i="15"/>
  <c r="R68" i="15"/>
  <c r="R67" i="15"/>
  <c r="K69" i="15"/>
  <c r="K68" i="15"/>
  <c r="K67" i="15"/>
  <c r="K66" i="15"/>
  <c r="O69" i="15"/>
  <c r="O68" i="15"/>
  <c r="O67" i="15"/>
  <c r="O66" i="15"/>
  <c r="H69" i="15"/>
  <c r="H68" i="15"/>
  <c r="H67" i="15"/>
  <c r="H66" i="15"/>
  <c r="N37" i="15"/>
  <c r="F37" i="15"/>
  <c r="S13" i="8"/>
  <c r="M13" i="8"/>
  <c r="J13" i="8"/>
  <c r="S23" i="8"/>
  <c r="M23" i="8"/>
  <c r="J23" i="8"/>
  <c r="A76" i="7"/>
  <c r="R18" i="1"/>
  <c r="L18" i="1"/>
  <c r="O18" i="1"/>
  <c r="I18" i="1"/>
  <c r="P21" i="1"/>
  <c r="J21" i="1"/>
  <c r="I20" i="1"/>
  <c r="A13" i="22" l="1"/>
  <c r="E106" i="22"/>
  <c r="H106" i="22"/>
  <c r="K106" i="22"/>
  <c r="N106" i="22"/>
  <c r="Q106" i="22"/>
  <c r="A179" i="21"/>
  <c r="A151" i="21"/>
  <c r="A152" i="21"/>
  <c r="A153" i="21"/>
  <c r="A154" i="21"/>
  <c r="A155" i="21"/>
  <c r="A156" i="21"/>
  <c r="A157" i="21"/>
  <c r="A158" i="21"/>
  <c r="A159" i="21"/>
  <c r="A160" i="21"/>
  <c r="A184" i="21" l="1"/>
  <c r="A178" i="21"/>
  <c r="A182" i="21"/>
  <c r="A180" i="21"/>
  <c r="A185" i="21"/>
  <c r="A183" i="21"/>
  <c r="A181" i="21"/>
  <c r="V76" i="21"/>
  <c r="V62" i="21"/>
  <c r="V63" i="21"/>
  <c r="V64" i="21"/>
  <c r="V66" i="21"/>
  <c r="V67" i="21"/>
  <c r="V68" i="21"/>
  <c r="V69" i="21"/>
  <c r="V70" i="21"/>
  <c r="V71" i="21"/>
  <c r="V72" i="21"/>
  <c r="V73" i="21"/>
  <c r="V74" i="21"/>
  <c r="V75" i="21"/>
  <c r="V55" i="21"/>
  <c r="V56" i="21"/>
  <c r="V57" i="21"/>
  <c r="V58" i="21"/>
  <c r="Q53" i="22" s="1"/>
  <c r="V59" i="21"/>
  <c r="V54" i="21"/>
  <c r="I53" i="22" s="1"/>
  <c r="N55" i="21"/>
  <c r="N56" i="21"/>
  <c r="N57" i="21"/>
  <c r="Q52" i="22"/>
  <c r="N59" i="21"/>
  <c r="N60" i="21"/>
  <c r="N61" i="21"/>
  <c r="N62" i="21"/>
  <c r="N63" i="21"/>
  <c r="N64" i="21"/>
  <c r="N65" i="21"/>
  <c r="N66" i="21"/>
  <c r="N67" i="21"/>
  <c r="N68" i="21"/>
  <c r="N69" i="21"/>
  <c r="N70" i="21"/>
  <c r="N71" i="21"/>
  <c r="N72" i="21"/>
  <c r="N73" i="21"/>
  <c r="N74" i="21"/>
  <c r="N75" i="21"/>
  <c r="N76" i="21"/>
  <c r="N54" i="21"/>
  <c r="I52" i="22" s="1"/>
  <c r="S49" i="22"/>
  <c r="O49" i="22"/>
  <c r="S48" i="22"/>
  <c r="O48" i="22"/>
  <c r="K48" i="22"/>
  <c r="K49" i="22"/>
  <c r="G49" i="22"/>
  <c r="G48" i="22"/>
  <c r="Q55" i="21"/>
  <c r="Q56" i="21"/>
  <c r="Q57" i="21"/>
  <c r="Q58" i="21"/>
  <c r="Q59" i="21"/>
  <c r="Q62" i="21"/>
  <c r="Q63" i="21"/>
  <c r="Q64" i="21"/>
  <c r="Q66" i="21"/>
  <c r="Q67" i="21"/>
  <c r="Q68" i="21"/>
  <c r="Q69" i="21"/>
  <c r="Q70" i="21"/>
  <c r="Q72" i="21"/>
  <c r="Q73" i="21"/>
  <c r="Q74" i="21"/>
  <c r="Q75" i="21"/>
  <c r="Q54" i="21"/>
  <c r="I49" i="22" s="1"/>
  <c r="Q49" i="22" l="1"/>
  <c r="T55" i="21" l="1"/>
  <c r="T56" i="21"/>
  <c r="T57" i="21"/>
  <c r="T58" i="21"/>
  <c r="T59" i="21"/>
  <c r="T62" i="21"/>
  <c r="T63" i="21"/>
  <c r="T64" i="21"/>
  <c r="T66" i="21"/>
  <c r="T67" i="21"/>
  <c r="T68" i="21"/>
  <c r="T69" i="21"/>
  <c r="T70" i="21"/>
  <c r="T71" i="21"/>
  <c r="T72" i="21"/>
  <c r="T73" i="21"/>
  <c r="T74" i="21"/>
  <c r="T75" i="21"/>
  <c r="T76" i="21"/>
  <c r="T54" i="21"/>
  <c r="K53" i="22" s="1"/>
  <c r="S53" i="22" l="1"/>
  <c r="I55" i="21"/>
  <c r="I56" i="21"/>
  <c r="I57" i="21"/>
  <c r="I58" i="21"/>
  <c r="I59" i="21"/>
  <c r="I60" i="21"/>
  <c r="I61" i="21"/>
  <c r="I62" i="21"/>
  <c r="I63" i="21"/>
  <c r="I64" i="21"/>
  <c r="I65" i="21"/>
  <c r="I66" i="21"/>
  <c r="I67" i="21"/>
  <c r="I68" i="21"/>
  <c r="I69" i="21"/>
  <c r="I70" i="21"/>
  <c r="I71" i="21"/>
  <c r="I72" i="21"/>
  <c r="I73" i="21"/>
  <c r="I74" i="21"/>
  <c r="I75" i="21"/>
  <c r="I76" i="21"/>
  <c r="I54" i="21"/>
  <c r="I48" i="22" l="1"/>
  <c r="Q48" i="22"/>
  <c r="A14" i="22"/>
  <c r="P14" i="22"/>
  <c r="M14" i="22"/>
  <c r="J14" i="22"/>
  <c r="P13" i="22"/>
  <c r="M13" i="22"/>
  <c r="J13" i="22"/>
  <c r="G13" i="22"/>
  <c r="L16" i="17"/>
  <c r="L5" i="17"/>
  <c r="L6" i="17"/>
  <c r="L7" i="17"/>
  <c r="L8" i="17"/>
  <c r="L9" i="17"/>
  <c r="L11" i="17"/>
  <c r="L12" i="17"/>
  <c r="L13" i="17"/>
  <c r="L14" i="17"/>
  <c r="L15" i="17"/>
  <c r="H4" i="17"/>
  <c r="J105" i="21"/>
  <c r="L10" i="17" l="1"/>
  <c r="J10" i="17"/>
  <c r="L4" i="17"/>
  <c r="A72" i="20"/>
  <c r="B72" i="20"/>
  <c r="C72" i="20"/>
  <c r="D72" i="20"/>
  <c r="E72" i="20"/>
  <c r="F72" i="20"/>
  <c r="B97" i="20" l="1"/>
  <c r="B96" i="20"/>
  <c r="B95" i="20"/>
  <c r="B94" i="20"/>
  <c r="B93" i="20"/>
  <c r="V6" i="19"/>
  <c r="A97" i="20"/>
  <c r="A96" i="20"/>
  <c r="A95" i="20"/>
  <c r="A94" i="20"/>
  <c r="A93" i="20"/>
  <c r="B80" i="20"/>
  <c r="F80" i="20"/>
  <c r="E80" i="20"/>
  <c r="D80" i="20"/>
  <c r="C80" i="20"/>
  <c r="F81" i="20"/>
  <c r="E81" i="20"/>
  <c r="D81" i="20"/>
  <c r="C81" i="20"/>
  <c r="B81" i="20"/>
  <c r="A81" i="20"/>
  <c r="A80" i="20"/>
  <c r="F79" i="20"/>
  <c r="E79" i="20"/>
  <c r="D79" i="20"/>
  <c r="C79" i="20"/>
  <c r="B79" i="20"/>
  <c r="A79" i="20"/>
  <c r="B78" i="20"/>
  <c r="F78" i="20"/>
  <c r="E78" i="20"/>
  <c r="D78" i="20"/>
  <c r="C78" i="20"/>
  <c r="A78" i="20"/>
  <c r="F77" i="20"/>
  <c r="E77" i="20"/>
  <c r="D77" i="20"/>
  <c r="C77" i="20"/>
  <c r="B77" i="20"/>
  <c r="A77" i="20"/>
  <c r="F76" i="20"/>
  <c r="E76" i="20"/>
  <c r="D76" i="20"/>
  <c r="C76" i="20"/>
  <c r="B76" i="20"/>
  <c r="A76" i="20"/>
  <c r="F75" i="20"/>
  <c r="E75" i="20"/>
  <c r="D75" i="20"/>
  <c r="C75" i="20"/>
  <c r="B75" i="20"/>
  <c r="A75" i="20"/>
  <c r="F74" i="20"/>
  <c r="E74" i="20"/>
  <c r="D74" i="20"/>
  <c r="C74" i="20"/>
  <c r="B74" i="20"/>
  <c r="A74" i="20"/>
  <c r="A73" i="20"/>
  <c r="F73" i="20"/>
  <c r="E73" i="20"/>
  <c r="D73" i="20"/>
  <c r="C73" i="20"/>
  <c r="B73" i="20"/>
  <c r="P63" i="20"/>
  <c r="P62" i="20"/>
  <c r="K63" i="20"/>
  <c r="K62" i="20"/>
  <c r="F63" i="20"/>
  <c r="F62" i="20"/>
  <c r="A63" i="20"/>
  <c r="A62" i="20"/>
  <c r="T7" i="19"/>
  <c r="T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6" i="19"/>
  <c r="L37" i="18"/>
  <c r="L28" i="18"/>
  <c r="L29" i="18"/>
  <c r="L30" i="18"/>
  <c r="L31" i="18"/>
  <c r="L32" i="18"/>
  <c r="L33" i="18"/>
  <c r="L34" i="18"/>
  <c r="L35" i="18"/>
  <c r="L36" i="18"/>
  <c r="A39" i="20"/>
  <c r="A38" i="20"/>
  <c r="K5" i="17"/>
  <c r="K6" i="17"/>
  <c r="K7" i="17"/>
  <c r="K8" i="17"/>
  <c r="K9" i="17"/>
  <c r="K10" i="17"/>
  <c r="K11" i="17"/>
  <c r="K12" i="17"/>
  <c r="K13" i="17"/>
  <c r="K14" i="17"/>
  <c r="K15" i="17"/>
  <c r="K16" i="17"/>
  <c r="K4" i="17"/>
  <c r="J5" i="17"/>
  <c r="J6" i="17"/>
  <c r="J7" i="17"/>
  <c r="J8" i="17"/>
  <c r="J9" i="17"/>
  <c r="J11" i="17"/>
  <c r="J12" i="17"/>
  <c r="J13" i="17"/>
  <c r="J14" i="17"/>
  <c r="J15" i="17"/>
  <c r="J16" i="17"/>
  <c r="H14" i="20"/>
  <c r="H15" i="20"/>
  <c r="H35" i="17"/>
  <c r="Q14" i="20" s="1"/>
  <c r="H36" i="17"/>
  <c r="H37" i="17"/>
  <c r="H38" i="17"/>
  <c r="H39" i="17"/>
  <c r="Q15" i="20" s="1"/>
  <c r="H40" i="17"/>
  <c r="H41" i="17"/>
  <c r="H42" i="17"/>
  <c r="H43" i="17"/>
  <c r="H44" i="17"/>
  <c r="H45" i="17"/>
  <c r="H46" i="17"/>
  <c r="G35" i="17"/>
  <c r="K14" i="20" s="1"/>
  <c r="G36" i="17"/>
  <c r="G37" i="17"/>
  <c r="G38" i="17"/>
  <c r="G39" i="17"/>
  <c r="K15" i="20" s="1"/>
  <c r="G40" i="17"/>
  <c r="G41" i="17"/>
  <c r="G42" i="17"/>
  <c r="G43" i="17"/>
  <c r="G44" i="17"/>
  <c r="G45" i="17"/>
  <c r="G46" i="17"/>
  <c r="E34" i="17"/>
  <c r="H16" i="17"/>
  <c r="I16" i="17"/>
  <c r="I5" i="17"/>
  <c r="I6" i="17"/>
  <c r="I7" i="17"/>
  <c r="I8" i="17"/>
  <c r="I9" i="17"/>
  <c r="I10" i="17"/>
  <c r="I11" i="17"/>
  <c r="I12" i="17"/>
  <c r="I13" i="17"/>
  <c r="I14" i="17"/>
  <c r="I15" i="17"/>
  <c r="I4" i="17"/>
  <c r="H5" i="17"/>
  <c r="H6" i="17"/>
  <c r="H7" i="17"/>
  <c r="H8" i="17"/>
  <c r="H9" i="17"/>
  <c r="H10" i="17"/>
  <c r="H11" i="17"/>
  <c r="H12" i="17"/>
  <c r="H13" i="17"/>
  <c r="H14" i="17"/>
  <c r="H15" i="17"/>
  <c r="R62" i="20" l="1"/>
  <c r="R63" i="20"/>
  <c r="H62" i="20"/>
  <c r="H63" i="20"/>
  <c r="M62" i="20"/>
  <c r="M63" i="20"/>
  <c r="E35" i="17"/>
  <c r="N14" i="20" s="1"/>
  <c r="E37" i="17"/>
  <c r="E39" i="17"/>
  <c r="N15" i="20" s="1"/>
  <c r="E41" i="17"/>
  <c r="E43" i="17"/>
  <c r="E45" i="17"/>
  <c r="E36" i="17"/>
  <c r="E38" i="17"/>
  <c r="E40" i="17"/>
  <c r="E42" i="17"/>
  <c r="E44" i="17"/>
  <c r="A15" i="20"/>
  <c r="A14" i="20"/>
  <c r="S39" i="20" l="1"/>
  <c r="S38" i="20"/>
  <c r="Q38" i="20"/>
  <c r="A50" i="15"/>
  <c r="A51" i="15" l="1"/>
  <c r="N44" i="15"/>
  <c r="F44" i="15"/>
  <c r="M42" i="15"/>
  <c r="N42" i="15"/>
  <c r="E42" i="15"/>
  <c r="F42" i="15"/>
  <c r="M43" i="15"/>
  <c r="N43" i="15"/>
  <c r="E43" i="15"/>
  <c r="F43" i="15"/>
  <c r="M41" i="15"/>
  <c r="N41" i="15"/>
  <c r="E41" i="15"/>
  <c r="F41" i="15"/>
  <c r="M40" i="15"/>
  <c r="N40" i="15"/>
  <c r="E40" i="15"/>
  <c r="F40" i="15"/>
  <c r="M39" i="15"/>
  <c r="N39" i="15"/>
  <c r="E39" i="15"/>
  <c r="R43" i="15"/>
  <c r="J43" i="15"/>
  <c r="R42" i="15"/>
  <c r="J42" i="15"/>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R40" i="15"/>
  <c r="R41" i="15"/>
  <c r="R44" i="15"/>
  <c r="J40" i="15"/>
  <c r="J41" i="15"/>
  <c r="J44" i="15"/>
  <c r="R39" i="15"/>
  <c r="J39" i="15"/>
  <c r="F39" i="15"/>
  <c r="K22" i="15"/>
  <c r="K21" i="15"/>
  <c r="K20" i="15"/>
  <c r="K19" i="15"/>
  <c r="K18" i="15"/>
  <c r="K17" i="15"/>
  <c r="K16" i="15"/>
  <c r="K15" i="15"/>
  <c r="K14" i="15"/>
  <c r="K13" i="15"/>
  <c r="K12" i="15"/>
  <c r="K11" i="15"/>
  <c r="Q22" i="15"/>
  <c r="Q21" i="15"/>
  <c r="Q20" i="15"/>
  <c r="Q19" i="15"/>
  <c r="Q18" i="15"/>
  <c r="Q17" i="15"/>
  <c r="Q16" i="15"/>
  <c r="Q15" i="15"/>
  <c r="Q14" i="15"/>
  <c r="Q13" i="15"/>
  <c r="Q12" i="15"/>
  <c r="Q11" i="15"/>
  <c r="A29" i="15"/>
  <c r="A28" i="15"/>
  <c r="S95" i="16"/>
  <c r="P95" i="16"/>
  <c r="K95" i="16"/>
  <c r="S94" i="16"/>
  <c r="P94" i="16"/>
  <c r="K94" i="16"/>
  <c r="S93" i="16"/>
  <c r="P93" i="16"/>
  <c r="K93" i="16"/>
  <c r="I95" i="16"/>
  <c r="F95" i="16"/>
  <c r="A95" i="16"/>
  <c r="I94" i="16"/>
  <c r="F94" i="16"/>
  <c r="A94" i="16"/>
  <c r="I93" i="16"/>
  <c r="F93" i="16"/>
  <c r="A93" i="16"/>
  <c r="I63" i="16" l="1"/>
  <c r="H62" i="16"/>
  <c r="I62" i="16"/>
  <c r="H63" i="16"/>
  <c r="G63" i="16"/>
  <c r="F63" i="16"/>
  <c r="E63" i="16"/>
  <c r="D63" i="16"/>
  <c r="C63" i="16"/>
  <c r="B63" i="16"/>
  <c r="A63" i="16"/>
  <c r="G62" i="16"/>
  <c r="F62" i="16"/>
  <c r="E62" i="16"/>
  <c r="D62" i="16"/>
  <c r="C62" i="16"/>
  <c r="B62" i="16"/>
  <c r="A62" i="16"/>
  <c r="A12" i="16" l="1"/>
  <c r="A11" i="16"/>
  <c r="P41" i="8" l="1"/>
  <c r="I41" i="8"/>
  <c r="F41" i="8"/>
  <c r="G41" i="8"/>
  <c r="E41" i="8"/>
  <c r="D41" i="8"/>
  <c r="C41" i="8"/>
  <c r="A42" i="8"/>
  <c r="A41" i="8"/>
  <c r="P27" i="8"/>
  <c r="I27" i="8"/>
  <c r="E28" i="8"/>
  <c r="G29" i="8"/>
  <c r="E29" i="8"/>
  <c r="D29" i="8"/>
  <c r="C29" i="8"/>
  <c r="B29" i="8"/>
  <c r="G28" i="8"/>
  <c r="D28" i="8"/>
  <c r="C28" i="8"/>
  <c r="B28" i="8"/>
  <c r="A28" i="8"/>
  <c r="A29" i="8"/>
  <c r="P23" i="8"/>
  <c r="P22" i="8"/>
  <c r="J22" i="8"/>
  <c r="J45" i="8" l="1"/>
  <c r="J49" i="8"/>
  <c r="J44" i="8"/>
  <c r="J43" i="8"/>
  <c r="J46" i="8"/>
  <c r="J47" i="8"/>
  <c r="J48" i="8"/>
  <c r="J12" i="8"/>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P83" i="6"/>
  <c r="P84" i="6"/>
  <c r="P85" i="6"/>
  <c r="P86" i="6"/>
  <c r="P87" i="6"/>
  <c r="P88" i="6"/>
  <c r="P89" i="6"/>
  <c r="P90" i="6"/>
  <c r="P91" i="6"/>
  <c r="P92" i="6"/>
  <c r="P93" i="6"/>
  <c r="P94" i="6"/>
  <c r="P95" i="6"/>
  <c r="P96" i="6"/>
  <c r="P97" i="6"/>
  <c r="P98" i="6"/>
  <c r="P99" i="6"/>
  <c r="P16" i="8" s="1"/>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S16" i="8" l="1"/>
  <c r="J16" i="8"/>
  <c r="M16" i="8"/>
  <c r="P14" i="8"/>
  <c r="P12" i="8"/>
  <c r="J14" i="8" l="1"/>
  <c r="M14" i="8"/>
  <c r="S14" i="8"/>
  <c r="I101" i="4"/>
  <c r="I102" i="4"/>
  <c r="I109" i="4"/>
  <c r="I111" i="4"/>
  <c r="I108" i="4"/>
  <c r="I105" i="4"/>
  <c r="I103" i="4"/>
  <c r="I106" i="4"/>
  <c r="I113" i="4"/>
  <c r="I104" i="4"/>
  <c r="I99" i="4"/>
  <c r="I112" i="4"/>
  <c r="I114" i="4"/>
  <c r="I110" i="4"/>
  <c r="I100" i="4"/>
  <c r="I107" i="4"/>
  <c r="G107" i="4"/>
  <c r="H107" i="4" s="1"/>
  <c r="J77" i="4" l="1"/>
  <c r="J81" i="4" s="1"/>
  <c r="A77" i="4"/>
  <c r="B77" i="4" s="1"/>
  <c r="O83" i="4" l="1"/>
  <c r="O84" i="4"/>
  <c r="O85" i="4"/>
  <c r="O86" i="4"/>
  <c r="O87" i="4"/>
  <c r="O88" i="4"/>
  <c r="O89" i="4"/>
  <c r="O90" i="4"/>
  <c r="O91" i="4"/>
  <c r="N82" i="4"/>
  <c r="N83" i="4"/>
  <c r="N84" i="4"/>
  <c r="N85" i="4"/>
  <c r="N86" i="4"/>
  <c r="N87" i="4"/>
  <c r="N88" i="4"/>
  <c r="N89" i="4"/>
  <c r="N90" i="4"/>
  <c r="N91" i="4"/>
  <c r="O82" i="4"/>
  <c r="L90" i="4"/>
  <c r="L88" i="4"/>
  <c r="L86" i="4"/>
  <c r="L84" i="4"/>
  <c r="L82" i="4"/>
  <c r="L91" i="4"/>
  <c r="L89" i="4"/>
  <c r="L87" i="4"/>
  <c r="L85" i="4"/>
  <c r="L83" i="4"/>
  <c r="K77" i="4"/>
  <c r="A27" i="7" l="1"/>
  <c r="A26" i="7"/>
  <c r="F25" i="7"/>
  <c r="F24" i="7"/>
  <c r="F23" i="7"/>
  <c r="F22" i="7"/>
  <c r="G25" i="7"/>
  <c r="G24" i="7"/>
  <c r="G23" i="7"/>
  <c r="G22" i="7"/>
  <c r="D25" i="7"/>
  <c r="E25" i="7"/>
  <c r="E22" i="7"/>
  <c r="D22" i="7"/>
  <c r="E27" i="7" l="1"/>
  <c r="D27" i="7"/>
  <c r="D24" i="7"/>
  <c r="E24" i="7"/>
  <c r="K13" i="7"/>
  <c r="E23" i="7"/>
  <c r="M15" i="7"/>
  <c r="K16" i="7"/>
  <c r="K15" i="7"/>
  <c r="I16" i="7"/>
  <c r="I15" i="7"/>
  <c r="M14" i="7"/>
  <c r="M13" i="7"/>
  <c r="K14" i="7"/>
  <c r="I14" i="7"/>
  <c r="F16" i="7"/>
  <c r="F14" i="7"/>
  <c r="E26" i="7" l="1"/>
  <c r="I13" i="7"/>
  <c r="D23" i="7"/>
  <c r="D26" i="7" s="1"/>
  <c r="A15" i="7" l="1"/>
  <c r="A13" i="7"/>
  <c r="R12" i="1" l="1"/>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L12" i="1" s="1"/>
  <c r="E34" i="2"/>
  <c r="E35" i="2"/>
  <c r="E36" i="2"/>
  <c r="E37" i="2"/>
  <c r="E38" i="2"/>
  <c r="E42" i="1"/>
  <c r="C42" i="1"/>
  <c r="E43" i="1"/>
  <c r="C43" i="1"/>
  <c r="C32" i="1"/>
  <c r="E32" i="1"/>
  <c r="E27" i="1"/>
  <c r="C27" i="1"/>
  <c r="O20" i="1"/>
  <c r="O12" i="1"/>
  <c r="H6" i="2"/>
  <c r="O14" i="1"/>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I14" i="1"/>
  <c r="O15" i="1" l="1"/>
  <c r="C31" i="1"/>
  <c r="C33" i="1"/>
  <c r="E29" i="1"/>
  <c r="E31" i="1"/>
  <c r="E33" i="1"/>
  <c r="C29" i="1"/>
  <c r="C28" i="1"/>
  <c r="C30" i="1"/>
  <c r="E28" i="1"/>
  <c r="E30" i="1"/>
  <c r="I15" i="1"/>
  <c r="O13" i="1"/>
  <c r="I13" i="1"/>
  <c r="V7" i="19" l="1"/>
  <c r="W7" i="19"/>
  <c r="V8" i="19"/>
  <c r="W8" i="19"/>
  <c r="V9" i="19"/>
  <c r="W9" i="19"/>
  <c r="V10" i="19"/>
  <c r="W10" i="19"/>
  <c r="V11" i="19"/>
  <c r="W11" i="19"/>
  <c r="V12" i="19"/>
  <c r="W12" i="19"/>
  <c r="V13" i="19"/>
  <c r="W13" i="19"/>
  <c r="V14" i="19"/>
  <c r="W14" i="19"/>
  <c r="V15" i="19"/>
  <c r="W15" i="19"/>
  <c r="V16" i="19"/>
  <c r="W16" i="19"/>
  <c r="V17" i="19"/>
  <c r="W17" i="19"/>
  <c r="V18" i="19"/>
  <c r="W18" i="19"/>
  <c r="V19" i="19"/>
  <c r="W19" i="19"/>
  <c r="V20" i="19"/>
  <c r="W20" i="19"/>
  <c r="V21" i="19"/>
  <c r="W21" i="19"/>
  <c r="V22" i="19"/>
  <c r="C97" i="20" s="1"/>
  <c r="W22" i="19"/>
  <c r="D97" i="20" s="1"/>
  <c r="V23" i="19"/>
  <c r="W23" i="19"/>
  <c r="V24" i="19"/>
  <c r="W24" i="19"/>
  <c r="V25" i="19"/>
  <c r="W25" i="19"/>
  <c r="V26" i="19"/>
  <c r="W26" i="19"/>
  <c r="V27" i="19"/>
  <c r="W27" i="19"/>
  <c r="V28" i="19"/>
  <c r="W28" i="19"/>
  <c r="V29" i="19"/>
  <c r="W29" i="19"/>
  <c r="V30" i="19"/>
  <c r="W30" i="19"/>
  <c r="V31" i="19"/>
  <c r="W31" i="19"/>
  <c r="V32" i="19"/>
  <c r="W32" i="19"/>
  <c r="V33" i="19"/>
  <c r="W33" i="19"/>
  <c r="V34" i="19"/>
  <c r="W34" i="19"/>
  <c r="V35" i="19"/>
  <c r="W35" i="19"/>
  <c r="V36" i="19"/>
  <c r="W36" i="19"/>
  <c r="V37" i="19"/>
  <c r="C93" i="20" s="1"/>
  <c r="W37" i="19"/>
  <c r="D93" i="20" s="1"/>
  <c r="V38" i="19"/>
  <c r="W38" i="19"/>
  <c r="V39" i="19"/>
  <c r="W39" i="19"/>
  <c r="W6" i="19"/>
  <c r="T63" i="20"/>
  <c r="T62" i="20"/>
  <c r="O63" i="20"/>
  <c r="O62" i="20"/>
  <c r="J63" i="20"/>
  <c r="J62" i="20"/>
  <c r="D96" i="20" l="1"/>
  <c r="D95" i="20"/>
  <c r="D94" i="20"/>
  <c r="C96" i="20"/>
  <c r="C95" i="20"/>
  <c r="C94" i="20"/>
  <c r="S5" i="17"/>
  <c r="S6" i="17"/>
  <c r="S7" i="17"/>
  <c r="S8" i="17"/>
  <c r="S9" i="17"/>
  <c r="S10" i="17"/>
  <c r="S11" i="17"/>
  <c r="S12" i="17"/>
  <c r="S13" i="17"/>
  <c r="S14" i="17"/>
  <c r="S15" i="17"/>
  <c r="S4" i="17"/>
  <c r="J59" i="14" l="1"/>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R105" i="14" s="1"/>
  <c r="J106" i="14"/>
  <c r="L106" i="14" s="1"/>
  <c r="M6" i="14"/>
  <c r="M7" i="14"/>
  <c r="N7" i="14"/>
  <c r="O7" i="14"/>
  <c r="P7" i="14"/>
  <c r="Q7" i="14"/>
  <c r="R7" i="14"/>
  <c r="S7" i="14"/>
  <c r="M8" i="14"/>
  <c r="N8" i="14"/>
  <c r="O8" i="14"/>
  <c r="P8" i="14"/>
  <c r="Q8" i="14"/>
  <c r="R8" i="14"/>
  <c r="S8" i="14"/>
  <c r="M9" i="14"/>
  <c r="N9" i="14"/>
  <c r="O9" i="14"/>
  <c r="P9" i="14"/>
  <c r="Q9" i="14"/>
  <c r="R9" i="14"/>
  <c r="S9" i="14"/>
  <c r="M10" i="14"/>
  <c r="N10" i="14"/>
  <c r="O10" i="14"/>
  <c r="P10" i="14"/>
  <c r="Q10" i="14"/>
  <c r="R10" i="14"/>
  <c r="S10" i="14"/>
  <c r="M11" i="14"/>
  <c r="N11" i="14"/>
  <c r="O11" i="14"/>
  <c r="P11" i="14"/>
  <c r="Q11" i="14"/>
  <c r="R11" i="14"/>
  <c r="S11" i="14"/>
  <c r="M12" i="14"/>
  <c r="N12" i="14"/>
  <c r="O12" i="14"/>
  <c r="P12" i="14"/>
  <c r="Q12" i="14"/>
  <c r="R12" i="14"/>
  <c r="S12" i="14"/>
  <c r="M13" i="14"/>
  <c r="N13" i="14"/>
  <c r="O13" i="14"/>
  <c r="P13" i="14"/>
  <c r="Q13" i="14"/>
  <c r="R13" i="14"/>
  <c r="S13" i="14"/>
  <c r="M14" i="14"/>
  <c r="N14" i="14"/>
  <c r="O14" i="14"/>
  <c r="P14" i="14"/>
  <c r="Q14" i="14"/>
  <c r="R14" i="14"/>
  <c r="S14" i="14"/>
  <c r="M15" i="14"/>
  <c r="N15" i="14"/>
  <c r="O15" i="14"/>
  <c r="P15" i="14"/>
  <c r="Q15" i="14"/>
  <c r="R15" i="14"/>
  <c r="S15" i="14"/>
  <c r="M16" i="14"/>
  <c r="N16" i="14"/>
  <c r="O16" i="14"/>
  <c r="P16" i="14"/>
  <c r="Q16" i="14"/>
  <c r="R16" i="14"/>
  <c r="S16" i="14"/>
  <c r="M17" i="14"/>
  <c r="N17" i="14"/>
  <c r="O17" i="14"/>
  <c r="P17" i="14"/>
  <c r="Q17" i="14"/>
  <c r="R17" i="14"/>
  <c r="S17" i="14"/>
  <c r="M18" i="14"/>
  <c r="N18" i="14"/>
  <c r="O18" i="14"/>
  <c r="P18" i="14"/>
  <c r="Q18" i="14"/>
  <c r="R18" i="14"/>
  <c r="S18" i="14"/>
  <c r="M19" i="14"/>
  <c r="N19" i="14"/>
  <c r="O19" i="14"/>
  <c r="P19" i="14"/>
  <c r="Q19" i="14"/>
  <c r="R19" i="14"/>
  <c r="S19" i="14"/>
  <c r="M20" i="14"/>
  <c r="N20" i="14"/>
  <c r="O20" i="14"/>
  <c r="P20" i="14"/>
  <c r="Q20" i="14"/>
  <c r="R20" i="14"/>
  <c r="S20" i="14"/>
  <c r="M21" i="14"/>
  <c r="N21" i="14"/>
  <c r="O21" i="14"/>
  <c r="P21" i="14"/>
  <c r="Q21" i="14"/>
  <c r="R21" i="14"/>
  <c r="S21" i="14"/>
  <c r="M22" i="14"/>
  <c r="N22" i="14"/>
  <c r="O22" i="14"/>
  <c r="P22" i="14"/>
  <c r="Q22" i="14"/>
  <c r="R22" i="14"/>
  <c r="S22" i="14"/>
  <c r="M23" i="14"/>
  <c r="B51" i="15" s="1"/>
  <c r="N23" i="14"/>
  <c r="C51" i="15" s="1"/>
  <c r="O23" i="14"/>
  <c r="D51" i="15" s="1"/>
  <c r="P23" i="14"/>
  <c r="E51" i="15" s="1"/>
  <c r="Q23" i="14"/>
  <c r="F51" i="15" s="1"/>
  <c r="R23" i="14"/>
  <c r="G51" i="15" s="1"/>
  <c r="S23" i="14"/>
  <c r="H51" i="15" s="1"/>
  <c r="M24" i="14"/>
  <c r="N24" i="14"/>
  <c r="O24" i="14"/>
  <c r="P24" i="14"/>
  <c r="Q24" i="14"/>
  <c r="R24" i="14"/>
  <c r="S24" i="14"/>
  <c r="M25" i="14"/>
  <c r="B50" i="15" s="1"/>
  <c r="N25" i="14"/>
  <c r="C50" i="15" s="1"/>
  <c r="O25" i="14"/>
  <c r="D50" i="15" s="1"/>
  <c r="P25" i="14"/>
  <c r="E50" i="15" s="1"/>
  <c r="Q25" i="14"/>
  <c r="F50" i="15" s="1"/>
  <c r="R25" i="14"/>
  <c r="G50" i="15" s="1"/>
  <c r="S25" i="14"/>
  <c r="H50" i="15" s="1"/>
  <c r="M26" i="14"/>
  <c r="N26" i="14"/>
  <c r="O26" i="14"/>
  <c r="P26" i="14"/>
  <c r="Q26" i="14"/>
  <c r="R26" i="14"/>
  <c r="S26" i="14"/>
  <c r="M27" i="14"/>
  <c r="N27" i="14"/>
  <c r="O27" i="14"/>
  <c r="P27" i="14"/>
  <c r="Q27" i="14"/>
  <c r="R27" i="14"/>
  <c r="S27" i="14"/>
  <c r="M28" i="14"/>
  <c r="N28" i="14"/>
  <c r="O28" i="14"/>
  <c r="P28" i="14"/>
  <c r="Q28" i="14"/>
  <c r="R28" i="14"/>
  <c r="S28" i="14"/>
  <c r="M29" i="14"/>
  <c r="N29" i="14"/>
  <c r="O29" i="14"/>
  <c r="P29" i="14"/>
  <c r="Q29" i="14"/>
  <c r="R29" i="14"/>
  <c r="S29" i="14"/>
  <c r="M30" i="14"/>
  <c r="N30" i="14"/>
  <c r="O30" i="14"/>
  <c r="P30" i="14"/>
  <c r="Q30" i="14"/>
  <c r="R30" i="14"/>
  <c r="S30" i="14"/>
  <c r="M31" i="14"/>
  <c r="N31" i="14"/>
  <c r="O31" i="14"/>
  <c r="P31" i="14"/>
  <c r="Q31" i="14"/>
  <c r="R31" i="14"/>
  <c r="S31" i="14"/>
  <c r="M32" i="14"/>
  <c r="N32" i="14"/>
  <c r="O32" i="14"/>
  <c r="P32" i="14"/>
  <c r="Q32" i="14"/>
  <c r="R32" i="14"/>
  <c r="S32" i="14"/>
  <c r="M33" i="14"/>
  <c r="N33" i="14"/>
  <c r="O33" i="14"/>
  <c r="P33" i="14"/>
  <c r="Q33" i="14"/>
  <c r="R33" i="14"/>
  <c r="S33" i="14"/>
  <c r="M34" i="14"/>
  <c r="N34" i="14"/>
  <c r="O34" i="14"/>
  <c r="P34" i="14"/>
  <c r="Q34" i="14"/>
  <c r="R34" i="14"/>
  <c r="S34" i="14"/>
  <c r="M35" i="14"/>
  <c r="N35" i="14"/>
  <c r="O35" i="14"/>
  <c r="P35" i="14"/>
  <c r="Q35" i="14"/>
  <c r="R35" i="14"/>
  <c r="S35" i="14"/>
  <c r="M36" i="14"/>
  <c r="N36" i="14"/>
  <c r="O36" i="14"/>
  <c r="P36" i="14"/>
  <c r="Q36" i="14"/>
  <c r="R36" i="14"/>
  <c r="S36" i="14"/>
  <c r="M37" i="14"/>
  <c r="N37" i="14"/>
  <c r="O37" i="14"/>
  <c r="P37" i="14"/>
  <c r="Q37" i="14"/>
  <c r="R37" i="14"/>
  <c r="S37" i="14"/>
  <c r="M38" i="14"/>
  <c r="N38" i="14"/>
  <c r="O38" i="14"/>
  <c r="P38" i="14"/>
  <c r="Q38" i="14"/>
  <c r="R38" i="14"/>
  <c r="S38" i="14"/>
  <c r="M39" i="14"/>
  <c r="N39" i="14"/>
  <c r="O39" i="14"/>
  <c r="P39" i="14"/>
  <c r="Q39" i="14"/>
  <c r="R39" i="14"/>
  <c r="S39" i="14"/>
  <c r="M40" i="14"/>
  <c r="N40" i="14"/>
  <c r="O40" i="14"/>
  <c r="P40" i="14"/>
  <c r="Q40" i="14"/>
  <c r="R40" i="14"/>
  <c r="S40" i="14"/>
  <c r="M41" i="14"/>
  <c r="N41" i="14"/>
  <c r="O41" i="14"/>
  <c r="P41" i="14"/>
  <c r="Q41" i="14"/>
  <c r="R41" i="14"/>
  <c r="S41" i="14"/>
  <c r="M42" i="14"/>
  <c r="N42" i="14"/>
  <c r="O42" i="14"/>
  <c r="P42" i="14"/>
  <c r="Q42" i="14"/>
  <c r="R42" i="14"/>
  <c r="S42" i="14"/>
  <c r="M43" i="14"/>
  <c r="N43" i="14"/>
  <c r="O43" i="14"/>
  <c r="P43" i="14"/>
  <c r="Q43" i="14"/>
  <c r="R43" i="14"/>
  <c r="S43" i="14"/>
  <c r="M44" i="14"/>
  <c r="N44" i="14"/>
  <c r="O44" i="14"/>
  <c r="P44" i="14"/>
  <c r="Q44" i="14"/>
  <c r="R44" i="14"/>
  <c r="S44" i="14"/>
  <c r="M45" i="14"/>
  <c r="N45" i="14"/>
  <c r="O45" i="14"/>
  <c r="P45" i="14"/>
  <c r="Q45" i="14"/>
  <c r="R45" i="14"/>
  <c r="S45" i="14"/>
  <c r="M46" i="14"/>
  <c r="N46" i="14"/>
  <c r="O46" i="14"/>
  <c r="P46" i="14"/>
  <c r="Q46" i="14"/>
  <c r="R46" i="14"/>
  <c r="S46" i="14"/>
  <c r="M47" i="14"/>
  <c r="N47" i="14"/>
  <c r="O47" i="14"/>
  <c r="P47" i="14"/>
  <c r="Q47" i="14"/>
  <c r="R47" i="14"/>
  <c r="S47" i="14"/>
  <c r="M48" i="14"/>
  <c r="N48" i="14"/>
  <c r="O48" i="14"/>
  <c r="P48" i="14"/>
  <c r="Q48" i="14"/>
  <c r="R48" i="14"/>
  <c r="S48" i="14"/>
  <c r="M49" i="14"/>
  <c r="N49" i="14"/>
  <c r="O49" i="14"/>
  <c r="P49" i="14"/>
  <c r="Q49" i="14"/>
  <c r="R49" i="14"/>
  <c r="S49" i="14"/>
  <c r="M50" i="14"/>
  <c r="N50" i="14"/>
  <c r="O50" i="14"/>
  <c r="P50" i="14"/>
  <c r="Q50" i="14"/>
  <c r="R50" i="14"/>
  <c r="S50" i="14"/>
  <c r="M51" i="14"/>
  <c r="N51" i="14"/>
  <c r="O51" i="14"/>
  <c r="P51" i="14"/>
  <c r="Q51" i="14"/>
  <c r="R51" i="14"/>
  <c r="S51" i="14"/>
  <c r="M52" i="14"/>
  <c r="N52" i="14"/>
  <c r="O52" i="14"/>
  <c r="P52" i="14"/>
  <c r="Q52" i="14"/>
  <c r="R52" i="14"/>
  <c r="S52" i="14"/>
  <c r="M53" i="14"/>
  <c r="N53" i="14"/>
  <c r="O53" i="14"/>
  <c r="P53" i="14"/>
  <c r="Q53" i="14"/>
  <c r="R53" i="14"/>
  <c r="S53" i="14"/>
  <c r="O6" i="14"/>
  <c r="N6" i="14"/>
  <c r="P6" i="14"/>
  <c r="Q6" i="14"/>
  <c r="R6" i="14"/>
  <c r="S6" i="14"/>
  <c r="Q59" i="14" l="1"/>
  <c r="O59" i="14"/>
  <c r="M59" i="14"/>
  <c r="P59" i="14"/>
  <c r="N59" i="14"/>
  <c r="T10" i="14"/>
  <c r="M102" i="14"/>
  <c r="O102" i="14"/>
  <c r="Q102" i="14"/>
  <c r="L102" i="14"/>
  <c r="N102" i="14"/>
  <c r="P102" i="14"/>
  <c r="R102" i="14"/>
  <c r="M98" i="14"/>
  <c r="O98" i="14"/>
  <c r="Q98" i="14"/>
  <c r="L98" i="14"/>
  <c r="N98" i="14"/>
  <c r="P98" i="14"/>
  <c r="R98" i="14"/>
  <c r="M92" i="14"/>
  <c r="O92" i="14"/>
  <c r="Q92" i="14"/>
  <c r="L92" i="14"/>
  <c r="N92" i="14"/>
  <c r="P92" i="14"/>
  <c r="R92" i="14"/>
  <c r="M88" i="14"/>
  <c r="O88" i="14"/>
  <c r="Q88" i="14"/>
  <c r="L88" i="14"/>
  <c r="N88" i="14"/>
  <c r="P88" i="14"/>
  <c r="R88" i="14"/>
  <c r="L84" i="14"/>
  <c r="M84" i="14"/>
  <c r="O84" i="14"/>
  <c r="Q84" i="14"/>
  <c r="N84" i="14"/>
  <c r="P84" i="14"/>
  <c r="R84" i="14"/>
  <c r="L80" i="14"/>
  <c r="N80" i="14"/>
  <c r="P80" i="14"/>
  <c r="R80" i="14"/>
  <c r="M80" i="14"/>
  <c r="Q80" i="14"/>
  <c r="O80" i="14"/>
  <c r="L76" i="14"/>
  <c r="O39" i="15" s="1"/>
  <c r="N76" i="14"/>
  <c r="O41" i="15" s="1"/>
  <c r="P76" i="14"/>
  <c r="O43" i="15" s="1"/>
  <c r="R76" i="14"/>
  <c r="M76" i="14"/>
  <c r="O40" i="15" s="1"/>
  <c r="O76" i="14"/>
  <c r="O42" i="15" s="1"/>
  <c r="Q76" i="14"/>
  <c r="O44" i="15" s="1"/>
  <c r="L72" i="14"/>
  <c r="N72" i="14"/>
  <c r="P72" i="14"/>
  <c r="R72" i="14"/>
  <c r="M72" i="14"/>
  <c r="O72" i="14"/>
  <c r="Q72" i="14"/>
  <c r="L68" i="14"/>
  <c r="N68" i="14"/>
  <c r="P68" i="14"/>
  <c r="R68" i="14"/>
  <c r="M68" i="14"/>
  <c r="O68" i="14"/>
  <c r="Q68" i="14"/>
  <c r="L64" i="14"/>
  <c r="N64" i="14"/>
  <c r="P64" i="14"/>
  <c r="R64" i="14"/>
  <c r="M64" i="14"/>
  <c r="O64" i="14"/>
  <c r="Q64" i="14"/>
  <c r="L62" i="14"/>
  <c r="N62" i="14"/>
  <c r="P62" i="14"/>
  <c r="R62" i="14"/>
  <c r="M62" i="14"/>
  <c r="O62" i="14"/>
  <c r="Q62" i="14"/>
  <c r="R59" i="14"/>
  <c r="Q106" i="14"/>
  <c r="O106" i="14"/>
  <c r="M106" i="14"/>
  <c r="M104" i="14"/>
  <c r="O104" i="14"/>
  <c r="Q104" i="14"/>
  <c r="L104" i="14"/>
  <c r="N104" i="14"/>
  <c r="P104" i="14"/>
  <c r="R104" i="14"/>
  <c r="M100" i="14"/>
  <c r="O100" i="14"/>
  <c r="Q100" i="14"/>
  <c r="L100" i="14"/>
  <c r="N100" i="14"/>
  <c r="P100" i="14"/>
  <c r="R100" i="14"/>
  <c r="M96" i="14"/>
  <c r="O96" i="14"/>
  <c r="Q96" i="14"/>
  <c r="L96" i="14"/>
  <c r="N96" i="14"/>
  <c r="P96" i="14"/>
  <c r="R96" i="14"/>
  <c r="M94" i="14"/>
  <c r="O94" i="14"/>
  <c r="Q94" i="14"/>
  <c r="L94" i="14"/>
  <c r="N94" i="14"/>
  <c r="P94" i="14"/>
  <c r="R94" i="14"/>
  <c r="M90" i="14"/>
  <c r="O90" i="14"/>
  <c r="Q90" i="14"/>
  <c r="L90" i="14"/>
  <c r="N90" i="14"/>
  <c r="P90" i="14"/>
  <c r="R90" i="14"/>
  <c r="M86" i="14"/>
  <c r="O86" i="14"/>
  <c r="Q86" i="14"/>
  <c r="L86" i="14"/>
  <c r="N86" i="14"/>
  <c r="P86" i="14"/>
  <c r="R86" i="14"/>
  <c r="L82" i="14"/>
  <c r="N82" i="14"/>
  <c r="P82" i="14"/>
  <c r="R82" i="14"/>
  <c r="O82" i="14"/>
  <c r="M82" i="14"/>
  <c r="Q82" i="14"/>
  <c r="L78" i="14"/>
  <c r="G39" i="15" s="1"/>
  <c r="N78" i="14"/>
  <c r="G41" i="15" s="1"/>
  <c r="P78" i="14"/>
  <c r="G43" i="15" s="1"/>
  <c r="R78" i="14"/>
  <c r="M78" i="14"/>
  <c r="G40" i="15" s="1"/>
  <c r="O78" i="14"/>
  <c r="G42" i="15" s="1"/>
  <c r="Q78" i="14"/>
  <c r="G44" i="15" s="1"/>
  <c r="L74" i="14"/>
  <c r="N74" i="14"/>
  <c r="P74" i="14"/>
  <c r="R74" i="14"/>
  <c r="M74" i="14"/>
  <c r="O74" i="14"/>
  <c r="Q74" i="14"/>
  <c r="L70" i="14"/>
  <c r="N70" i="14"/>
  <c r="P70" i="14"/>
  <c r="R70" i="14"/>
  <c r="M70" i="14"/>
  <c r="O70" i="14"/>
  <c r="Q70" i="14"/>
  <c r="L66" i="14"/>
  <c r="N66" i="14"/>
  <c r="P66" i="14"/>
  <c r="R66" i="14"/>
  <c r="M66" i="14"/>
  <c r="O66" i="14"/>
  <c r="Q66" i="14"/>
  <c r="L60" i="14"/>
  <c r="N60" i="14"/>
  <c r="P60" i="14"/>
  <c r="R60" i="14"/>
  <c r="M60" i="14"/>
  <c r="O60" i="14"/>
  <c r="Q60" i="14"/>
  <c r="L105" i="14"/>
  <c r="N105" i="14"/>
  <c r="P105" i="14"/>
  <c r="M105" i="14"/>
  <c r="O105" i="14"/>
  <c r="L103" i="14"/>
  <c r="N103" i="14"/>
  <c r="P103" i="14"/>
  <c r="R103" i="14"/>
  <c r="M103" i="14"/>
  <c r="O103" i="14"/>
  <c r="Q103" i="14"/>
  <c r="L101" i="14"/>
  <c r="N101" i="14"/>
  <c r="P101" i="14"/>
  <c r="R101" i="14"/>
  <c r="M101" i="14"/>
  <c r="O101" i="14"/>
  <c r="Q101" i="14"/>
  <c r="L99" i="14"/>
  <c r="N99" i="14"/>
  <c r="P99" i="14"/>
  <c r="R99" i="14"/>
  <c r="M99" i="14"/>
  <c r="O99" i="14"/>
  <c r="Q99" i="14"/>
  <c r="L97" i="14"/>
  <c r="N97" i="14"/>
  <c r="P97" i="14"/>
  <c r="R97" i="14"/>
  <c r="M97" i="14"/>
  <c r="O97" i="14"/>
  <c r="Q97" i="14"/>
  <c r="L95" i="14"/>
  <c r="N95" i="14"/>
  <c r="P95" i="14"/>
  <c r="R95" i="14"/>
  <c r="M95" i="14"/>
  <c r="O95" i="14"/>
  <c r="Q95" i="14"/>
  <c r="L93" i="14"/>
  <c r="N93" i="14"/>
  <c r="P93" i="14"/>
  <c r="R93" i="14"/>
  <c r="M93" i="14"/>
  <c r="O93" i="14"/>
  <c r="Q93" i="14"/>
  <c r="L91" i="14"/>
  <c r="N91" i="14"/>
  <c r="P91" i="14"/>
  <c r="R91" i="14"/>
  <c r="M91" i="14"/>
  <c r="O91" i="14"/>
  <c r="Q91" i="14"/>
  <c r="L89" i="14"/>
  <c r="N89" i="14"/>
  <c r="P89" i="14"/>
  <c r="R89" i="14"/>
  <c r="M89" i="14"/>
  <c r="O89" i="14"/>
  <c r="Q89" i="14"/>
  <c r="L87" i="14"/>
  <c r="N87" i="14"/>
  <c r="P87" i="14"/>
  <c r="R87" i="14"/>
  <c r="M87" i="14"/>
  <c r="O87" i="14"/>
  <c r="Q87" i="14"/>
  <c r="L85" i="14"/>
  <c r="N85" i="14"/>
  <c r="P85" i="14"/>
  <c r="R85" i="14"/>
  <c r="M85" i="14"/>
  <c r="O85" i="14"/>
  <c r="Q85" i="14"/>
  <c r="M83" i="14"/>
  <c r="O83" i="14"/>
  <c r="Q83" i="14"/>
  <c r="L83" i="14"/>
  <c r="P83" i="14"/>
  <c r="N83" i="14"/>
  <c r="R83" i="14"/>
  <c r="M81" i="14"/>
  <c r="O81" i="14"/>
  <c r="Q81" i="14"/>
  <c r="N81" i="14"/>
  <c r="R81" i="14"/>
  <c r="L81" i="14"/>
  <c r="P81" i="14"/>
  <c r="M79" i="14"/>
  <c r="O79" i="14"/>
  <c r="Q79" i="14"/>
  <c r="L79" i="14"/>
  <c r="P79" i="14"/>
  <c r="N79" i="14"/>
  <c r="R79" i="14"/>
  <c r="M77" i="14"/>
  <c r="O77" i="14"/>
  <c r="Q77" i="14"/>
  <c r="L77" i="14"/>
  <c r="N77" i="14"/>
  <c r="P77" i="14"/>
  <c r="R77" i="14"/>
  <c r="M75" i="14"/>
  <c r="O75" i="14"/>
  <c r="Q75" i="14"/>
  <c r="L75" i="14"/>
  <c r="N75" i="14"/>
  <c r="P75" i="14"/>
  <c r="R75" i="14"/>
  <c r="M73" i="14"/>
  <c r="O73" i="14"/>
  <c r="Q73" i="14"/>
  <c r="L73" i="14"/>
  <c r="N73" i="14"/>
  <c r="P73" i="14"/>
  <c r="R73" i="14"/>
  <c r="M71" i="14"/>
  <c r="O71" i="14"/>
  <c r="Q71" i="14"/>
  <c r="L71" i="14"/>
  <c r="N71" i="14"/>
  <c r="P71" i="14"/>
  <c r="R71" i="14"/>
  <c r="M69" i="14"/>
  <c r="O69" i="14"/>
  <c r="Q69" i="14"/>
  <c r="L69" i="14"/>
  <c r="N69" i="14"/>
  <c r="P69" i="14"/>
  <c r="R69" i="14"/>
  <c r="M67" i="14"/>
  <c r="O67" i="14"/>
  <c r="Q67" i="14"/>
  <c r="L67" i="14"/>
  <c r="N67" i="14"/>
  <c r="P67" i="14"/>
  <c r="R67" i="14"/>
  <c r="M65" i="14"/>
  <c r="O65" i="14"/>
  <c r="Q65" i="14"/>
  <c r="L65" i="14"/>
  <c r="N65" i="14"/>
  <c r="P65" i="14"/>
  <c r="R65" i="14"/>
  <c r="M63" i="14"/>
  <c r="O63" i="14"/>
  <c r="Q63" i="14"/>
  <c r="L63" i="14"/>
  <c r="N63" i="14"/>
  <c r="P63" i="14"/>
  <c r="R63" i="14"/>
  <c r="M61" i="14"/>
  <c r="O61" i="14"/>
  <c r="Q61" i="14"/>
  <c r="L61" i="14"/>
  <c r="N61" i="14"/>
  <c r="P61" i="14"/>
  <c r="R61" i="14"/>
  <c r="L59" i="14"/>
  <c r="R106" i="14"/>
  <c r="P106" i="14"/>
  <c r="N106" i="14"/>
  <c r="Q105" i="14"/>
  <c r="D109" i="12"/>
  <c r="E109" i="12"/>
  <c r="F109" i="12"/>
  <c r="G109" i="12"/>
  <c r="H109" i="12"/>
  <c r="I109" i="12"/>
  <c r="J109" i="12"/>
  <c r="K109" i="12"/>
  <c r="L109" i="12"/>
  <c r="M109" i="12"/>
  <c r="N109" i="12"/>
  <c r="O109" i="12"/>
  <c r="D110" i="12"/>
  <c r="E110" i="12"/>
  <c r="F110" i="12"/>
  <c r="G110" i="12"/>
  <c r="H110" i="12"/>
  <c r="I110" i="12"/>
  <c r="J110" i="12"/>
  <c r="K110" i="12"/>
  <c r="L110" i="12"/>
  <c r="M110" i="12"/>
  <c r="N110" i="12"/>
  <c r="O110" i="12"/>
  <c r="D111" i="12"/>
  <c r="E111" i="12"/>
  <c r="F111" i="12"/>
  <c r="G111" i="12"/>
  <c r="H111" i="12"/>
  <c r="I111" i="12"/>
  <c r="J111" i="12"/>
  <c r="K111" i="12"/>
  <c r="L111" i="12"/>
  <c r="M111" i="12"/>
  <c r="N111" i="12"/>
  <c r="O111" i="12"/>
  <c r="D112" i="12"/>
  <c r="E112" i="12"/>
  <c r="F112" i="12"/>
  <c r="G112" i="12"/>
  <c r="H112" i="12"/>
  <c r="I112" i="12"/>
  <c r="J112" i="12"/>
  <c r="K112" i="12"/>
  <c r="L112" i="12"/>
  <c r="M112" i="12"/>
  <c r="N112" i="12"/>
  <c r="O112" i="12"/>
  <c r="D113" i="12"/>
  <c r="E113" i="12"/>
  <c r="F113" i="12"/>
  <c r="G113" i="12"/>
  <c r="H113" i="12"/>
  <c r="I113" i="12"/>
  <c r="J113" i="12"/>
  <c r="K113" i="12"/>
  <c r="L113" i="12"/>
  <c r="M113" i="12"/>
  <c r="N113" i="12"/>
  <c r="O113" i="12"/>
  <c r="D114" i="12"/>
  <c r="E114" i="12"/>
  <c r="F114" i="12"/>
  <c r="G114" i="12"/>
  <c r="H114" i="12"/>
  <c r="I114" i="12"/>
  <c r="J114" i="12"/>
  <c r="K114" i="12"/>
  <c r="L114" i="12"/>
  <c r="M114" i="12"/>
  <c r="N114" i="12"/>
  <c r="O114" i="12"/>
  <c r="D115" i="12"/>
  <c r="E115" i="12"/>
  <c r="F115" i="12"/>
  <c r="G115" i="12"/>
  <c r="H115" i="12"/>
  <c r="I115" i="12"/>
  <c r="J115" i="12"/>
  <c r="K115" i="12"/>
  <c r="L115" i="12"/>
  <c r="M115" i="12"/>
  <c r="N115" i="12"/>
  <c r="O115" i="12"/>
  <c r="D116" i="12"/>
  <c r="E116" i="12"/>
  <c r="F116" i="12"/>
  <c r="G116" i="12"/>
  <c r="H116" i="12"/>
  <c r="I116" i="12"/>
  <c r="J116" i="12"/>
  <c r="K116" i="12"/>
  <c r="L116" i="12"/>
  <c r="M116" i="12"/>
  <c r="N116" i="12"/>
  <c r="O116" i="12"/>
  <c r="D117" i="12"/>
  <c r="E117" i="12"/>
  <c r="F117" i="12"/>
  <c r="G117" i="12"/>
  <c r="H117" i="12"/>
  <c r="I117" i="12"/>
  <c r="J117" i="12"/>
  <c r="K117" i="12"/>
  <c r="L117" i="12"/>
  <c r="M117" i="12"/>
  <c r="N117" i="12"/>
  <c r="O117" i="12"/>
  <c r="D118" i="12"/>
  <c r="E118" i="12"/>
  <c r="F118" i="12"/>
  <c r="G118" i="12"/>
  <c r="H118" i="12"/>
  <c r="I118" i="12"/>
  <c r="J118" i="12"/>
  <c r="K118" i="12"/>
  <c r="L118" i="12"/>
  <c r="M118" i="12"/>
  <c r="N118" i="12"/>
  <c r="O118" i="12"/>
  <c r="D119" i="12"/>
  <c r="E119" i="12"/>
  <c r="F119" i="12"/>
  <c r="G119" i="12"/>
  <c r="H119" i="12"/>
  <c r="I119" i="12"/>
  <c r="J119" i="12"/>
  <c r="K119" i="12"/>
  <c r="L119" i="12"/>
  <c r="M119" i="12"/>
  <c r="N119" i="12"/>
  <c r="O119" i="12"/>
  <c r="D120" i="12"/>
  <c r="E120" i="12"/>
  <c r="F120" i="12"/>
  <c r="G120" i="12"/>
  <c r="H120" i="12"/>
  <c r="I120" i="12"/>
  <c r="J120" i="12"/>
  <c r="K120" i="12"/>
  <c r="L120" i="12"/>
  <c r="M120" i="12"/>
  <c r="N120" i="12"/>
  <c r="O120" i="12"/>
  <c r="D121" i="12"/>
  <c r="E121" i="12"/>
  <c r="F121" i="12"/>
  <c r="G121" i="12"/>
  <c r="H121" i="12"/>
  <c r="I121" i="12"/>
  <c r="J121" i="12"/>
  <c r="K121" i="12"/>
  <c r="L121" i="12"/>
  <c r="M121" i="12"/>
  <c r="N121" i="12"/>
  <c r="O121" i="12"/>
  <c r="D122" i="12"/>
  <c r="E122" i="12"/>
  <c r="F122" i="12"/>
  <c r="G122" i="12"/>
  <c r="H122" i="12"/>
  <c r="I122" i="12"/>
  <c r="J122" i="12"/>
  <c r="K122" i="12"/>
  <c r="L122" i="12"/>
  <c r="M122" i="12"/>
  <c r="N122" i="12"/>
  <c r="O122" i="12"/>
  <c r="D123" i="12"/>
  <c r="E123" i="12"/>
  <c r="F123" i="12"/>
  <c r="G123" i="12"/>
  <c r="H123" i="12"/>
  <c r="I123" i="12"/>
  <c r="J123" i="12"/>
  <c r="K123" i="12"/>
  <c r="L123" i="12"/>
  <c r="M123" i="12"/>
  <c r="S20" i="15" s="1"/>
  <c r="N123" i="12"/>
  <c r="S21" i="15" s="1"/>
  <c r="O123" i="12"/>
  <c r="S22" i="15" s="1"/>
  <c r="D124" i="12"/>
  <c r="E124" i="12"/>
  <c r="F124" i="12"/>
  <c r="G124" i="12"/>
  <c r="H124" i="12"/>
  <c r="I124" i="12"/>
  <c r="J124" i="12"/>
  <c r="K124" i="12"/>
  <c r="L124" i="12"/>
  <c r="M124" i="12"/>
  <c r="N124" i="12"/>
  <c r="O124" i="12"/>
  <c r="D125" i="12"/>
  <c r="E125" i="12"/>
  <c r="F125" i="12"/>
  <c r="G125" i="12"/>
  <c r="H125" i="12"/>
  <c r="I125" i="12"/>
  <c r="J125" i="12"/>
  <c r="K125" i="12"/>
  <c r="L125" i="12"/>
  <c r="M125" i="12"/>
  <c r="N125" i="12"/>
  <c r="O125" i="12"/>
  <c r="D126" i="12"/>
  <c r="E126" i="12"/>
  <c r="F126" i="12"/>
  <c r="G126" i="12"/>
  <c r="H126" i="12"/>
  <c r="I126" i="12"/>
  <c r="J126" i="12"/>
  <c r="K126" i="12"/>
  <c r="L126" i="12"/>
  <c r="M126" i="12"/>
  <c r="N126" i="12"/>
  <c r="O126" i="12"/>
  <c r="D127" i="12"/>
  <c r="E127" i="12"/>
  <c r="F127" i="12"/>
  <c r="G127" i="12"/>
  <c r="H127" i="12"/>
  <c r="I127" i="12"/>
  <c r="J127" i="12"/>
  <c r="K127" i="12"/>
  <c r="L127" i="12"/>
  <c r="M127" i="12"/>
  <c r="N127" i="12"/>
  <c r="O127" i="12"/>
  <c r="D128" i="12"/>
  <c r="E128" i="12"/>
  <c r="F128" i="12"/>
  <c r="G128" i="12"/>
  <c r="H128" i="12"/>
  <c r="I128" i="12"/>
  <c r="J128" i="12"/>
  <c r="K128" i="12"/>
  <c r="L128" i="12"/>
  <c r="M128" i="12"/>
  <c r="N128" i="12"/>
  <c r="O128" i="12"/>
  <c r="D129" i="12"/>
  <c r="E129" i="12"/>
  <c r="F129" i="12"/>
  <c r="G129" i="12"/>
  <c r="H129" i="12"/>
  <c r="I129" i="12"/>
  <c r="J129" i="12"/>
  <c r="K129" i="12"/>
  <c r="L129" i="12"/>
  <c r="M129" i="12"/>
  <c r="N129" i="12"/>
  <c r="O129" i="12"/>
  <c r="D130" i="12"/>
  <c r="E130" i="12"/>
  <c r="F130" i="12"/>
  <c r="G130" i="12"/>
  <c r="H130" i="12"/>
  <c r="I130" i="12"/>
  <c r="J130" i="12"/>
  <c r="K130" i="12"/>
  <c r="L130" i="12"/>
  <c r="M130" i="12"/>
  <c r="N130" i="12"/>
  <c r="O130" i="12"/>
  <c r="D131" i="12"/>
  <c r="E131" i="12"/>
  <c r="F131" i="12"/>
  <c r="G131" i="12"/>
  <c r="H131" i="12"/>
  <c r="I131" i="12"/>
  <c r="J131" i="12"/>
  <c r="K131" i="12"/>
  <c r="L131" i="12"/>
  <c r="M131" i="12"/>
  <c r="N131" i="12"/>
  <c r="O131" i="12"/>
  <c r="D132" i="12"/>
  <c r="E132" i="12"/>
  <c r="F132" i="12"/>
  <c r="G132" i="12"/>
  <c r="H132" i="12"/>
  <c r="I132" i="12"/>
  <c r="J132" i="12"/>
  <c r="K132" i="12"/>
  <c r="L132" i="12"/>
  <c r="M132" i="12"/>
  <c r="N132" i="12"/>
  <c r="O132" i="12"/>
  <c r="D133" i="12"/>
  <c r="E133" i="12"/>
  <c r="F133" i="12"/>
  <c r="G133" i="12"/>
  <c r="H133" i="12"/>
  <c r="I133" i="12"/>
  <c r="J133" i="12"/>
  <c r="K133" i="12"/>
  <c r="L133" i="12"/>
  <c r="M133" i="12"/>
  <c r="N133" i="12"/>
  <c r="O133" i="12"/>
  <c r="D134" i="12"/>
  <c r="E134" i="12"/>
  <c r="F134" i="12"/>
  <c r="G134" i="12"/>
  <c r="H134" i="12"/>
  <c r="I134" i="12"/>
  <c r="J134" i="12"/>
  <c r="K134" i="12"/>
  <c r="L134" i="12"/>
  <c r="M134" i="12"/>
  <c r="N134" i="12"/>
  <c r="O134" i="12"/>
  <c r="D135" i="12"/>
  <c r="E135" i="12"/>
  <c r="F135" i="12"/>
  <c r="G135" i="12"/>
  <c r="H135" i="12"/>
  <c r="I135" i="12"/>
  <c r="J135" i="12"/>
  <c r="K135" i="12"/>
  <c r="L135" i="12"/>
  <c r="M135" i="12"/>
  <c r="N135" i="12"/>
  <c r="O135" i="12"/>
  <c r="D136" i="12"/>
  <c r="E136" i="12"/>
  <c r="F136" i="12"/>
  <c r="G136" i="12"/>
  <c r="H136" i="12"/>
  <c r="I136" i="12"/>
  <c r="J136" i="12"/>
  <c r="K136" i="12"/>
  <c r="L136" i="12"/>
  <c r="M136" i="12"/>
  <c r="N136" i="12"/>
  <c r="O136" i="12"/>
  <c r="D137" i="12"/>
  <c r="E137" i="12"/>
  <c r="F137" i="12"/>
  <c r="G137" i="12"/>
  <c r="H137" i="12"/>
  <c r="I137" i="12"/>
  <c r="J137" i="12"/>
  <c r="K137" i="12"/>
  <c r="L137" i="12"/>
  <c r="M137" i="12"/>
  <c r="N137" i="12"/>
  <c r="O137" i="12"/>
  <c r="D138" i="12"/>
  <c r="E138" i="12"/>
  <c r="F138" i="12"/>
  <c r="G138" i="12"/>
  <c r="H138" i="12"/>
  <c r="I138" i="12"/>
  <c r="J138" i="12"/>
  <c r="K138" i="12"/>
  <c r="L138" i="12"/>
  <c r="M138" i="12"/>
  <c r="N138" i="12"/>
  <c r="O138" i="12"/>
  <c r="D139" i="12"/>
  <c r="E139" i="12"/>
  <c r="F139" i="12"/>
  <c r="G139" i="12"/>
  <c r="H139" i="12"/>
  <c r="I139" i="12"/>
  <c r="J139" i="12"/>
  <c r="K139" i="12"/>
  <c r="L139" i="12"/>
  <c r="M139" i="12"/>
  <c r="N139" i="12"/>
  <c r="O139" i="12"/>
  <c r="D140" i="12"/>
  <c r="E140" i="12"/>
  <c r="F140" i="12"/>
  <c r="G140" i="12"/>
  <c r="H140" i="12"/>
  <c r="I140" i="12"/>
  <c r="J140" i="12"/>
  <c r="K140" i="12"/>
  <c r="L140" i="12"/>
  <c r="M140" i="12"/>
  <c r="M20" i="15" s="1"/>
  <c r="N140" i="12"/>
  <c r="M21" i="15" s="1"/>
  <c r="O140" i="12"/>
  <c r="M22" i="15" s="1"/>
  <c r="D141" i="12"/>
  <c r="E141" i="12"/>
  <c r="F141" i="12"/>
  <c r="G141" i="12"/>
  <c r="H141" i="12"/>
  <c r="I141" i="12"/>
  <c r="J141" i="12"/>
  <c r="K141" i="12"/>
  <c r="L141" i="12"/>
  <c r="M141" i="12"/>
  <c r="N141" i="12"/>
  <c r="O141" i="12"/>
  <c r="D142" i="12"/>
  <c r="E142" i="12"/>
  <c r="F142" i="12"/>
  <c r="G142" i="12"/>
  <c r="H142" i="12"/>
  <c r="I142" i="12"/>
  <c r="J142" i="12"/>
  <c r="K142" i="12"/>
  <c r="L142" i="12"/>
  <c r="M142" i="12"/>
  <c r="N142" i="12"/>
  <c r="O142" i="12"/>
  <c r="D143" i="12"/>
  <c r="E143" i="12"/>
  <c r="F143" i="12"/>
  <c r="G143" i="12"/>
  <c r="H143" i="12"/>
  <c r="I143" i="12"/>
  <c r="J143" i="12"/>
  <c r="K143" i="12"/>
  <c r="L143" i="12"/>
  <c r="M143" i="12"/>
  <c r="N143" i="12"/>
  <c r="O143" i="12"/>
  <c r="D144" i="12"/>
  <c r="E144" i="12"/>
  <c r="F144" i="12"/>
  <c r="G144" i="12"/>
  <c r="H144" i="12"/>
  <c r="I144" i="12"/>
  <c r="J144" i="12"/>
  <c r="K144" i="12"/>
  <c r="L144" i="12"/>
  <c r="M144" i="12"/>
  <c r="N144" i="12"/>
  <c r="O144" i="12"/>
  <c r="D145" i="12"/>
  <c r="E145" i="12"/>
  <c r="F145" i="12"/>
  <c r="G145" i="12"/>
  <c r="H145" i="12"/>
  <c r="I145" i="12"/>
  <c r="J145" i="12"/>
  <c r="K145" i="12"/>
  <c r="L145" i="12"/>
  <c r="M145" i="12"/>
  <c r="N145" i="12"/>
  <c r="O145" i="12"/>
  <c r="D146" i="12"/>
  <c r="E146" i="12"/>
  <c r="F146" i="12"/>
  <c r="G146" i="12"/>
  <c r="H146" i="12"/>
  <c r="I146" i="12"/>
  <c r="J146" i="12"/>
  <c r="K146" i="12"/>
  <c r="L146" i="12"/>
  <c r="M146" i="12"/>
  <c r="N146" i="12"/>
  <c r="O146" i="12"/>
  <c r="D147" i="12"/>
  <c r="E147" i="12"/>
  <c r="F147" i="12"/>
  <c r="G147" i="12"/>
  <c r="H147" i="12"/>
  <c r="I147" i="12"/>
  <c r="J147" i="12"/>
  <c r="K147" i="12"/>
  <c r="L147" i="12"/>
  <c r="M147" i="12"/>
  <c r="N147" i="12"/>
  <c r="O147" i="12"/>
  <c r="D148" i="12"/>
  <c r="E148" i="12"/>
  <c r="F148" i="12"/>
  <c r="G148" i="12"/>
  <c r="H148" i="12"/>
  <c r="I148" i="12"/>
  <c r="J148" i="12"/>
  <c r="K148" i="12"/>
  <c r="L148" i="12"/>
  <c r="M148" i="12"/>
  <c r="N148" i="12"/>
  <c r="O148" i="12"/>
  <c r="D149" i="12"/>
  <c r="E149" i="12"/>
  <c r="F149" i="12"/>
  <c r="G149" i="12"/>
  <c r="H149" i="12"/>
  <c r="I149" i="12"/>
  <c r="J149" i="12"/>
  <c r="K149" i="12"/>
  <c r="L149" i="12"/>
  <c r="M149" i="12"/>
  <c r="N149" i="12"/>
  <c r="O149" i="12"/>
  <c r="D150" i="12"/>
  <c r="E150" i="12"/>
  <c r="F150" i="12"/>
  <c r="G150" i="12"/>
  <c r="H150" i="12"/>
  <c r="I150" i="12"/>
  <c r="J150" i="12"/>
  <c r="K150" i="12"/>
  <c r="L150" i="12"/>
  <c r="M150" i="12"/>
  <c r="N150" i="12"/>
  <c r="O150" i="12"/>
  <c r="D151" i="12"/>
  <c r="E151" i="12"/>
  <c r="F151" i="12"/>
  <c r="G151" i="12"/>
  <c r="H151" i="12"/>
  <c r="I151" i="12"/>
  <c r="J151" i="12"/>
  <c r="K151" i="12"/>
  <c r="L151" i="12"/>
  <c r="M151" i="12"/>
  <c r="N151" i="12"/>
  <c r="O151" i="12"/>
  <c r="D152" i="12"/>
  <c r="E152" i="12"/>
  <c r="F152" i="12"/>
  <c r="G152" i="12"/>
  <c r="H152" i="12"/>
  <c r="I152" i="12"/>
  <c r="J152" i="12"/>
  <c r="K152" i="12"/>
  <c r="L152" i="12"/>
  <c r="M152" i="12"/>
  <c r="N152" i="12"/>
  <c r="O152" i="12"/>
  <c r="D153" i="12"/>
  <c r="E153" i="12"/>
  <c r="F153" i="12"/>
  <c r="G153" i="12"/>
  <c r="H153" i="12"/>
  <c r="I153" i="12"/>
  <c r="J153" i="12"/>
  <c r="K153" i="12"/>
  <c r="L153" i="12"/>
  <c r="M153" i="12"/>
  <c r="N153" i="12"/>
  <c r="O153" i="12"/>
  <c r="D154" i="12"/>
  <c r="E154" i="12"/>
  <c r="F154" i="12"/>
  <c r="G154" i="12"/>
  <c r="H154" i="12"/>
  <c r="I154" i="12"/>
  <c r="J154" i="12"/>
  <c r="K154" i="12"/>
  <c r="L154" i="12"/>
  <c r="M154" i="12"/>
  <c r="N154" i="12"/>
  <c r="O154" i="12"/>
  <c r="D155" i="12"/>
  <c r="E155" i="12"/>
  <c r="E206" i="12" s="1"/>
  <c r="F155" i="12"/>
  <c r="F206" i="12" s="1"/>
  <c r="G155" i="12"/>
  <c r="G206" i="12" s="1"/>
  <c r="H155" i="12"/>
  <c r="H206" i="12" s="1"/>
  <c r="I155" i="12"/>
  <c r="I206" i="12" s="1"/>
  <c r="J155" i="12"/>
  <c r="J206" i="12" s="1"/>
  <c r="K155" i="12"/>
  <c r="K206" i="12" s="1"/>
  <c r="L155" i="12"/>
  <c r="L206" i="12" s="1"/>
  <c r="M155" i="12"/>
  <c r="M206" i="12" s="1"/>
  <c r="N155" i="12"/>
  <c r="N206" i="12" s="1"/>
  <c r="O155" i="12"/>
  <c r="O206" i="12" s="1"/>
  <c r="E108" i="12"/>
  <c r="F108" i="12"/>
  <c r="F159" i="12" s="1"/>
  <c r="G108" i="12"/>
  <c r="H108" i="12"/>
  <c r="H159" i="12" s="1"/>
  <c r="I108" i="12"/>
  <c r="J108" i="12"/>
  <c r="J159" i="12" s="1"/>
  <c r="K108" i="12"/>
  <c r="L108" i="12"/>
  <c r="L159" i="12" s="1"/>
  <c r="M108" i="12"/>
  <c r="N108" i="12"/>
  <c r="N159" i="12" s="1"/>
  <c r="O108" i="12"/>
  <c r="D206" i="12" l="1"/>
  <c r="M205" i="12"/>
  <c r="O159" i="12"/>
  <c r="M159" i="12"/>
  <c r="K159" i="12"/>
  <c r="I159" i="12"/>
  <c r="G159" i="12"/>
  <c r="E159" i="12"/>
  <c r="N205" i="12"/>
  <c r="L205" i="12"/>
  <c r="J205" i="12"/>
  <c r="H205" i="12"/>
  <c r="F205" i="12"/>
  <c r="D205" i="12"/>
  <c r="N204" i="12"/>
  <c r="L204" i="12"/>
  <c r="J204" i="12"/>
  <c r="H204" i="12"/>
  <c r="F204" i="12"/>
  <c r="D204" i="12"/>
  <c r="N203" i="12"/>
  <c r="L203" i="12"/>
  <c r="J203" i="12"/>
  <c r="H203" i="12"/>
  <c r="F203" i="12"/>
  <c r="D203" i="12"/>
  <c r="N202" i="12"/>
  <c r="L202" i="12"/>
  <c r="J202" i="12"/>
  <c r="H202" i="12"/>
  <c r="F202" i="12"/>
  <c r="D202" i="12"/>
  <c r="N201" i="12"/>
  <c r="L201" i="12"/>
  <c r="J201" i="12"/>
  <c r="H201" i="12"/>
  <c r="F201" i="12"/>
  <c r="D201" i="12"/>
  <c r="N200" i="12"/>
  <c r="L200" i="12"/>
  <c r="J200" i="12"/>
  <c r="H200" i="12"/>
  <c r="F200" i="12"/>
  <c r="D200" i="12"/>
  <c r="N199" i="12"/>
  <c r="L199" i="12"/>
  <c r="J199" i="12"/>
  <c r="H199" i="12"/>
  <c r="F199" i="12"/>
  <c r="D199" i="12"/>
  <c r="N198" i="12"/>
  <c r="L198" i="12"/>
  <c r="J198" i="12"/>
  <c r="O205" i="12"/>
  <c r="K205" i="12"/>
  <c r="I205" i="12"/>
  <c r="G205" i="12"/>
  <c r="E205" i="12"/>
  <c r="O204" i="12"/>
  <c r="M204" i="12"/>
  <c r="K204" i="12"/>
  <c r="I204" i="12"/>
  <c r="G204" i="12"/>
  <c r="E204" i="12"/>
  <c r="O203" i="12"/>
  <c r="M203" i="12"/>
  <c r="K203" i="12"/>
  <c r="I203" i="12"/>
  <c r="G203" i="12"/>
  <c r="E203" i="12"/>
  <c r="O202" i="12"/>
  <c r="M202" i="12"/>
  <c r="K202" i="12"/>
  <c r="I202" i="12"/>
  <c r="G202" i="12"/>
  <c r="E202" i="12"/>
  <c r="O201" i="12"/>
  <c r="M201" i="12"/>
  <c r="K201" i="12"/>
  <c r="I201" i="12"/>
  <c r="G201" i="12"/>
  <c r="E201" i="12"/>
  <c r="O200" i="12"/>
  <c r="M200" i="12"/>
  <c r="K200" i="12"/>
  <c r="I200" i="12"/>
  <c r="G200" i="12"/>
  <c r="E200" i="12"/>
  <c r="O199" i="12"/>
  <c r="M199" i="12"/>
  <c r="K199" i="12"/>
  <c r="I199" i="12"/>
  <c r="G199" i="12"/>
  <c r="E199" i="12"/>
  <c r="O198" i="12"/>
  <c r="M198" i="12"/>
  <c r="K198" i="12"/>
  <c r="I198" i="12"/>
  <c r="G198" i="12"/>
  <c r="E198" i="12"/>
  <c r="O197" i="12"/>
  <c r="M197" i="12"/>
  <c r="K197" i="12"/>
  <c r="I197" i="12"/>
  <c r="G197" i="12"/>
  <c r="E197" i="12"/>
  <c r="O196" i="12"/>
  <c r="M196" i="12"/>
  <c r="K196" i="12"/>
  <c r="I196" i="12"/>
  <c r="G196" i="12"/>
  <c r="E196" i="12"/>
  <c r="O195" i="12"/>
  <c r="H198" i="12"/>
  <c r="F198" i="12"/>
  <c r="D198" i="12"/>
  <c r="N197" i="12"/>
  <c r="L197" i="12"/>
  <c r="J197" i="12"/>
  <c r="H197" i="12"/>
  <c r="F197" i="12"/>
  <c r="D197" i="12"/>
  <c r="N196" i="12"/>
  <c r="L196" i="12"/>
  <c r="J196" i="12"/>
  <c r="H196" i="12"/>
  <c r="F196" i="12"/>
  <c r="D196" i="12"/>
  <c r="N195" i="12"/>
  <c r="L195" i="12"/>
  <c r="J195" i="12"/>
  <c r="H195" i="12"/>
  <c r="F195" i="12"/>
  <c r="D195" i="12"/>
  <c r="N194" i="12"/>
  <c r="L194" i="12"/>
  <c r="J194" i="12"/>
  <c r="H194" i="12"/>
  <c r="F194" i="12"/>
  <c r="D194" i="12"/>
  <c r="N193" i="12"/>
  <c r="L193" i="12"/>
  <c r="J193" i="12"/>
  <c r="H193" i="12"/>
  <c r="F193" i="12"/>
  <c r="D193" i="12"/>
  <c r="N192" i="12"/>
  <c r="L192" i="12"/>
  <c r="J192" i="12"/>
  <c r="H192" i="12"/>
  <c r="F192" i="12"/>
  <c r="D192" i="12"/>
  <c r="N191" i="12"/>
  <c r="M19" i="15"/>
  <c r="L191" i="12"/>
  <c r="M17" i="15"/>
  <c r="J191" i="12"/>
  <c r="M15" i="15"/>
  <c r="H191" i="12"/>
  <c r="M13" i="15"/>
  <c r="F191" i="12"/>
  <c r="M11" i="15"/>
  <c r="D191" i="12"/>
  <c r="N190" i="12"/>
  <c r="L190" i="12"/>
  <c r="J190" i="12"/>
  <c r="H190" i="12"/>
  <c r="F190" i="12"/>
  <c r="D190" i="12"/>
  <c r="N189" i="12"/>
  <c r="L189" i="12"/>
  <c r="J189" i="12"/>
  <c r="H189" i="12"/>
  <c r="F189" i="12"/>
  <c r="D189" i="12"/>
  <c r="N188" i="12"/>
  <c r="L188" i="12"/>
  <c r="J188" i="12"/>
  <c r="H188" i="12"/>
  <c r="F188" i="12"/>
  <c r="D188" i="12"/>
  <c r="N187" i="12"/>
  <c r="L187" i="12"/>
  <c r="J187" i="12"/>
  <c r="H187" i="12"/>
  <c r="F187" i="12"/>
  <c r="D187" i="12"/>
  <c r="N186" i="12"/>
  <c r="L186" i="12"/>
  <c r="J186" i="12"/>
  <c r="H186" i="12"/>
  <c r="F186" i="12"/>
  <c r="D186" i="12"/>
  <c r="N185" i="12"/>
  <c r="L185" i="12"/>
  <c r="J185" i="12"/>
  <c r="H185" i="12"/>
  <c r="F185" i="12"/>
  <c r="D185" i="12"/>
  <c r="N184" i="12"/>
  <c r="L184" i="12"/>
  <c r="J184" i="12"/>
  <c r="H184" i="12"/>
  <c r="F184" i="12"/>
  <c r="D184" i="12"/>
  <c r="N183" i="12"/>
  <c r="L183" i="12"/>
  <c r="J183" i="12"/>
  <c r="H183" i="12"/>
  <c r="F183" i="12"/>
  <c r="D183" i="12"/>
  <c r="N182" i="12"/>
  <c r="L182" i="12"/>
  <c r="J182" i="12"/>
  <c r="H182" i="12"/>
  <c r="F182" i="12"/>
  <c r="D182" i="12"/>
  <c r="N181" i="12"/>
  <c r="L181" i="12"/>
  <c r="J181" i="12"/>
  <c r="H181" i="12"/>
  <c r="F181" i="12"/>
  <c r="D181" i="12"/>
  <c r="N180" i="12"/>
  <c r="L180" i="12"/>
  <c r="J180" i="12"/>
  <c r="H180" i="12"/>
  <c r="F180" i="12"/>
  <c r="D180" i="12"/>
  <c r="N179" i="12"/>
  <c r="L179" i="12"/>
  <c r="J179" i="12"/>
  <c r="H179" i="12"/>
  <c r="F179" i="12"/>
  <c r="D179" i="12"/>
  <c r="N178" i="12"/>
  <c r="L178" i="12"/>
  <c r="J178" i="12"/>
  <c r="H178" i="12"/>
  <c r="F178" i="12"/>
  <c r="D178" i="12"/>
  <c r="N177" i="12"/>
  <c r="L177" i="12"/>
  <c r="J177" i="12"/>
  <c r="H177" i="12"/>
  <c r="F177" i="12"/>
  <c r="D177" i="12"/>
  <c r="N176" i="12"/>
  <c r="L176" i="12"/>
  <c r="J176" i="12"/>
  <c r="H176" i="12"/>
  <c r="F176" i="12"/>
  <c r="D176" i="12"/>
  <c r="N175" i="12"/>
  <c r="L175" i="12"/>
  <c r="J175" i="12"/>
  <c r="H175" i="12"/>
  <c r="F175" i="12"/>
  <c r="D175" i="12"/>
  <c r="N174" i="12"/>
  <c r="S19" i="15"/>
  <c r="L174" i="12"/>
  <c r="S17" i="15"/>
  <c r="J174" i="12"/>
  <c r="S15" i="15"/>
  <c r="H174" i="12"/>
  <c r="S13" i="15"/>
  <c r="F174" i="12"/>
  <c r="S11" i="15"/>
  <c r="D174" i="12"/>
  <c r="N173" i="12"/>
  <c r="L173" i="12"/>
  <c r="J173" i="12"/>
  <c r="H173" i="12"/>
  <c r="F173" i="12"/>
  <c r="D173" i="12"/>
  <c r="N172" i="12"/>
  <c r="L172" i="12"/>
  <c r="J172" i="12"/>
  <c r="H172" i="12"/>
  <c r="F172" i="12"/>
  <c r="D172" i="12"/>
  <c r="N171" i="12"/>
  <c r="L171" i="12"/>
  <c r="J171" i="12"/>
  <c r="H171" i="12"/>
  <c r="F171" i="12"/>
  <c r="D171" i="12"/>
  <c r="N170" i="12"/>
  <c r="L170" i="12"/>
  <c r="J170" i="12"/>
  <c r="H170" i="12"/>
  <c r="F170" i="12"/>
  <c r="D170" i="12"/>
  <c r="N169" i="12"/>
  <c r="L169" i="12"/>
  <c r="J169" i="12"/>
  <c r="H169" i="12"/>
  <c r="F169" i="12"/>
  <c r="D169" i="12"/>
  <c r="M195" i="12"/>
  <c r="K195" i="12"/>
  <c r="I195" i="12"/>
  <c r="G195" i="12"/>
  <c r="E195" i="12"/>
  <c r="O194" i="12"/>
  <c r="M194" i="12"/>
  <c r="K194" i="12"/>
  <c r="I194" i="12"/>
  <c r="G194" i="12"/>
  <c r="E194" i="12"/>
  <c r="O193" i="12"/>
  <c r="M193" i="12"/>
  <c r="K193" i="12"/>
  <c r="I193" i="12"/>
  <c r="G193" i="12"/>
  <c r="E193" i="12"/>
  <c r="O192" i="12"/>
  <c r="M192" i="12"/>
  <c r="K192" i="12"/>
  <c r="I192" i="12"/>
  <c r="G192" i="12"/>
  <c r="E192" i="12"/>
  <c r="O191" i="12"/>
  <c r="M191" i="12"/>
  <c r="M18" i="15"/>
  <c r="K191" i="12"/>
  <c r="M16" i="15"/>
  <c r="I191" i="12"/>
  <c r="M14" i="15"/>
  <c r="G191" i="12"/>
  <c r="M12" i="15"/>
  <c r="E191" i="12"/>
  <c r="O190" i="12"/>
  <c r="M190" i="12"/>
  <c r="K190" i="12"/>
  <c r="I190" i="12"/>
  <c r="G190" i="12"/>
  <c r="E190" i="12"/>
  <c r="O189" i="12"/>
  <c r="M189" i="12"/>
  <c r="K189" i="12"/>
  <c r="I189" i="12"/>
  <c r="G189" i="12"/>
  <c r="E189" i="12"/>
  <c r="O188" i="12"/>
  <c r="M188" i="12"/>
  <c r="K188" i="12"/>
  <c r="I188" i="12"/>
  <c r="G188" i="12"/>
  <c r="E188" i="12"/>
  <c r="O187" i="12"/>
  <c r="M187" i="12"/>
  <c r="K187" i="12"/>
  <c r="I187" i="12"/>
  <c r="G187" i="12"/>
  <c r="E187" i="12"/>
  <c r="O186" i="12"/>
  <c r="M186" i="12"/>
  <c r="K186" i="12"/>
  <c r="I186" i="12"/>
  <c r="G186" i="12"/>
  <c r="E186" i="12"/>
  <c r="O185" i="12"/>
  <c r="M185" i="12"/>
  <c r="K185" i="12"/>
  <c r="I185" i="12"/>
  <c r="G185" i="12"/>
  <c r="E185" i="12"/>
  <c r="O184" i="12"/>
  <c r="M184" i="12"/>
  <c r="K184" i="12"/>
  <c r="I184" i="12"/>
  <c r="G184" i="12"/>
  <c r="E184" i="12"/>
  <c r="O183" i="12"/>
  <c r="M183" i="12"/>
  <c r="K183" i="12"/>
  <c r="I183" i="12"/>
  <c r="G183" i="12"/>
  <c r="E183" i="12"/>
  <c r="O182" i="12"/>
  <c r="M182" i="12"/>
  <c r="K182" i="12"/>
  <c r="I182" i="12"/>
  <c r="G182" i="12"/>
  <c r="E182" i="12"/>
  <c r="O181" i="12"/>
  <c r="M181" i="12"/>
  <c r="K181" i="12"/>
  <c r="I181" i="12"/>
  <c r="G181" i="12"/>
  <c r="E181" i="12"/>
  <c r="O180" i="12"/>
  <c r="M180" i="12"/>
  <c r="K180" i="12"/>
  <c r="I180" i="12"/>
  <c r="G180" i="12"/>
  <c r="E180" i="12"/>
  <c r="O179" i="12"/>
  <c r="M179" i="12"/>
  <c r="K179" i="12"/>
  <c r="I179" i="12"/>
  <c r="G179" i="12"/>
  <c r="E179" i="12"/>
  <c r="O178" i="12"/>
  <c r="M178" i="12"/>
  <c r="K178" i="12"/>
  <c r="I178" i="12"/>
  <c r="G178" i="12"/>
  <c r="E178" i="12"/>
  <c r="O177" i="12"/>
  <c r="M177" i="12"/>
  <c r="K177" i="12"/>
  <c r="I177" i="12"/>
  <c r="G177" i="12"/>
  <c r="E177" i="12"/>
  <c r="O176" i="12"/>
  <c r="M176" i="12"/>
  <c r="K176" i="12"/>
  <c r="I176" i="12"/>
  <c r="G176" i="12"/>
  <c r="E176" i="12"/>
  <c r="O175" i="12"/>
  <c r="M175" i="12"/>
  <c r="K175" i="12"/>
  <c r="I175" i="12"/>
  <c r="G175" i="12"/>
  <c r="E175" i="12"/>
  <c r="O174" i="12"/>
  <c r="M174" i="12"/>
  <c r="S18" i="15"/>
  <c r="K174" i="12"/>
  <c r="S16" i="15"/>
  <c r="I174" i="12"/>
  <c r="S14" i="15"/>
  <c r="G174" i="12"/>
  <c r="S12" i="15"/>
  <c r="E174" i="12"/>
  <c r="O173" i="12"/>
  <c r="M173" i="12"/>
  <c r="K173" i="12"/>
  <c r="I173" i="12"/>
  <c r="G173" i="12"/>
  <c r="E173" i="12"/>
  <c r="O172" i="12"/>
  <c r="M172" i="12"/>
  <c r="K172" i="12"/>
  <c r="I172" i="12"/>
  <c r="G172" i="12"/>
  <c r="E172" i="12"/>
  <c r="O171" i="12"/>
  <c r="M171" i="12"/>
  <c r="K171" i="12"/>
  <c r="I171" i="12"/>
  <c r="G171" i="12"/>
  <c r="E171" i="12"/>
  <c r="O170" i="12"/>
  <c r="M170" i="12"/>
  <c r="K170" i="12"/>
  <c r="I170" i="12"/>
  <c r="G170" i="12"/>
  <c r="E170" i="12"/>
  <c r="O169" i="12"/>
  <c r="M169" i="12"/>
  <c r="K169" i="12"/>
  <c r="I169" i="12"/>
  <c r="G169" i="12"/>
  <c r="E169" i="12"/>
  <c r="O168" i="12"/>
  <c r="M168" i="12"/>
  <c r="K168" i="12"/>
  <c r="I168" i="12"/>
  <c r="G168" i="12"/>
  <c r="E168" i="12"/>
  <c r="O167" i="12"/>
  <c r="M167" i="12"/>
  <c r="K167" i="12"/>
  <c r="I167" i="12"/>
  <c r="G167" i="12"/>
  <c r="E167" i="12"/>
  <c r="O166" i="12"/>
  <c r="M166" i="12"/>
  <c r="K166" i="12"/>
  <c r="I166" i="12"/>
  <c r="G166" i="12"/>
  <c r="E166" i="12"/>
  <c r="O165" i="12"/>
  <c r="M165" i="12"/>
  <c r="K165" i="12"/>
  <c r="I165" i="12"/>
  <c r="G165" i="12"/>
  <c r="E165" i="12"/>
  <c r="O164" i="12"/>
  <c r="M164" i="12"/>
  <c r="K164" i="12"/>
  <c r="I164" i="12"/>
  <c r="G164" i="12"/>
  <c r="E164" i="12"/>
  <c r="O163" i="12"/>
  <c r="M163" i="12"/>
  <c r="K163" i="12"/>
  <c r="I163" i="12"/>
  <c r="G163" i="12"/>
  <c r="E163" i="12"/>
  <c r="O162" i="12"/>
  <c r="M162" i="12"/>
  <c r="K162" i="12"/>
  <c r="I162" i="12"/>
  <c r="G162" i="12"/>
  <c r="E162" i="12"/>
  <c r="O161" i="12"/>
  <c r="M161" i="12"/>
  <c r="K161" i="12"/>
  <c r="I161" i="12"/>
  <c r="G161" i="12"/>
  <c r="E161" i="12"/>
  <c r="O160" i="12"/>
  <c r="M160" i="12"/>
  <c r="K160" i="12"/>
  <c r="I160" i="12"/>
  <c r="G160" i="12"/>
  <c r="E160" i="12"/>
  <c r="N168" i="12"/>
  <c r="L168" i="12"/>
  <c r="J168" i="12"/>
  <c r="H168" i="12"/>
  <c r="F168" i="12"/>
  <c r="D168" i="12"/>
  <c r="N167" i="12"/>
  <c r="L167" i="12"/>
  <c r="J167" i="12"/>
  <c r="H167" i="12"/>
  <c r="F167" i="12"/>
  <c r="D167" i="12"/>
  <c r="N166" i="12"/>
  <c r="L166" i="12"/>
  <c r="J166" i="12"/>
  <c r="H166" i="12"/>
  <c r="F166" i="12"/>
  <c r="D166" i="12"/>
  <c r="N165" i="12"/>
  <c r="L165" i="12"/>
  <c r="J165" i="12"/>
  <c r="H165" i="12"/>
  <c r="F165" i="12"/>
  <c r="D165" i="12"/>
  <c r="N164" i="12"/>
  <c r="L164" i="12"/>
  <c r="J164" i="12"/>
  <c r="H164" i="12"/>
  <c r="F164" i="12"/>
  <c r="D164" i="12"/>
  <c r="N163" i="12"/>
  <c r="L163" i="12"/>
  <c r="J163" i="12"/>
  <c r="H163" i="12"/>
  <c r="F163" i="12"/>
  <c r="D163" i="12"/>
  <c r="N162" i="12"/>
  <c r="L162" i="12"/>
  <c r="J162" i="12"/>
  <c r="H162" i="12"/>
  <c r="F162" i="12"/>
  <c r="D162" i="12"/>
  <c r="N161" i="12"/>
  <c r="L161" i="12"/>
  <c r="J161" i="12"/>
  <c r="H161" i="12"/>
  <c r="F161" i="12"/>
  <c r="D161" i="12"/>
  <c r="N160" i="12"/>
  <c r="L160" i="12"/>
  <c r="J160" i="12"/>
  <c r="H160" i="12"/>
  <c r="F160" i="12"/>
  <c r="D160" i="12"/>
  <c r="S106" i="14"/>
  <c r="S59" i="14"/>
  <c r="S61" i="14"/>
  <c r="S65" i="14"/>
  <c r="S69" i="14"/>
  <c r="S73" i="14"/>
  <c r="S77" i="14"/>
  <c r="S81" i="14"/>
  <c r="S87" i="14"/>
  <c r="S91" i="14"/>
  <c r="S95" i="14"/>
  <c r="S99" i="14"/>
  <c r="S103" i="14"/>
  <c r="S60" i="14"/>
  <c r="S70" i="14"/>
  <c r="S78" i="14"/>
  <c r="S90" i="14"/>
  <c r="S96" i="14"/>
  <c r="S104" i="14"/>
  <c r="S62" i="14"/>
  <c r="S68" i="14"/>
  <c r="S76" i="14"/>
  <c r="S84" i="14"/>
  <c r="S88" i="14"/>
  <c r="S98" i="14"/>
  <c r="S63" i="14"/>
  <c r="S67" i="14"/>
  <c r="S71" i="14"/>
  <c r="S75" i="14"/>
  <c r="S79" i="14"/>
  <c r="S83" i="14"/>
  <c r="S85" i="14"/>
  <c r="S89" i="14"/>
  <c r="S93" i="14"/>
  <c r="S97" i="14"/>
  <c r="S101" i="14"/>
  <c r="S105" i="14"/>
  <c r="S66" i="14"/>
  <c r="S74" i="14"/>
  <c r="S82" i="14"/>
  <c r="S86" i="14"/>
  <c r="S94" i="14"/>
  <c r="S100" i="14"/>
  <c r="S64" i="14"/>
  <c r="S72" i="14"/>
  <c r="S80" i="14"/>
  <c r="S92" i="14"/>
  <c r="S102" i="14"/>
  <c r="C29" i="15" l="1"/>
  <c r="E29" i="15"/>
  <c r="G29" i="15"/>
  <c r="I29" i="15"/>
  <c r="C28" i="15"/>
  <c r="E28" i="15"/>
  <c r="G28" i="15"/>
  <c r="I28" i="15"/>
  <c r="B28" i="15"/>
  <c r="D28" i="15"/>
  <c r="F28" i="15"/>
  <c r="H28" i="15"/>
  <c r="J28" i="15"/>
  <c r="B29" i="15"/>
  <c r="D29" i="15"/>
  <c r="F29" i="15"/>
  <c r="H29" i="15"/>
  <c r="J29" i="15"/>
  <c r="L29" i="15"/>
  <c r="L28" i="15"/>
  <c r="M29" i="15"/>
  <c r="K29" i="15"/>
  <c r="M28" i="15"/>
  <c r="K28" i="15"/>
  <c r="D60" i="10"/>
  <c r="D61" i="10"/>
  <c r="D59" i="10"/>
  <c r="D58" i="10"/>
  <c r="D57" i="10"/>
  <c r="D56" i="10"/>
  <c r="D55" i="10"/>
  <c r="D54" i="10"/>
  <c r="D53" i="10"/>
  <c r="D52" i="10"/>
  <c r="D51" i="10"/>
  <c r="D50" i="10"/>
  <c r="G69" i="9"/>
  <c r="G81" i="9"/>
  <c r="G80" i="9"/>
  <c r="G79" i="9"/>
  <c r="G78" i="9"/>
  <c r="G77" i="9"/>
  <c r="G76" i="9"/>
  <c r="G75" i="9"/>
  <c r="G74" i="9"/>
  <c r="G73" i="9"/>
  <c r="G72" i="9"/>
  <c r="G70" i="9"/>
  <c r="N131" i="16" l="1"/>
  <c r="N130" i="16"/>
  <c r="G101" i="4"/>
  <c r="H101" i="4" s="1"/>
  <c r="G102" i="4"/>
  <c r="H102" i="4" s="1"/>
  <c r="G109" i="4"/>
  <c r="H109" i="4" s="1"/>
  <c r="G111" i="4"/>
  <c r="H111" i="4" s="1"/>
  <c r="G108" i="4"/>
  <c r="H108" i="4" s="1"/>
  <c r="G105" i="4"/>
  <c r="H105" i="4" s="1"/>
  <c r="G103" i="4"/>
  <c r="H103" i="4" s="1"/>
  <c r="G106" i="4"/>
  <c r="H106" i="4" s="1"/>
  <c r="G113" i="4"/>
  <c r="H113" i="4" s="1"/>
  <c r="G104" i="4"/>
  <c r="H104" i="4" s="1"/>
  <c r="G112" i="4"/>
  <c r="H112" i="4" s="1"/>
  <c r="G114" i="4"/>
  <c r="H114" i="4" s="1"/>
  <c r="G110" i="4"/>
  <c r="H110" i="4" s="1"/>
  <c r="G100" i="4"/>
  <c r="H100" i="4" s="1"/>
  <c r="A81" i="4" l="1"/>
  <c r="I74" i="4"/>
  <c r="I73" i="4"/>
  <c r="I72" i="4"/>
  <c r="I71" i="4"/>
  <c r="I70" i="4"/>
  <c r="I69" i="4"/>
  <c r="I68" i="4"/>
  <c r="I67" i="4"/>
  <c r="I66" i="4"/>
  <c r="I65" i="4"/>
  <c r="I64" i="4"/>
  <c r="I63" i="4"/>
  <c r="I62" i="4"/>
  <c r="I61" i="4"/>
  <c r="I60" i="4"/>
  <c r="F83" i="4" l="1"/>
  <c r="F84" i="4"/>
  <c r="F85" i="4"/>
  <c r="F86" i="4"/>
  <c r="F87" i="4"/>
  <c r="F88" i="4"/>
  <c r="F89" i="4"/>
  <c r="F90" i="4"/>
  <c r="F91" i="4"/>
  <c r="E82" i="4"/>
  <c r="E83" i="4"/>
  <c r="E84" i="4"/>
  <c r="E85" i="4"/>
  <c r="E86" i="4"/>
  <c r="E87" i="4"/>
  <c r="E88" i="4"/>
  <c r="E89" i="4"/>
  <c r="E90" i="4"/>
  <c r="E91" i="4"/>
  <c r="F82" i="4"/>
  <c r="C90" i="4"/>
  <c r="C88" i="4"/>
  <c r="C86" i="4"/>
  <c r="A72" i="7" s="1"/>
  <c r="C84" i="4"/>
  <c r="A70" i="7" s="1"/>
  <c r="C82" i="4"/>
  <c r="C91" i="4"/>
  <c r="C89" i="4"/>
  <c r="C87" i="4"/>
  <c r="C85" i="4"/>
  <c r="A71" i="7" s="1"/>
  <c r="C83" i="4"/>
  <c r="A69" i="7" s="1"/>
  <c r="D82" i="4"/>
  <c r="G82" i="4" s="1"/>
  <c r="B82" i="4"/>
  <c r="K70" i="7"/>
  <c r="K68" i="7"/>
  <c r="K71" i="7"/>
  <c r="M83" i="4"/>
  <c r="M91" i="4"/>
  <c r="P91" i="4" s="1"/>
  <c r="M90" i="4"/>
  <c r="P90" i="4" s="1"/>
  <c r="M89" i="4"/>
  <c r="P89" i="4" s="1"/>
  <c r="M88" i="4"/>
  <c r="P88" i="4" s="1"/>
  <c r="M87" i="4"/>
  <c r="P87" i="4" s="1"/>
  <c r="M86" i="4"/>
  <c r="M85" i="4"/>
  <c r="K84" i="4"/>
  <c r="M84" i="4"/>
  <c r="K72" i="7"/>
  <c r="K69" i="7"/>
  <c r="M82" i="4"/>
  <c r="K83" i="4"/>
  <c r="K91" i="4"/>
  <c r="K90" i="4"/>
  <c r="K89" i="4"/>
  <c r="K88" i="4"/>
  <c r="K87" i="4"/>
  <c r="K86" i="4"/>
  <c r="K85" i="4"/>
  <c r="K82" i="4"/>
  <c r="A68" i="7"/>
  <c r="B84" i="4"/>
  <c r="D84" i="4"/>
  <c r="B86" i="4"/>
  <c r="D86" i="4"/>
  <c r="B88" i="4"/>
  <c r="D88" i="4"/>
  <c r="G88" i="4" s="1"/>
  <c r="B90" i="4"/>
  <c r="D90" i="4"/>
  <c r="G90" i="4" s="1"/>
  <c r="B83" i="4"/>
  <c r="D83" i="4"/>
  <c r="B85" i="4"/>
  <c r="D85" i="4"/>
  <c r="B87" i="4"/>
  <c r="D87" i="4"/>
  <c r="G87" i="4" s="1"/>
  <c r="B89" i="4"/>
  <c r="D89" i="4"/>
  <c r="G89" i="4" s="1"/>
  <c r="B91" i="4"/>
  <c r="D91" i="4"/>
  <c r="G91" i="4" s="1"/>
  <c r="P82" i="4" l="1"/>
  <c r="S68" i="7" s="1"/>
  <c r="Q68" i="7"/>
  <c r="Q70" i="7"/>
  <c r="P84" i="4"/>
  <c r="S70" i="7" s="1"/>
  <c r="Q72" i="7"/>
  <c r="P86" i="4"/>
  <c r="S72" i="7" s="1"/>
  <c r="P83" i="4"/>
  <c r="S69" i="7" s="1"/>
  <c r="Q69" i="7"/>
  <c r="Q71" i="7"/>
  <c r="P85" i="4"/>
  <c r="S71" i="7" s="1"/>
  <c r="G85" i="4"/>
  <c r="I71" i="7" s="1"/>
  <c r="G71" i="7"/>
  <c r="G83" i="4"/>
  <c r="I69" i="7" s="1"/>
  <c r="G69" i="7"/>
  <c r="G86" i="4"/>
  <c r="I72" i="7" s="1"/>
  <c r="G72" i="7"/>
  <c r="G84" i="4"/>
  <c r="I70" i="7" s="1"/>
  <c r="G70" i="7"/>
  <c r="I68" i="7"/>
  <c r="G68" i="7"/>
  <c r="P14" i="7" l="1"/>
  <c r="P16" i="7" l="1"/>
</calcChain>
</file>

<file path=xl/comments1.xml><?xml version="1.0" encoding="utf-8"?>
<comments xmlns="http://schemas.openxmlformats.org/spreadsheetml/2006/main">
  <authors>
    <author>Anne DELAGE</author>
  </authors>
  <commentList>
    <comment ref="C4" authorId="0">
      <text>
        <r>
          <rPr>
            <b/>
            <sz val="9"/>
            <color indexed="81"/>
            <rFont val="Tahoma"/>
            <family val="2"/>
          </rPr>
          <t>Anne DELAGE:</t>
        </r>
        <r>
          <rPr>
            <sz val="9"/>
            <color indexed="81"/>
            <rFont val="Tahoma"/>
            <family val="2"/>
          </rPr>
          <t xml:space="preserve">
</t>
        </r>
        <r>
          <rPr>
            <sz val="9"/>
            <color indexed="10"/>
            <rFont val="Tahoma"/>
            <family val="2"/>
          </rPr>
          <t>Expl Principale</t>
        </r>
        <r>
          <rPr>
            <sz val="9"/>
            <color indexed="81"/>
            <rFont val="Tahoma"/>
            <family val="2"/>
          </rPr>
          <t xml:space="preserve">
Au lieu de résidence</t>
        </r>
      </text>
    </comment>
    <comment ref="D4" authorId="0">
      <text>
        <r>
          <rPr>
            <b/>
            <sz val="9"/>
            <color indexed="81"/>
            <rFont val="Tahoma"/>
            <family val="2"/>
          </rPr>
          <t>Anne DELAGE:</t>
        </r>
        <r>
          <rPr>
            <sz val="9"/>
            <color indexed="81"/>
            <rFont val="Tahoma"/>
            <family val="2"/>
          </rPr>
          <t xml:space="preserve">
</t>
        </r>
        <r>
          <rPr>
            <sz val="9"/>
            <color indexed="10"/>
            <rFont val="Tahoma"/>
            <family val="2"/>
          </rPr>
          <t>Expl Principale</t>
        </r>
        <r>
          <rPr>
            <sz val="9"/>
            <color indexed="81"/>
            <rFont val="Tahoma"/>
            <family val="2"/>
          </rPr>
          <t xml:space="preserve">
Au lieu de résidence</t>
        </r>
      </text>
    </comment>
    <comment ref="K4" authorId="0">
      <text>
        <r>
          <rPr>
            <b/>
            <sz val="9"/>
            <color indexed="81"/>
            <rFont val="Tahoma"/>
            <family val="2"/>
          </rPr>
          <t>Anne DELAGE:</t>
        </r>
        <r>
          <rPr>
            <sz val="9"/>
            <color indexed="81"/>
            <rFont val="Tahoma"/>
            <family val="2"/>
          </rPr>
          <t xml:space="preserve">
</t>
        </r>
        <r>
          <rPr>
            <sz val="9"/>
            <color indexed="10"/>
            <rFont val="Tahoma"/>
            <family val="2"/>
          </rPr>
          <t>Expl Principale</t>
        </r>
        <r>
          <rPr>
            <sz val="9"/>
            <color indexed="81"/>
            <rFont val="Tahoma"/>
            <family val="2"/>
          </rPr>
          <t xml:space="preserve">
Au lieu de résidence</t>
        </r>
      </text>
    </comment>
    <comment ref="L4" authorId="0">
      <text>
        <r>
          <rPr>
            <b/>
            <sz val="9"/>
            <color indexed="81"/>
            <rFont val="Tahoma"/>
            <family val="2"/>
          </rPr>
          <t>Anne DELAGE:</t>
        </r>
        <r>
          <rPr>
            <sz val="9"/>
            <color indexed="81"/>
            <rFont val="Tahoma"/>
            <family val="2"/>
          </rPr>
          <t xml:space="preserve">
</t>
        </r>
        <r>
          <rPr>
            <sz val="9"/>
            <color indexed="10"/>
            <rFont val="Tahoma"/>
            <family val="2"/>
          </rPr>
          <t>Expl Principale</t>
        </r>
        <r>
          <rPr>
            <sz val="9"/>
            <color indexed="81"/>
            <rFont val="Tahoma"/>
            <family val="2"/>
          </rPr>
          <t xml:space="preserve">
Au lieu de résidence</t>
        </r>
      </text>
    </comment>
    <comment ref="M4" authorId="0">
      <text>
        <r>
          <rPr>
            <b/>
            <sz val="9"/>
            <color indexed="81"/>
            <rFont val="Tahoma"/>
            <family val="2"/>
          </rPr>
          <t>Anne DELAGE:</t>
        </r>
        <r>
          <rPr>
            <sz val="9"/>
            <color indexed="81"/>
            <rFont val="Tahoma"/>
            <family val="2"/>
          </rPr>
          <t xml:space="preserve">
Expl Compl
Au lieu de résidence</t>
        </r>
      </text>
    </comment>
    <comment ref="N4" authorId="0">
      <text>
        <r>
          <rPr>
            <b/>
            <sz val="9"/>
            <color indexed="81"/>
            <rFont val="Tahoma"/>
            <family val="2"/>
          </rPr>
          <t>Anne DELAGE:</t>
        </r>
        <r>
          <rPr>
            <sz val="9"/>
            <color indexed="81"/>
            <rFont val="Tahoma"/>
            <family val="2"/>
          </rPr>
          <t xml:space="preserve">
Expl Compl
Au lieu de résidence</t>
        </r>
      </text>
    </comment>
    <comment ref="O4" authorId="0">
      <text>
        <r>
          <rPr>
            <b/>
            <sz val="9"/>
            <color indexed="81"/>
            <rFont val="Tahoma"/>
            <family val="2"/>
          </rPr>
          <t>Anne DELAGE:</t>
        </r>
        <r>
          <rPr>
            <sz val="9"/>
            <color indexed="81"/>
            <rFont val="Tahoma"/>
            <family val="2"/>
          </rPr>
          <t xml:space="preserve">
Expl Compl
Au lieu de résidence</t>
        </r>
      </text>
    </comment>
    <comment ref="P4" authorId="0">
      <text>
        <r>
          <rPr>
            <b/>
            <sz val="9"/>
            <color indexed="81"/>
            <rFont val="Tahoma"/>
            <family val="2"/>
          </rPr>
          <t>Anne DELAGE:</t>
        </r>
        <r>
          <rPr>
            <sz val="9"/>
            <color indexed="81"/>
            <rFont val="Tahoma"/>
            <family val="2"/>
          </rPr>
          <t xml:space="preserve">
Expl Compl
Au lieu de résidence</t>
        </r>
      </text>
    </comment>
    <comment ref="Q4" authorId="0">
      <text>
        <r>
          <rPr>
            <b/>
            <sz val="9"/>
            <color indexed="81"/>
            <rFont val="Tahoma"/>
            <family val="2"/>
          </rPr>
          <t>Anne DELAGE:</t>
        </r>
        <r>
          <rPr>
            <sz val="9"/>
            <color indexed="81"/>
            <rFont val="Tahoma"/>
            <family val="2"/>
          </rPr>
          <t xml:space="preserve">
Expl Compl
Au lieu de résidence</t>
        </r>
      </text>
    </comment>
    <comment ref="R4" authorId="0">
      <text>
        <r>
          <rPr>
            <b/>
            <sz val="9"/>
            <color indexed="81"/>
            <rFont val="Tahoma"/>
            <family val="2"/>
          </rPr>
          <t>Anne DELAGE:</t>
        </r>
        <r>
          <rPr>
            <sz val="9"/>
            <color indexed="81"/>
            <rFont val="Tahoma"/>
            <family val="2"/>
          </rPr>
          <t xml:space="preserve">
Expl Compl
Au lieu de résidence</t>
        </r>
      </text>
    </comment>
    <comment ref="S4" authorId="0">
      <text>
        <r>
          <rPr>
            <b/>
            <sz val="9"/>
            <color indexed="81"/>
            <rFont val="Tahoma"/>
            <family val="2"/>
          </rPr>
          <t>Anne DELAGE:</t>
        </r>
        <r>
          <rPr>
            <sz val="9"/>
            <color indexed="81"/>
            <rFont val="Tahoma"/>
            <family val="2"/>
          </rPr>
          <t xml:space="preserve">
</t>
        </r>
        <r>
          <rPr>
            <sz val="9"/>
            <color indexed="10"/>
            <rFont val="Tahoma"/>
            <family val="2"/>
          </rPr>
          <t>Expl Principale</t>
        </r>
        <r>
          <rPr>
            <sz val="9"/>
            <color indexed="81"/>
            <rFont val="Tahoma"/>
            <family val="2"/>
          </rPr>
          <t xml:space="preserve">
Au lieu de résidence</t>
        </r>
      </text>
    </comment>
  </commentList>
</comments>
</file>

<file path=xl/comments2.xml><?xml version="1.0" encoding="utf-8"?>
<comments xmlns="http://schemas.openxmlformats.org/spreadsheetml/2006/main">
  <authors>
    <author>Anne DELAGE</author>
  </authors>
  <commentList>
    <comment ref="M5" authorId="0">
      <text>
        <r>
          <rPr>
            <b/>
            <sz val="9"/>
            <color indexed="81"/>
            <rFont val="Tahoma"/>
            <family val="2"/>
          </rPr>
          <t>Anne DELAGE:</t>
        </r>
        <r>
          <rPr>
            <sz val="9"/>
            <color indexed="81"/>
            <rFont val="Tahoma"/>
            <family val="2"/>
          </rPr>
          <t xml:space="preserve">
Expl Complementaire
</t>
        </r>
      </text>
    </comment>
    <comment ref="N5" authorId="0">
      <text>
        <r>
          <rPr>
            <b/>
            <sz val="9"/>
            <color indexed="81"/>
            <rFont val="Tahoma"/>
            <family val="2"/>
          </rPr>
          <t>Anne DELAGE:</t>
        </r>
        <r>
          <rPr>
            <sz val="9"/>
            <color indexed="81"/>
            <rFont val="Tahoma"/>
            <family val="2"/>
          </rPr>
          <t xml:space="preserve">
Expl Complementaire</t>
        </r>
      </text>
    </comment>
    <comment ref="O5" authorId="0">
      <text>
        <r>
          <rPr>
            <b/>
            <sz val="9"/>
            <color indexed="81"/>
            <rFont val="Tahoma"/>
            <family val="2"/>
          </rPr>
          <t>Anne DELAGE:</t>
        </r>
        <r>
          <rPr>
            <sz val="9"/>
            <color indexed="81"/>
            <rFont val="Tahoma"/>
            <family val="2"/>
          </rPr>
          <t xml:space="preserve">
Expl Complementaire</t>
        </r>
      </text>
    </comment>
    <comment ref="P5" authorId="0">
      <text>
        <r>
          <rPr>
            <b/>
            <sz val="9"/>
            <color indexed="81"/>
            <rFont val="Tahoma"/>
            <family val="2"/>
          </rPr>
          <t>Anne DELAGE:</t>
        </r>
        <r>
          <rPr>
            <sz val="9"/>
            <color indexed="81"/>
            <rFont val="Tahoma"/>
            <family val="2"/>
          </rPr>
          <t xml:space="preserve">
Expl Complementaire</t>
        </r>
      </text>
    </comment>
    <comment ref="R5" authorId="0">
      <text>
        <r>
          <rPr>
            <b/>
            <sz val="9"/>
            <color indexed="81"/>
            <rFont val="Tahoma"/>
            <family val="2"/>
          </rPr>
          <t>Anne DELAGE:</t>
        </r>
        <r>
          <rPr>
            <sz val="9"/>
            <color indexed="81"/>
            <rFont val="Tahoma"/>
            <family val="2"/>
          </rPr>
          <t xml:space="preserve">
Expl Complementaire</t>
        </r>
      </text>
    </comment>
    <comment ref="S5" authorId="0">
      <text>
        <r>
          <rPr>
            <b/>
            <sz val="9"/>
            <color indexed="81"/>
            <rFont val="Tahoma"/>
            <family val="2"/>
          </rPr>
          <t>Anne DELAGE:</t>
        </r>
        <r>
          <rPr>
            <sz val="9"/>
            <color indexed="81"/>
            <rFont val="Tahoma"/>
            <family val="2"/>
          </rPr>
          <t xml:space="preserve">
Expl Complementaire</t>
        </r>
      </text>
    </comment>
    <comment ref="T5" authorId="0">
      <text>
        <r>
          <rPr>
            <b/>
            <sz val="9"/>
            <color indexed="81"/>
            <rFont val="Tahoma"/>
            <family val="2"/>
          </rPr>
          <t>Anne DELAGE:</t>
        </r>
        <r>
          <rPr>
            <sz val="9"/>
            <color indexed="81"/>
            <rFont val="Tahoma"/>
            <family val="2"/>
          </rPr>
          <t xml:space="preserve">
Expl Complementaire</t>
        </r>
      </text>
    </comment>
    <comment ref="U5" authorId="0">
      <text>
        <r>
          <rPr>
            <b/>
            <sz val="9"/>
            <color indexed="81"/>
            <rFont val="Tahoma"/>
            <family val="2"/>
          </rPr>
          <t>Anne DELAGE:</t>
        </r>
        <r>
          <rPr>
            <sz val="9"/>
            <color indexed="81"/>
            <rFont val="Tahoma"/>
            <family val="2"/>
          </rPr>
          <t xml:space="preserve">
Expl Complementaire</t>
        </r>
      </text>
    </comment>
    <comment ref="W5" authorId="0">
      <text>
        <r>
          <rPr>
            <b/>
            <sz val="9"/>
            <color indexed="81"/>
            <rFont val="Tahoma"/>
            <family val="2"/>
          </rPr>
          <t>Anne DELAGE:</t>
        </r>
        <r>
          <rPr>
            <sz val="9"/>
            <color indexed="81"/>
            <rFont val="Tahoma"/>
            <family val="2"/>
          </rPr>
          <t xml:space="preserve">
Expl Principale
Au lieu de résidence</t>
        </r>
      </text>
    </comment>
    <comment ref="X5" authorId="0">
      <text>
        <r>
          <rPr>
            <b/>
            <sz val="9"/>
            <color indexed="81"/>
            <rFont val="Tahoma"/>
            <family val="2"/>
          </rPr>
          <t>Anne DELAGE:</t>
        </r>
        <r>
          <rPr>
            <sz val="9"/>
            <color indexed="81"/>
            <rFont val="Tahoma"/>
            <family val="2"/>
          </rPr>
          <t xml:space="preserve">
Expl Principale
Au lieu de résidence</t>
        </r>
      </text>
    </comment>
    <comment ref="Y5" authorId="0">
      <text>
        <r>
          <rPr>
            <sz val="9"/>
            <color indexed="81"/>
            <rFont val="Tahoma"/>
            <family val="2"/>
          </rPr>
          <t xml:space="preserve">A partir de 2013, l'intégration du montant des cotisations patronales aux complémentaires santé obligatoires, due au changement législatif entraîne une forte évolution du salaire net.
L'Insee a rétropolé les données 2012, elles sont maintenant comparables !
</t>
        </r>
      </text>
    </comment>
    <comment ref="AG5" authorId="0">
      <text>
        <r>
          <rPr>
            <sz val="9"/>
            <color indexed="81"/>
            <rFont val="Tahoma"/>
            <family val="2"/>
          </rPr>
          <t xml:space="preserve">A partir de 2013, l'intégration du montant des cotisations patronales aux complémentaires santé obligatoires, due au changement législatif entraîne une forte évolution du salaire net.
L'Insee a rétropolé les données 2012, elles sont maintenant comparables !
</t>
        </r>
      </text>
    </comment>
  </commentList>
</comments>
</file>

<file path=xl/comments3.xml><?xml version="1.0" encoding="utf-8"?>
<comments xmlns="http://schemas.openxmlformats.org/spreadsheetml/2006/main">
  <authors>
    <author>Anne DELAGE</author>
  </authors>
  <commentList>
    <comment ref="R57" authorId="0">
      <text>
        <r>
          <rPr>
            <b/>
            <sz val="9"/>
            <color indexed="81"/>
            <rFont val="Tahoma"/>
            <family val="2"/>
          </rPr>
          <t>Anne DELAGE:</t>
        </r>
        <r>
          <rPr>
            <sz val="9"/>
            <color indexed="81"/>
            <rFont val="Tahoma"/>
            <family val="2"/>
          </rPr>
          <t xml:space="preserve">
Regroupées</t>
        </r>
      </text>
    </comment>
  </commentList>
</comments>
</file>

<file path=xl/comments4.xml><?xml version="1.0" encoding="utf-8"?>
<comments xmlns="http://schemas.openxmlformats.org/spreadsheetml/2006/main">
  <authors>
    <author>Anne DELAGE</author>
  </authors>
  <commentList>
    <comment ref="L12" authorId="0">
      <text>
        <r>
          <rPr>
            <sz val="9"/>
            <color indexed="81"/>
            <rFont val="Tahoma"/>
            <family val="2"/>
          </rPr>
          <t>évolution sur 5 ans</t>
        </r>
      </text>
    </comment>
    <comment ref="R12" authorId="0">
      <text>
        <r>
          <rPr>
            <sz val="9"/>
            <color indexed="81"/>
            <rFont val="Tahoma"/>
            <family val="2"/>
          </rPr>
          <t xml:space="preserve">évolution 
sur 5 ans
</t>
        </r>
      </text>
    </comment>
  </commentList>
</comments>
</file>

<file path=xl/sharedStrings.xml><?xml version="1.0" encoding="utf-8"?>
<sst xmlns="http://schemas.openxmlformats.org/spreadsheetml/2006/main" count="14049" uniqueCount="2038">
  <si>
    <t>Population active</t>
  </si>
  <si>
    <t>Marseille</t>
  </si>
  <si>
    <t>Bordeaux</t>
  </si>
  <si>
    <t>Répartition des actifs occupés</t>
  </si>
  <si>
    <t>Niveau de qualification</t>
  </si>
  <si>
    <t>7204</t>
  </si>
  <si>
    <t>ZE Bordeaux</t>
  </si>
  <si>
    <t>8210</t>
  </si>
  <si>
    <t>ZE Grenoble</t>
  </si>
  <si>
    <t>3111</t>
  </si>
  <si>
    <t>ZE Lille</t>
  </si>
  <si>
    <t>8214</t>
  </si>
  <si>
    <t>ZE Lyon</t>
  </si>
  <si>
    <t>9310</t>
  </si>
  <si>
    <t>9111</t>
  </si>
  <si>
    <t>ZE Montpellier</t>
  </si>
  <si>
    <t>5203</t>
  </si>
  <si>
    <t>ZE Nantes</t>
  </si>
  <si>
    <t>9307</t>
  </si>
  <si>
    <t>ZE Nice</t>
  </si>
  <si>
    <t>5312</t>
  </si>
  <si>
    <t>ZE Rennes</t>
  </si>
  <si>
    <t>2307</t>
  </si>
  <si>
    <t>ZE Rouen</t>
  </si>
  <si>
    <t>4205</t>
  </si>
  <si>
    <t>ZE Strasbourg</t>
  </si>
  <si>
    <t>0061</t>
  </si>
  <si>
    <t>ZE Toulouse</t>
  </si>
  <si>
    <t>002</t>
  </si>
  <si>
    <t>AU Lyon</t>
  </si>
  <si>
    <t>003</t>
  </si>
  <si>
    <t>004</t>
  </si>
  <si>
    <t>AU Toulouse</t>
  </si>
  <si>
    <t>005</t>
  </si>
  <si>
    <t>AU Lille</t>
  </si>
  <si>
    <t>006</t>
  </si>
  <si>
    <t>007</t>
  </si>
  <si>
    <t>AU Nice</t>
  </si>
  <si>
    <t>008</t>
  </si>
  <si>
    <t>AU Nantes</t>
  </si>
  <si>
    <t>009</t>
  </si>
  <si>
    <t>AU Strasbourg</t>
  </si>
  <si>
    <t>010</t>
  </si>
  <si>
    <t>AU Grenoble</t>
  </si>
  <si>
    <t>011</t>
  </si>
  <si>
    <t>AU Rennes</t>
  </si>
  <si>
    <t>012</t>
  </si>
  <si>
    <t>AU Rouen</t>
  </si>
  <si>
    <t>015</t>
  </si>
  <si>
    <t>AU Montpellier</t>
  </si>
  <si>
    <t>Population N-1</t>
  </si>
  <si>
    <t>9315</t>
  </si>
  <si>
    <t>Num-Géo</t>
  </si>
  <si>
    <t>Lib Géo</t>
  </si>
  <si>
    <t>ZE Marseille - Aubagne</t>
  </si>
  <si>
    <t>ZE Toulon</t>
  </si>
  <si>
    <t>013</t>
  </si>
  <si>
    <t>014</t>
  </si>
  <si>
    <t>016</t>
  </si>
  <si>
    <t>AU Marseille - Aix-en-Provence</t>
  </si>
  <si>
    <t>AU Lille (partie française)</t>
  </si>
  <si>
    <t>AU Bordeaux</t>
  </si>
  <si>
    <t>AU Strasbourg (partie française)</t>
  </si>
  <si>
    <t>AU Toulon</t>
  </si>
  <si>
    <t>AU Douai - Lens</t>
  </si>
  <si>
    <t>AU Avignon</t>
  </si>
  <si>
    <t xml:space="preserve">Attention : </t>
  </si>
  <si>
    <t>Population N-2</t>
  </si>
  <si>
    <t>Superficie</t>
  </si>
  <si>
    <t>243300316</t>
  </si>
  <si>
    <t>Bordeaux Métropole</t>
  </si>
  <si>
    <t>33</t>
  </si>
  <si>
    <t>GIRONDE</t>
  </si>
  <si>
    <t>72</t>
  </si>
  <si>
    <t>Aquitaine</t>
  </si>
  <si>
    <t>Metr</t>
  </si>
  <si>
    <t>Act occ CS1</t>
  </si>
  <si>
    <t>Act occ CS2</t>
  </si>
  <si>
    <t>Act occ CS3</t>
  </si>
  <si>
    <t>Act occ CS4</t>
  </si>
  <si>
    <t>Act occ CS5</t>
  </si>
  <si>
    <t>Act occ CS6</t>
  </si>
  <si>
    <t>Actif 15-64 ans</t>
  </si>
  <si>
    <t>Pop 15 - 64 ans</t>
  </si>
  <si>
    <t>Pop 15 ans ou plus non scolarisée</t>
  </si>
  <si>
    <t>CAP-BEP</t>
  </si>
  <si>
    <t>BAC-Bpro</t>
  </si>
  <si>
    <t>3122</t>
  </si>
  <si>
    <t>0059</t>
  </si>
  <si>
    <t>ZE Avignon</t>
  </si>
  <si>
    <t>Emploi salarié privé acoss</t>
  </si>
  <si>
    <t>Total</t>
  </si>
  <si>
    <t xml:space="preserve">Actifs occupés </t>
  </si>
  <si>
    <t>Autres salariés</t>
  </si>
  <si>
    <t>Cdd</t>
  </si>
  <si>
    <t>Cdi</t>
  </si>
  <si>
    <t>Non salariés</t>
  </si>
  <si>
    <t>Autres salariés TP</t>
  </si>
  <si>
    <t>Cdd TP</t>
  </si>
  <si>
    <t>Cdi TP</t>
  </si>
  <si>
    <t>Non salariés TP</t>
  </si>
  <si>
    <t>Total TP</t>
  </si>
  <si>
    <t>Salaire horaire net moyen</t>
  </si>
  <si>
    <t>2008</t>
  </si>
  <si>
    <t>2009</t>
  </si>
  <si>
    <t>2010</t>
  </si>
  <si>
    <t>2011</t>
  </si>
  <si>
    <t>2012</t>
  </si>
  <si>
    <t>2013</t>
  </si>
  <si>
    <t>2014</t>
  </si>
  <si>
    <t>2015</t>
  </si>
  <si>
    <t>Rouen</t>
  </si>
  <si>
    <t>DPAE</t>
  </si>
  <si>
    <t>TRIM</t>
  </si>
  <si>
    <t>CDI</t>
  </si>
  <si>
    <t>Total général</t>
  </si>
  <si>
    <t>Gironde</t>
  </si>
  <si>
    <t>DEFM BORDEAUX METROPOLE</t>
  </si>
  <si>
    <t>Age / Ancienneté d`inscription</t>
  </si>
  <si>
    <t>DEFM cat A</t>
  </si>
  <si>
    <t>−25 ans</t>
  </si>
  <si>
    <t>25 à 49 ans</t>
  </si>
  <si>
    <t>50 ans et +</t>
  </si>
  <si>
    <t>TOTAL</t>
  </si>
  <si>
    <t>&lt; 6 mois</t>
  </si>
  <si>
    <t>36 mois et +</t>
  </si>
  <si>
    <t>METIERS RECHERCHES</t>
  </si>
  <si>
    <t>AGRICULTURE ET PÊCHE, ESPACES NATURELS ET ESPACES VERTS, SOINS AUX ANIMAUX</t>
  </si>
  <si>
    <t>ARTS ET FACONNAGE D'OUVRAGES D'ART</t>
  </si>
  <si>
    <t>BANQUE, ASSURANCE, IMMOBILIER</t>
  </si>
  <si>
    <t>COMMERCE, VENTE ET GRANDE DISTRIBUTION</t>
  </si>
  <si>
    <t>COMMUNICATION, MEDIA ET MULTIMEDIA</t>
  </si>
  <si>
    <t>CONSTRUCTION, BÂTIMENT ET TRAVAUX PUBLICS</t>
  </si>
  <si>
    <t>HÔTELLERIE- RESTAURATION TOURISME LOISIRS ET ANIMATION</t>
  </si>
  <si>
    <t>INDUSTRIE</t>
  </si>
  <si>
    <t>INSTALLATION ET MAINTENANCE</t>
  </si>
  <si>
    <t>SANTE</t>
  </si>
  <si>
    <t>SERVICES A LA PERSONNE ET A LA COLLECTIVITE</t>
  </si>
  <si>
    <t>SPECTACLE</t>
  </si>
  <si>
    <t>SUPPORT A L'ENTREPRISE</t>
  </si>
  <si>
    <t>TRANSPORT ET LOGISTIQUE</t>
  </si>
  <si>
    <t>non Déterminé</t>
  </si>
  <si>
    <t>Taux de chomage trimestriel - Insee / Dares - http://www.insee.fr/fr/themes/detail.asp?reg_id=99&amp;ref_id=chomage-zone-2010</t>
  </si>
  <si>
    <t>Code bassin 2015</t>
  </si>
  <si>
    <t>Nom bassin 2015</t>
  </si>
  <si>
    <t>Nom Departement</t>
  </si>
  <si>
    <t>Nom Region</t>
  </si>
  <si>
    <t>Projets de recrutement totaux</t>
  </si>
  <si>
    <t>Projets de recrutement difficiles</t>
  </si>
  <si>
    <t>Projets de recrutement saisonniers</t>
  </si>
  <si>
    <t>2301</t>
  </si>
  <si>
    <t>ROUEN</t>
  </si>
  <si>
    <t>SEINE-MARITIME</t>
  </si>
  <si>
    <t>HAUTE-NORMANDIE</t>
  </si>
  <si>
    <t>3101</t>
  </si>
  <si>
    <t>LILLE</t>
  </si>
  <si>
    <t>NORD</t>
  </si>
  <si>
    <t>NORD-PAS-DE-CALAIS</t>
  </si>
  <si>
    <t>3112</t>
  </si>
  <si>
    <t>LENS</t>
  </si>
  <si>
    <t>PAS-DE-CALAIS</t>
  </si>
  <si>
    <t>4204</t>
  </si>
  <si>
    <t>STRASBOURG</t>
  </si>
  <si>
    <t>BAS-RHIN</t>
  </si>
  <si>
    <t>ALSACE</t>
  </si>
  <si>
    <t>5220</t>
  </si>
  <si>
    <t>NANTES</t>
  </si>
  <si>
    <t>LOIRE-ATLANTIQUE</t>
  </si>
  <si>
    <t>PAYS DE LA LOIRE</t>
  </si>
  <si>
    <t>5314</t>
  </si>
  <si>
    <t>RENNES</t>
  </si>
  <si>
    <t>ILLE-ET-VILAINE</t>
  </si>
  <si>
    <t>BRETAGNE</t>
  </si>
  <si>
    <t>7209</t>
  </si>
  <si>
    <t>AQUITAINE</t>
  </si>
  <si>
    <t>7317</t>
  </si>
  <si>
    <t>TOULOUSE</t>
  </si>
  <si>
    <t>HAUTE-GARONNE</t>
  </si>
  <si>
    <t>MIDI-PYRENEES</t>
  </si>
  <si>
    <t>8212</t>
  </si>
  <si>
    <t>GRENOBLE</t>
  </si>
  <si>
    <t>ISÈRE</t>
  </si>
  <si>
    <t>RHONE-ALPES</t>
  </si>
  <si>
    <t>8228</t>
  </si>
  <si>
    <t>RHÔNE</t>
  </si>
  <si>
    <t>9113</t>
  </si>
  <si>
    <t>MONTPELLIER</t>
  </si>
  <si>
    <t>HÉRAULT</t>
  </si>
  <si>
    <t>LANGUEDOC-ROUSSILLON</t>
  </si>
  <si>
    <t>9304</t>
  </si>
  <si>
    <t>ALPES-MARITIMES</t>
  </si>
  <si>
    <t>PROVENCE-ALPES-COTE D'AZUR</t>
  </si>
  <si>
    <t>9306</t>
  </si>
  <si>
    <t>MARSEILLE</t>
  </si>
  <si>
    <t>BOUCHES-DU-RHÔNE</t>
  </si>
  <si>
    <t>9311</t>
  </si>
  <si>
    <t>BASSIN TOULONNAIS</t>
  </si>
  <si>
    <t>VAR</t>
  </si>
  <si>
    <t>9313</t>
  </si>
  <si>
    <t>BASSIN D'AVIGNON</t>
  </si>
  <si>
    <t>VAUCLUSE</t>
  </si>
  <si>
    <t>DEFM Bordeaux Métropole (envoi contact Manue)</t>
  </si>
  <si>
    <t>DPAE : Juin 2015 (Envoi contact Manue)</t>
  </si>
  <si>
    <t>RRP 2012 / Acoss 2007 - 2014 / http://www.acoss.fr/home.html</t>
  </si>
  <si>
    <t>Rang</t>
  </si>
  <si>
    <t>Métier</t>
  </si>
  <si>
    <t>Libellé du métier</t>
  </si>
  <si>
    <t>S2Z61</t>
  </si>
  <si>
    <t>S1Z20</t>
  </si>
  <si>
    <t>S2Z60</t>
  </si>
  <si>
    <t>Employés de l'hôtellerie</t>
  </si>
  <si>
    <t>V5Z81</t>
  </si>
  <si>
    <t>U1Z91</t>
  </si>
  <si>
    <t>R1Z62</t>
  </si>
  <si>
    <t>S1Z40</t>
  </si>
  <si>
    <t>Cuisiniers</t>
  </si>
  <si>
    <t>T2A60</t>
  </si>
  <si>
    <t>W0Z80</t>
  </si>
  <si>
    <t>T3Z61</t>
  </si>
  <si>
    <t>L2Z60</t>
  </si>
  <si>
    <t>L2Z61</t>
  </si>
  <si>
    <t>R0Z60</t>
  </si>
  <si>
    <t>R0Z61</t>
  </si>
  <si>
    <t>J0Z20</t>
  </si>
  <si>
    <t>V0Z60</t>
  </si>
  <si>
    <t>T4Z60</t>
  </si>
  <si>
    <t>R1Z60</t>
  </si>
  <si>
    <t>Vendeurs en produits alimentaires</t>
  </si>
  <si>
    <t>R2Z80</t>
  </si>
  <si>
    <t>J3Z42</t>
  </si>
  <si>
    <t>V5Z82</t>
  </si>
  <si>
    <t>Sportifs et animateurs sportifs</t>
  </si>
  <si>
    <t>T1Z60</t>
  </si>
  <si>
    <t>F0Z20</t>
  </si>
  <si>
    <t>L0Z60</t>
  </si>
  <si>
    <t>U1Z80</t>
  </si>
  <si>
    <t>Professionnels des spectacles</t>
  </si>
  <si>
    <t>J3Z44</t>
  </si>
  <si>
    <t>V1Z80</t>
  </si>
  <si>
    <t>A1Z41</t>
  </si>
  <si>
    <t>J3Z41</t>
  </si>
  <si>
    <t>B3Z20</t>
  </si>
  <si>
    <t>R1Z67</t>
  </si>
  <si>
    <t>Télévendeurs</t>
  </si>
  <si>
    <t>J3Z40</t>
  </si>
  <si>
    <t>J5Z62</t>
  </si>
  <si>
    <t>W1Z80</t>
  </si>
  <si>
    <t>L1Z60</t>
  </si>
  <si>
    <t>Employés de la comptabilité</t>
  </si>
  <si>
    <t>T4Z61</t>
  </si>
  <si>
    <t>Agents de services hospitaliers</t>
  </si>
  <si>
    <t>J3Z43</t>
  </si>
  <si>
    <t>G1Z70</t>
  </si>
  <si>
    <t>S1Z80</t>
  </si>
  <si>
    <t>B1Z40</t>
  </si>
  <si>
    <t>R1Z66</t>
  </si>
  <si>
    <t>Vendeurs généralistes</t>
  </si>
  <si>
    <t>V3Z70</t>
  </si>
  <si>
    <t>Techniciens médicaux et préparateurs</t>
  </si>
  <si>
    <t>R1Z61</t>
  </si>
  <si>
    <t>B0Z21</t>
  </si>
  <si>
    <t>J5Z60</t>
  </si>
  <si>
    <t>B0Z20</t>
  </si>
  <si>
    <t>W0Z92</t>
  </si>
  <si>
    <t>Professeurs du supérieur</t>
  </si>
  <si>
    <t>S0Z20</t>
  </si>
  <si>
    <t>V4Z83</t>
  </si>
  <si>
    <t>Educateurs spécialisés</t>
  </si>
  <si>
    <t>B2Z40</t>
  </si>
  <si>
    <t>Maçons</t>
  </si>
  <si>
    <t>R4Z93</t>
  </si>
  <si>
    <t>Cadres de l'immobilier, syndics</t>
  </si>
  <si>
    <t>G0A43</t>
  </si>
  <si>
    <t>Ouvriers qualifiés polyvalents d'entretien du bâtiment</t>
  </si>
  <si>
    <t>A0Z40</t>
  </si>
  <si>
    <t>Agriculteurs salariés, ouvriers agricoles</t>
  </si>
  <si>
    <t>V5Z84</t>
  </si>
  <si>
    <t>W0Z90</t>
  </si>
  <si>
    <t>Q1Z80</t>
  </si>
  <si>
    <t>U0Z80</t>
  </si>
  <si>
    <t>S0Z42</t>
  </si>
  <si>
    <t>Boulangers, pâtissiers</t>
  </si>
  <si>
    <t>R4Z90</t>
  </si>
  <si>
    <t>B5Z40</t>
  </si>
  <si>
    <t>D3Z20</t>
  </si>
  <si>
    <t>A0Z41</t>
  </si>
  <si>
    <t>Éleveurs salariés</t>
  </si>
  <si>
    <t>L5Z90</t>
  </si>
  <si>
    <t>K0Z20</t>
  </si>
  <si>
    <t>T0Z60</t>
  </si>
  <si>
    <t>T2B60</t>
  </si>
  <si>
    <t>Assistantes maternelles</t>
  </si>
  <si>
    <t>V3Z71</t>
  </si>
  <si>
    <t>D2Z40</t>
  </si>
  <si>
    <t>Chaudronniers, tôliers, traceurs, serruriers, métalliers, forgerons</t>
  </si>
  <si>
    <t>S2Z80</t>
  </si>
  <si>
    <t>Maîtres d'hôtel, sommeliers</t>
  </si>
  <si>
    <t>V2Z93</t>
  </si>
  <si>
    <t>R2Z83</t>
  </si>
  <si>
    <t>A3Z41</t>
  </si>
  <si>
    <t>Marins salariés, matelots de la navigation fluviale</t>
  </si>
  <si>
    <t>G1Z80</t>
  </si>
  <si>
    <t>J1Z40</t>
  </si>
  <si>
    <t>N0Z90</t>
  </si>
  <si>
    <t>B6Z71</t>
  </si>
  <si>
    <t>G0B41</t>
  </si>
  <si>
    <t>Q2Z90</t>
  </si>
  <si>
    <t>Cadres de la banque</t>
  </si>
  <si>
    <t>B4Z41</t>
  </si>
  <si>
    <t>Plombiers, chauffagistes</t>
  </si>
  <si>
    <t>B4Z43</t>
  </si>
  <si>
    <t>Électriciens du bâtiment</t>
  </si>
  <si>
    <t>U1Z82</t>
  </si>
  <si>
    <t>H0Z90</t>
  </si>
  <si>
    <t>E1Z46</t>
  </si>
  <si>
    <t>J4Z40</t>
  </si>
  <si>
    <t>A1Z40</t>
  </si>
  <si>
    <t>Maraîchers, horticulteurs salariés</t>
  </si>
  <si>
    <t>V2Z90</t>
  </si>
  <si>
    <t>Médecins</t>
  </si>
  <si>
    <t>V4Z85</t>
  </si>
  <si>
    <t>L3Z80</t>
  </si>
  <si>
    <t>Secrétaires de direction</t>
  </si>
  <si>
    <t>J4Z80</t>
  </si>
  <si>
    <t>Responsables logistiques (non cadres)</t>
  </si>
  <si>
    <t>Q0Z60</t>
  </si>
  <si>
    <t>V3Z80</t>
  </si>
  <si>
    <t>A0Z42</t>
  </si>
  <si>
    <t>E2Z70</t>
  </si>
  <si>
    <t>S2Z81</t>
  </si>
  <si>
    <t>B4Z42</t>
  </si>
  <si>
    <t>Menuisiers et ouvriers de l'agencement et de l'isolation</t>
  </si>
  <si>
    <t>T4Z62</t>
  </si>
  <si>
    <t>C0Z20</t>
  </si>
  <si>
    <t>A1Z42</t>
  </si>
  <si>
    <t>Viticulteurs, arboriculteurs salariés, cueilleurs</t>
  </si>
  <si>
    <t>B6Z73</t>
  </si>
  <si>
    <t>N0Z91</t>
  </si>
  <si>
    <t>Chercheurs (sauf industrie et enseignement supérieur)</t>
  </si>
  <si>
    <t>J5Z80</t>
  </si>
  <si>
    <t>M1Z81</t>
  </si>
  <si>
    <t>R4Z91</t>
  </si>
  <si>
    <t>Ingénieurs et cadres technico-commerciaux</t>
  </si>
  <si>
    <t>G0A41</t>
  </si>
  <si>
    <t>R1Z63</t>
  </si>
  <si>
    <t>B7Z91</t>
  </si>
  <si>
    <t>S0Z40</t>
  </si>
  <si>
    <t>G0A40</t>
  </si>
  <si>
    <t>Ouvriers qualifiés de la maintenance en mécanique</t>
  </si>
  <si>
    <t>L4Z81</t>
  </si>
  <si>
    <t>Techniciens des services comptables et financiers</t>
  </si>
  <si>
    <t>B2Z42</t>
  </si>
  <si>
    <t>Q2Z91</t>
  </si>
  <si>
    <t>G0B40</t>
  </si>
  <si>
    <t>M2Z90</t>
  </si>
  <si>
    <t>L5Z91</t>
  </si>
  <si>
    <t>Juristes en entreprise</t>
  </si>
  <si>
    <t>Q1Z81</t>
  </si>
  <si>
    <t>Techniciens des assurances</t>
  </si>
  <si>
    <t>T3Z60</t>
  </si>
  <si>
    <t>B2Z44</t>
  </si>
  <si>
    <t>Couvreurs</t>
  </si>
  <si>
    <t>H0Z92</t>
  </si>
  <si>
    <t>L5Z92</t>
  </si>
  <si>
    <t>Cadres des ressources humaines et du recrutement</t>
  </si>
  <si>
    <t>R4Z92</t>
  </si>
  <si>
    <t>R3Z82</t>
  </si>
  <si>
    <t>D6Z80</t>
  </si>
  <si>
    <t>H0Z91</t>
  </si>
  <si>
    <t>Cadres techniques de la maintenance et de l'environnement</t>
  </si>
  <si>
    <t>J6Z92</t>
  </si>
  <si>
    <t>U0Z91</t>
  </si>
  <si>
    <t>R3Z80</t>
  </si>
  <si>
    <t>E1Z42</t>
  </si>
  <si>
    <t>B4Z44</t>
  </si>
  <si>
    <t>V3Z90</t>
  </si>
  <si>
    <t>Psychologues, psychothérapeutes</t>
  </si>
  <si>
    <t>J4Z60</t>
  </si>
  <si>
    <t>S3Z90</t>
  </si>
  <si>
    <t>M0Z60</t>
  </si>
  <si>
    <t>E0Z23</t>
  </si>
  <si>
    <t>D2Z42</t>
  </si>
  <si>
    <t>Soudeurs</t>
  </si>
  <si>
    <t>J1Z80</t>
  </si>
  <si>
    <t>D1Z40</t>
  </si>
  <si>
    <t>C2Z71</t>
  </si>
  <si>
    <t>E0Z21</t>
  </si>
  <si>
    <t>Ouvriers non qualifiés des industries agro-alimentaires</t>
  </si>
  <si>
    <t>U0Z92</t>
  </si>
  <si>
    <t>M2Z91</t>
  </si>
  <si>
    <t>Ingénieurs et cadres d'administration, maintenance en informatique</t>
  </si>
  <si>
    <t>M2Z92</t>
  </si>
  <si>
    <t>K0Z40</t>
  </si>
  <si>
    <t>V4Z80</t>
  </si>
  <si>
    <t>A3Z40</t>
  </si>
  <si>
    <t>Pêcheurs salariés, aquaculteurs, saliculteurs</t>
  </si>
  <si>
    <t>C1Z40</t>
  </si>
  <si>
    <t>D6Z70</t>
  </si>
  <si>
    <t>L4Z80</t>
  </si>
  <si>
    <t>V1Z81</t>
  </si>
  <si>
    <t>G0A42</t>
  </si>
  <si>
    <t>E2Z80</t>
  </si>
  <si>
    <t>M1Z80</t>
  </si>
  <si>
    <t>L6Z90</t>
  </si>
  <si>
    <t>F5Z70</t>
  </si>
  <si>
    <t>D2Z41</t>
  </si>
  <si>
    <t>Tuyauteurs</t>
  </si>
  <si>
    <t>C2Z70</t>
  </si>
  <si>
    <t>Techniciens en électricité et en électronique</t>
  </si>
  <si>
    <t>E1Z41</t>
  </si>
  <si>
    <t>Ouvriers qualifiés des industries chimiques et plastiques</t>
  </si>
  <si>
    <t>D6Z71</t>
  </si>
  <si>
    <t>B6Z72</t>
  </si>
  <si>
    <t>Dessinateurs en bâtiment et en travaux publics</t>
  </si>
  <si>
    <t>V2Z91</t>
  </si>
  <si>
    <t>U0Z90</t>
  </si>
  <si>
    <t>E0Z24</t>
  </si>
  <si>
    <t>D4Z40</t>
  </si>
  <si>
    <t>P3Z90</t>
  </si>
  <si>
    <t>T6Z61</t>
  </si>
  <si>
    <t>F1Z40</t>
  </si>
  <si>
    <t>B7Z90</t>
  </si>
  <si>
    <t>F1Z41</t>
  </si>
  <si>
    <t>E1Z43</t>
  </si>
  <si>
    <t>F3Z41</t>
  </si>
  <si>
    <t>G1Z71</t>
  </si>
  <si>
    <t>J6Z90</t>
  </si>
  <si>
    <t>A2Z70</t>
  </si>
  <si>
    <t>E1Z47</t>
  </si>
  <si>
    <t>E0Z20</t>
  </si>
  <si>
    <t>E1Z40</t>
  </si>
  <si>
    <t>U1Z93</t>
  </si>
  <si>
    <t>F2Z20</t>
  </si>
  <si>
    <t>D0Z20</t>
  </si>
  <si>
    <t>Ouvriers non qualifiés travaillant par enlèvement ou formage de métal</t>
  </si>
  <si>
    <t>D1Z41</t>
  </si>
  <si>
    <t>S0Z41</t>
  </si>
  <si>
    <t>U1Z81</t>
  </si>
  <si>
    <t>D4Z41</t>
  </si>
  <si>
    <t>A0Z43</t>
  </si>
  <si>
    <t>Conducteurs d'engins agricoles ou forestiers</t>
  </si>
  <si>
    <t>F4Z41</t>
  </si>
  <si>
    <t>B2Z43</t>
  </si>
  <si>
    <t>U0Z81</t>
  </si>
  <si>
    <t>V2Z92</t>
  </si>
  <si>
    <t>F4Z20</t>
  </si>
  <si>
    <t>Ouvriers non qualifiés de l'imprimerie, de la presse et de l'édition</t>
  </si>
  <si>
    <t>B6Z70</t>
  </si>
  <si>
    <t>J5Z61</t>
  </si>
  <si>
    <t>C2Z80</t>
  </si>
  <si>
    <t>E0Z22</t>
  </si>
  <si>
    <t>J6Z91</t>
  </si>
  <si>
    <t>A2Z90</t>
  </si>
  <si>
    <t>Ingénieurs, cadres techniques de l'agriculture</t>
  </si>
  <si>
    <t>B2Z41</t>
  </si>
  <si>
    <t>A3Z90</t>
  </si>
  <si>
    <t>U1Z92</t>
  </si>
  <si>
    <t>E1Z44</t>
  </si>
  <si>
    <t>W0Z91</t>
  </si>
  <si>
    <t>Pdiff</t>
  </si>
  <si>
    <t>Psaison</t>
  </si>
  <si>
    <t>Test Graph</t>
  </si>
  <si>
    <t>ID_DEP</t>
  </si>
  <si>
    <t>NOM_DEP</t>
  </si>
  <si>
    <t>Total juin2013 - avril 2014</t>
  </si>
  <si>
    <t>Alpes-Maritimes</t>
  </si>
  <si>
    <t>Bouches-du-Rhône</t>
  </si>
  <si>
    <t>Haute-Garonne</t>
  </si>
  <si>
    <t>Hérault</t>
  </si>
  <si>
    <t>Ille-et-Vilaine</t>
  </si>
  <si>
    <t>Isère</t>
  </si>
  <si>
    <t>Loire-Atlantique</t>
  </si>
  <si>
    <t>Nord</t>
  </si>
  <si>
    <t>Bas-Rhin</t>
  </si>
  <si>
    <t>Rhône</t>
  </si>
  <si>
    <t>Seine-Maritime</t>
  </si>
  <si>
    <t>Var</t>
  </si>
  <si>
    <t>Vaucluse</t>
  </si>
  <si>
    <t>Pas-de-Calais</t>
  </si>
  <si>
    <t xml:space="preserve">(Offres /actifs * 1000) </t>
  </si>
  <si>
    <t>Offes APEC Mai 2014 / Juin 2015 - Source a-urba</t>
  </si>
  <si>
    <t>Total 5 métiers les + demandés</t>
  </si>
  <si>
    <t>Part dans BMO Total</t>
  </si>
  <si>
    <t>Id_géo</t>
  </si>
  <si>
    <t>Lib_Géo</t>
  </si>
  <si>
    <t>AU Marseille - Aix</t>
  </si>
  <si>
    <t>06</t>
  </si>
  <si>
    <t>13</t>
  </si>
  <si>
    <t>31</t>
  </si>
  <si>
    <t>34</t>
  </si>
  <si>
    <t>35</t>
  </si>
  <si>
    <t>38</t>
  </si>
  <si>
    <t>44</t>
  </si>
  <si>
    <t>59</t>
  </si>
  <si>
    <t>62</t>
  </si>
  <si>
    <t>67</t>
  </si>
  <si>
    <t>69</t>
  </si>
  <si>
    <t>76</t>
  </si>
  <si>
    <t>83</t>
  </si>
  <si>
    <t>84</t>
  </si>
  <si>
    <t>Données</t>
  </si>
  <si>
    <t>dept</t>
  </si>
  <si>
    <t>Fmetr</t>
  </si>
  <si>
    <t>France</t>
  </si>
  <si>
    <t>Création micro-entreprises 2009-2015 - Insee / http://www.bdm.insee.fr/bdm2/affichageSeries.action?idbank=001564218&amp;page=export&amp;codeGroupe=1233&amp;recherche=idbank</t>
  </si>
  <si>
    <t>Demographie d'entreprises / Insee / Sirene -  http://www.insee.fr/fr/themes/detail.asp?reg_id=99&amp;ref_id=etab-com</t>
  </si>
  <si>
    <t>Région</t>
  </si>
  <si>
    <t>Caractéristiques des entreprises</t>
  </si>
  <si>
    <t>Agriculture, sylviculture et pêche</t>
  </si>
  <si>
    <t>Industries manufacturières, industries extractives et autres</t>
  </si>
  <si>
    <t>Construction</t>
  </si>
  <si>
    <t>Commerce ; réparation d'automobiles et de motocycles</t>
  </si>
  <si>
    <t>Transport et entreposage</t>
  </si>
  <si>
    <t>Hébergement et restauration</t>
  </si>
  <si>
    <t>Information et communication</t>
  </si>
  <si>
    <t>Activités financières et d'assurance</t>
  </si>
  <si>
    <t>Activités immobilières</t>
  </si>
  <si>
    <t>Activités scientifiques et techniques ; services administratifs et de soutien</t>
  </si>
  <si>
    <t>Administration publique, enseignement, santé humaine et action sociale</t>
  </si>
  <si>
    <t>Autres activités de services</t>
  </si>
  <si>
    <t>Languedoc-Roussillon</t>
  </si>
  <si>
    <t xml:space="preserve">Midi-Pyrénées </t>
  </si>
  <si>
    <t xml:space="preserve">Pays de la Loire </t>
  </si>
  <si>
    <t>Provence-Alpes-Côte d'Azur</t>
  </si>
  <si>
    <t>Rhône-Alpes</t>
  </si>
  <si>
    <t xml:space="preserve">Alsace </t>
  </si>
  <si>
    <t>Nord-Pas-de-Calais</t>
  </si>
  <si>
    <t xml:space="preserve">Bretagne </t>
  </si>
  <si>
    <t>AZ</t>
  </si>
  <si>
    <t>=DE+C1+C2+C3+C4+C5</t>
  </si>
  <si>
    <t>FZ</t>
  </si>
  <si>
    <t>GZ</t>
  </si>
  <si>
    <t>HZ</t>
  </si>
  <si>
    <t>IZ</t>
  </si>
  <si>
    <t>JZ</t>
  </si>
  <si>
    <t>KZ</t>
  </si>
  <si>
    <t>LZ</t>
  </si>
  <si>
    <t>MN</t>
  </si>
  <si>
    <t>OQ</t>
  </si>
  <si>
    <t>RU</t>
  </si>
  <si>
    <t>Année</t>
  </si>
  <si>
    <t>Classement 2014 des aéroports</t>
  </si>
  <si>
    <t>trafic annuel passagers &gt; 100 000</t>
  </si>
  <si>
    <t>Nb Passager</t>
  </si>
  <si>
    <t>evol 2014 / 2013</t>
  </si>
  <si>
    <t>low cost</t>
  </si>
  <si>
    <t>lignes régulière</t>
  </si>
  <si>
    <t>Paris Charles de Gaulle</t>
  </si>
  <si>
    <t xml:space="preserve">Paris - Orly  </t>
  </si>
  <si>
    <t xml:space="preserve">Nice Côte d'Azur </t>
  </si>
  <si>
    <t xml:space="preserve">Lyon-Saint Exupéry </t>
  </si>
  <si>
    <t xml:space="preserve">Marseille Provence </t>
  </si>
  <si>
    <t xml:space="preserve">Toulouse - Blagnac  </t>
  </si>
  <si>
    <t>Bâle - Mulhouse</t>
  </si>
  <si>
    <t xml:space="preserve">Bordeaux  </t>
  </si>
  <si>
    <t xml:space="preserve">Nantes Atlantique  </t>
  </si>
  <si>
    <t xml:space="preserve">Beauvais - Tillé </t>
  </si>
  <si>
    <t xml:space="preserve">Lille - Lesquin </t>
  </si>
  <si>
    <t xml:space="preserve">Montpellier Méditerranée  </t>
  </si>
  <si>
    <t>Trafic 2014</t>
  </si>
  <si>
    <t xml:space="preserve">Paris Charles de Gaulle </t>
  </si>
  <si>
    <t xml:space="preserve">Paris - Orly </t>
  </si>
  <si>
    <t>Marseille Provence</t>
  </si>
  <si>
    <t xml:space="preserve">Toulouse - Blagnac </t>
  </si>
  <si>
    <t xml:space="preserve">Bâle - Mulhouse </t>
  </si>
  <si>
    <t xml:space="preserve">Bordeaux </t>
  </si>
  <si>
    <t xml:space="preserve">Nantes Atlantique </t>
  </si>
  <si>
    <t>2013 - 2014</t>
  </si>
  <si>
    <t>rang</t>
  </si>
  <si>
    <t xml:space="preserve">Port </t>
  </si>
  <si>
    <t>Dunkerque</t>
  </si>
  <si>
    <t>Calais</t>
  </si>
  <si>
    <t>Nantes / St Nazaire</t>
  </si>
  <si>
    <t>La Rochelle</t>
  </si>
  <si>
    <t>Sète</t>
  </si>
  <si>
    <t>Caen / Ouistreham</t>
  </si>
  <si>
    <t>Bayonne</t>
  </si>
  <si>
    <t>Bastia</t>
  </si>
  <si>
    <t>Det_A2E</t>
  </si>
  <si>
    <t>Lib_CPF4</t>
  </si>
  <si>
    <t>SommeDeValeur en euros</t>
  </si>
  <si>
    <t>Flux</t>
  </si>
  <si>
    <t>Part Import / Import
Formule</t>
  </si>
  <si>
    <t>Part Import / Import
Valeur</t>
  </si>
  <si>
    <t>Dept_A2E</t>
  </si>
  <si>
    <t>Export total</t>
  </si>
  <si>
    <t>Import total</t>
  </si>
  <si>
    <t>Huiles essentielles</t>
  </si>
  <si>
    <t>E</t>
  </si>
  <si>
    <t>Préparations pharmaceutiques</t>
  </si>
  <si>
    <t>Aéronefs et engins spatiaux</t>
  </si>
  <si>
    <t>Articles de joaillerie et bijouterie</t>
  </si>
  <si>
    <t>I</t>
  </si>
  <si>
    <t>Autres produits chimiques organiques de base</t>
  </si>
  <si>
    <t>Produits du raffinage du pétrole</t>
  </si>
  <si>
    <t>Produits sidérurgiques de base et ferroalliages</t>
  </si>
  <si>
    <t>Matières plastiques sous formes primaires</t>
  </si>
  <si>
    <t>Pétrole brut</t>
  </si>
  <si>
    <t>Gaz naturel, liquéfié ou gazeux</t>
  </si>
  <si>
    <t>Véhicules automobiles</t>
  </si>
  <si>
    <t>Parfums et produits pour la toilette</t>
  </si>
  <si>
    <t>Matériel de distribution et de commande électrique</t>
  </si>
  <si>
    <t>Produits à  base de tabac</t>
  </si>
  <si>
    <t>Vins de raisin</t>
  </si>
  <si>
    <t>Autres parties et accessoires pour véhicules automobiles</t>
  </si>
  <si>
    <t>Autres articles de robinetterie</t>
  </si>
  <si>
    <t>Produits laitiers et fromages</t>
  </si>
  <si>
    <t>Viandes de boucherie et produits d'abattage</t>
  </si>
  <si>
    <t>Autres pompes et compresseurs</t>
  </si>
  <si>
    <t>Chaussures</t>
  </si>
  <si>
    <t>Autres vêtements de dessus</t>
  </si>
  <si>
    <t>Machines pour l'extraction ou la construction</t>
  </si>
  <si>
    <t>Ordinateurs et équipements périphériques</t>
  </si>
  <si>
    <t>Matériel de levage et de manutention</t>
  </si>
  <si>
    <t>Huiles et graisses</t>
  </si>
  <si>
    <t>Articles d'horlogerie</t>
  </si>
  <si>
    <t>Produits pharmaceutiques de base</t>
  </si>
  <si>
    <t>Métaux précieux</t>
  </si>
  <si>
    <t>Jus de fruits et légumes</t>
  </si>
  <si>
    <t>Condiments et assaisonnements</t>
  </si>
  <si>
    <t>Données Douanes 2015 / Data gouv -  Pays - http://www.douane.gouv.fr/datadouane/c797-data-commerce-exterieur</t>
  </si>
  <si>
    <t>Lib_Pays</t>
  </si>
  <si>
    <t>Etats-Unis</t>
  </si>
  <si>
    <t>Suisse</t>
  </si>
  <si>
    <t>Italie</t>
  </si>
  <si>
    <t>Allemagne</t>
  </si>
  <si>
    <t>Royaume-Uni</t>
  </si>
  <si>
    <t>Chine</t>
  </si>
  <si>
    <t>Espagne</t>
  </si>
  <si>
    <t>Algérie</t>
  </si>
  <si>
    <t>Kazakhstan</t>
  </si>
  <si>
    <t>Nigeria</t>
  </si>
  <si>
    <t>Turquie</t>
  </si>
  <si>
    <t>Qatar</t>
  </si>
  <si>
    <t>Pays et territoires non déterminés</t>
  </si>
  <si>
    <t>Russie (Fédération de)</t>
  </si>
  <si>
    <t>Belgique</t>
  </si>
  <si>
    <t>Japon</t>
  </si>
  <si>
    <t>Pays-Bas</t>
  </si>
  <si>
    <t>Azerbaïdjan</t>
  </si>
  <si>
    <t>Arabie saoudite</t>
  </si>
  <si>
    <t>Inde</t>
  </si>
  <si>
    <t>Irlande</t>
  </si>
  <si>
    <t>blanc</t>
  </si>
  <si>
    <t>Données Douanes 2015 / Data gouv -  Produits - http://www.douane.gouv.fr/datadouane/c797-data-commerce-exterieur</t>
  </si>
  <si>
    <t>Instruments de mesure, d'essai et de navigation</t>
  </si>
  <si>
    <t>Plantes à épices, aromatiques et médicinales</t>
  </si>
  <si>
    <t>FRA: France</t>
  </si>
  <si>
    <t/>
  </si>
  <si>
    <t>..</t>
  </si>
  <si>
    <t xml:space="preserve">  FR001: Paris</t>
  </si>
  <si>
    <t xml:space="preserve">  FR003: Lyon</t>
  </si>
  <si>
    <t xml:space="preserve">  FR203: Marseille</t>
  </si>
  <si>
    <t xml:space="preserve">  FR004: Toulouse</t>
  </si>
  <si>
    <t xml:space="preserve">  FR006: Strasbourg</t>
  </si>
  <si>
    <t xml:space="preserve">  FR007: Bordeaux</t>
  </si>
  <si>
    <t xml:space="preserve">  FR008: Nantes</t>
  </si>
  <si>
    <t xml:space="preserve">  FR009: Lille</t>
  </si>
  <si>
    <t xml:space="preserve">  FR010: Montpellier</t>
  </si>
  <si>
    <t xml:space="preserve">  FR011: Saint-Étienne</t>
  </si>
  <si>
    <t xml:space="preserve">  FR013: Rennes</t>
  </si>
  <si>
    <t xml:space="preserve">  FR026: Grenoble</t>
  </si>
  <si>
    <t xml:space="preserve">  FR032: Toulon</t>
  </si>
  <si>
    <t xml:space="preserve">  FR205: Nice</t>
  </si>
  <si>
    <t xml:space="preserve">  FR215: Rouen</t>
  </si>
  <si>
    <t>Variables</t>
  </si>
  <si>
    <t>PIB (millions US$)</t>
  </si>
  <si>
    <t>Unité</t>
  </si>
  <si>
    <t>Dollar des États-Unis, millions, 2010</t>
  </si>
  <si>
    <t>2000</t>
  </si>
  <si>
    <t>2001</t>
  </si>
  <si>
    <t>2002</t>
  </si>
  <si>
    <t>2003</t>
  </si>
  <si>
    <t>2004</t>
  </si>
  <si>
    <t>2005</t>
  </si>
  <si>
    <t>2006</t>
  </si>
  <si>
    <t>2007</t>
  </si>
  <si>
    <t>PIB par tête (US$)</t>
  </si>
  <si>
    <t>Dollar des États-Unis, 2010</t>
  </si>
  <si>
    <t>OCDE : PIB et PIB par Habitant - http://stats.oecd.org/index.aspx?lang=fr</t>
  </si>
  <si>
    <t>Bx Métropole</t>
  </si>
  <si>
    <t>Extr, énerg, eau, gestn déch &amp; dépol</t>
  </si>
  <si>
    <t>Fab aliments, boiss &amp; prdts base tabac</t>
  </si>
  <si>
    <t>Cokéfaction et raffinage</t>
  </si>
  <si>
    <t>Fab éq élec, électr, inf &amp; machines</t>
  </si>
  <si>
    <t>Fabrication de matériels de transport</t>
  </si>
  <si>
    <t>Fabrication autres produits industriels</t>
  </si>
  <si>
    <t>Commerce ; répar automobile &amp; motocycle</t>
  </si>
  <si>
    <t>Transports et entreposage</t>
  </si>
  <si>
    <t>Ac spé, sci &amp; tec, svces adm &amp; stn</t>
  </si>
  <si>
    <t>Admin pub, enseign, santé &amp; act soc</t>
  </si>
  <si>
    <t>Table de passage</t>
  </si>
  <si>
    <t>Industries extractives</t>
  </si>
  <si>
    <t>Industrie chimique</t>
  </si>
  <si>
    <t>Industrie pharmaceutique</t>
  </si>
  <si>
    <t>Fabrication d'équipements électriques</t>
  </si>
  <si>
    <t>Édition, audiovisuel et diffusion</t>
  </si>
  <si>
    <t>Télécommunications</t>
  </si>
  <si>
    <t>Act juri, compta, gest, arch, ingé</t>
  </si>
  <si>
    <t>Recherche-développement scientifique</t>
  </si>
  <si>
    <t>Autres act spécial, scientif et tech</t>
  </si>
  <si>
    <t>Administration publique</t>
  </si>
  <si>
    <t>Enseignement</t>
  </si>
  <si>
    <t>Activités pour la santé humaine</t>
  </si>
  <si>
    <t>Activités extra-territoriales</t>
  </si>
  <si>
    <t>Fmet</t>
  </si>
  <si>
    <t>Base 100</t>
  </si>
  <si>
    <t>Effectifs salariés privés / source urssaf / Acoss 2014 http://www.acoss.fr/home/observatoire-economique/donnees-statistiques/bases-de-donnees.html</t>
  </si>
  <si>
    <t>Evol MA</t>
  </si>
  <si>
    <t>Base 100_n-7</t>
  </si>
  <si>
    <t>Base 100_n-6</t>
  </si>
  <si>
    <t>Base 100_n-5</t>
  </si>
  <si>
    <t>Base 100_n-4</t>
  </si>
  <si>
    <t>Base 100_n-3</t>
  </si>
  <si>
    <t>Base 100_n-2</t>
  </si>
  <si>
    <t>Base 100_n-1</t>
  </si>
  <si>
    <t>Effectifs_n-8</t>
  </si>
  <si>
    <t>Effectifs_n-7</t>
  </si>
  <si>
    <t>Effectifs_n-6</t>
  </si>
  <si>
    <t>Effectifs_n-5</t>
  </si>
  <si>
    <t>Effectifs_n-4</t>
  </si>
  <si>
    <t>Effectifs_n-3</t>
  </si>
  <si>
    <t>Effectifs_n-2</t>
  </si>
  <si>
    <t>Effectifs_n-1</t>
  </si>
  <si>
    <t>Agriculture</t>
  </si>
  <si>
    <t>Commerce</t>
  </si>
  <si>
    <t>Industrie</t>
  </si>
  <si>
    <t>Service</t>
  </si>
  <si>
    <t>Sans réponse</t>
  </si>
  <si>
    <t>Total N-1</t>
  </si>
  <si>
    <t>Total N-8</t>
  </si>
  <si>
    <t>Lyon</t>
  </si>
  <si>
    <t>Toulouse</t>
  </si>
  <si>
    <t>Lille</t>
  </si>
  <si>
    <t>Aix-Marseille</t>
  </si>
  <si>
    <t>Montpellier</t>
  </si>
  <si>
    <t>Strasbourg</t>
  </si>
  <si>
    <t>Nantes</t>
  </si>
  <si>
    <t>Nice</t>
  </si>
  <si>
    <t>Étiquettes de lignes</t>
  </si>
  <si>
    <t>Autres écoles de spécialités diverses</t>
  </si>
  <si>
    <t>Classes préparatoires aux grandes écoles (CPGE)</t>
  </si>
  <si>
    <t>Ecoles de commerce, gestion et comptabilité</t>
  </si>
  <si>
    <t>Etablissements d'enseignement universitaire privés</t>
  </si>
  <si>
    <t>Grands établissements MENESR</t>
  </si>
  <si>
    <t>Instituts nationaux polytechniques (INP)</t>
  </si>
  <si>
    <t>Sections de techniciens supérieurs (STS) et assimilés</t>
  </si>
  <si>
    <t>Universités de technologie (UT)</t>
  </si>
  <si>
    <t>Rennes</t>
  </si>
  <si>
    <t>Grenoble</t>
  </si>
  <si>
    <t>2013-2014</t>
  </si>
  <si>
    <t>Etranger</t>
  </si>
  <si>
    <t>Non bacheliers</t>
  </si>
  <si>
    <t>Non renseigné</t>
  </si>
  <si>
    <t>Non étrangerNon bacheliers</t>
  </si>
  <si>
    <t>http://www.obs-ost.fr/frindicateur/analyses_et_indicateurs_de_reference</t>
  </si>
  <si>
    <t>Nb de chercheurs publics / privés</t>
  </si>
  <si>
    <t>PIB 2012</t>
  </si>
  <si>
    <t>Population totale 2013</t>
  </si>
  <si>
    <t>Population active 2013</t>
  </si>
  <si>
    <t>Dépenses de R&amp;D 2011</t>
  </si>
  <si>
    <t>Tous personnels de R&amp;D (etp) 2011</t>
  </si>
  <si>
    <t>Inscriptions dans l'enseignement supérieur 2011</t>
  </si>
  <si>
    <t>Inscriptions dans l'enseignement supérieur au niveau doctorat ou équivalent 2011</t>
  </si>
  <si>
    <t>Production scientifique - toutes disciplines confondues 2013</t>
  </si>
  <si>
    <t>Demandes de brevet européen selon l'inventeur - tous domaines confondus 2012</t>
  </si>
  <si>
    <t>rang national 2012</t>
  </si>
  <si>
    <t>rang européen 2012</t>
  </si>
  <si>
    <t>volume (M€)</t>
  </si>
  <si>
    <t>part dans le PIB de la France (%)</t>
  </si>
  <si>
    <t>rang national 2013</t>
  </si>
  <si>
    <t>rang européen 2013</t>
  </si>
  <si>
    <t>nombre (milliers)</t>
  </si>
  <si>
    <t>part dans la population de la France (%)</t>
  </si>
  <si>
    <t>part dans la population active de la France (%)</t>
  </si>
  <si>
    <t>rang national 2011</t>
  </si>
  <si>
    <t>rang européen 2011</t>
  </si>
  <si>
    <t>part des dépenses de R&amp;D en France (%)</t>
  </si>
  <si>
    <t>nombre</t>
  </si>
  <si>
    <t>part dans les personnels de R&amp;D en France (%)</t>
  </si>
  <si>
    <t>part dans les étudiants en France (%)</t>
  </si>
  <si>
    <t>part dans les doctorants en France (%)</t>
  </si>
  <si>
    <t>nombre de publications scientifiques</t>
  </si>
  <si>
    <t>part dans les publications scientifiques de la France (%)</t>
  </si>
  <si>
    <t>nombre de demandes de brevet européen</t>
  </si>
  <si>
    <t>part dans les demandes de brevet européen de la France (%)</t>
  </si>
  <si>
    <t>Alsace</t>
  </si>
  <si>
    <t>Basse-Normandie</t>
  </si>
  <si>
    <t>Bretagne</t>
  </si>
  <si>
    <t>Midi-Pyrénées</t>
  </si>
  <si>
    <t>Pays de la Loire</t>
  </si>
  <si>
    <t xml:space="preserve">  -</t>
  </si>
  <si>
    <t xml:space="preserve">  - </t>
  </si>
  <si>
    <t>Region</t>
  </si>
  <si>
    <t>%ANNEE</t>
  </si>
  <si>
    <t>Nombre de publications</t>
  </si>
  <si>
    <t>Nombre de brevets</t>
  </si>
  <si>
    <t>Nb brevets pour 10000 emplois</t>
  </si>
  <si>
    <t>Nb publications pour 10000 emplois</t>
  </si>
  <si>
    <t>FR - Alsace</t>
  </si>
  <si>
    <t>FR - Aquitaine</t>
  </si>
  <si>
    <t>FR - Bretagne</t>
  </si>
  <si>
    <t>FR - Haute-Normandie</t>
  </si>
  <si>
    <t>FR - Languedoc-Roussillon</t>
  </si>
  <si>
    <t>FR - Midi-Pyrenees</t>
  </si>
  <si>
    <t>FR - Nord - Pas-de-Calais</t>
  </si>
  <si>
    <t>FR - Pays de la Loire</t>
  </si>
  <si>
    <t>FR - Provence-Alpes-Cote d'Azur</t>
  </si>
  <si>
    <t>FR - Rhone-Alpes</t>
  </si>
  <si>
    <t>Nombre de brevets déposés nb de publication http://www.eurolio.eu/</t>
  </si>
  <si>
    <t>Requête1</t>
  </si>
  <si>
    <t>Commerce Inter-entrep.</t>
  </si>
  <si>
    <t>Concept.Recherche</t>
  </si>
  <si>
    <t>Culture Loisir</t>
  </si>
  <si>
    <t>Gestion</t>
  </si>
  <si>
    <t>Prest. Intellect.</t>
  </si>
  <si>
    <t>Rang Emploi Créat</t>
  </si>
  <si>
    <t>Rang Emploi HT</t>
  </si>
  <si>
    <t>Rang Emplois CFM</t>
  </si>
  <si>
    <t>Emplois CFM n-3</t>
  </si>
  <si>
    <t>Emplois CFM n-2</t>
  </si>
  <si>
    <t>Emplois CFM n-1</t>
  </si>
  <si>
    <t>Hôtels classés</t>
  </si>
  <si>
    <t>Chambres dans hôtels classés</t>
  </si>
  <si>
    <t>Campings classés</t>
  </si>
  <si>
    <t>Emplacements de camping classés</t>
  </si>
  <si>
    <t>Fréquentation des hébergements touristiques en 2014 : comparaisons départementales</t>
  </si>
  <si>
    <t>en milliers de nuitées</t>
  </si>
  <si>
    <t>Hôtels de tourisme</t>
  </si>
  <si>
    <t>Campings (mai à septembre)</t>
  </si>
  <si>
    <t>dont résidents étrangers</t>
  </si>
  <si>
    <t>M</t>
  </si>
  <si>
    <t>France métropolitaine</t>
  </si>
  <si>
    <t>en millions d'euros</t>
  </si>
  <si>
    <t>Régions</t>
  </si>
  <si>
    <t xml:space="preserve">Consommation touristique intérieure </t>
  </si>
  <si>
    <t xml:space="preserve">Languedoc-Roussillon </t>
  </si>
  <si>
    <t>Nord - Pas-de-Calais</t>
  </si>
  <si>
    <t>Provence - Alpes - Côte d'Azur</t>
  </si>
  <si>
    <t>Sources : Insee, DGCIS, Compte satellite du tourisme régionalisé 2011.</t>
  </si>
  <si>
    <t>Données de la figure 4 : Le tourisme est plus important dans les régions du Sud</t>
  </si>
  <si>
    <t>Rapport entre la consommation touristique et le PIB régional en 2011</t>
  </si>
  <si>
    <t>en %</t>
  </si>
  <si>
    <t>Part de la consommation touristique intérieure dans le PIB régional</t>
  </si>
  <si>
    <t>Emploi touristique lié au tourisme local (en milliers)</t>
  </si>
  <si>
    <t>Emploi touristique non lié au tourisme local  (en milliers)</t>
  </si>
  <si>
    <t>Emploi touristique total  (en milliers)</t>
  </si>
  <si>
    <t>Part dans l'emploi total en % (1)</t>
  </si>
  <si>
    <t>Zones touristiques</t>
  </si>
  <si>
    <t>ETP</t>
  </si>
  <si>
    <t>Dordogne</t>
  </si>
  <si>
    <t>Périgord Noir</t>
  </si>
  <si>
    <t>Périgord Vert Pourpre et Blanc</t>
  </si>
  <si>
    <t>Littoral médocain</t>
  </si>
  <si>
    <t>Bassin d'Arcachon</t>
  </si>
  <si>
    <t>Unité urbaine de Bordeaux (sauf Bordeaux)</t>
  </si>
  <si>
    <t>Gironde intérieure et vignoble</t>
  </si>
  <si>
    <t>Landes</t>
  </si>
  <si>
    <t>Littoral landais</t>
  </si>
  <si>
    <t>Zone thermale des Landes</t>
  </si>
  <si>
    <t>Intérieur des Landes</t>
  </si>
  <si>
    <t>Lot-et-Garonne</t>
  </si>
  <si>
    <t>Pyrénées-Atlantiques</t>
  </si>
  <si>
    <t>Littoral basque</t>
  </si>
  <si>
    <t>Piémont béarnais et basque</t>
  </si>
  <si>
    <t>Massif pyrénéen</t>
  </si>
  <si>
    <t>Unité urbaine de Pau</t>
  </si>
  <si>
    <t>Emplois, ETP et part d'emplois touristiques par zone</t>
  </si>
  <si>
    <t>Champ : Emplois touristiques salariés et non salariés, hors transport</t>
  </si>
  <si>
    <t>Sources : Insee, DADS, Acoss, 2011</t>
  </si>
  <si>
    <t>Rang emplois touristique</t>
  </si>
  <si>
    <t>Publication Insee / CRT : actualisation périodique (3 à 5 ans)</t>
  </si>
  <si>
    <t>Document Insee : http://www.insee.fr/fr/themes/document.asp?ref_id=ip1555</t>
  </si>
  <si>
    <t>Tx évol moyen annuel</t>
  </si>
  <si>
    <t>Nb Hab/Km</t>
  </si>
  <si>
    <t>Agriculteurs</t>
  </si>
  <si>
    <t>Artisans</t>
  </si>
  <si>
    <t>Employés</t>
  </si>
  <si>
    <t>Ouvriers</t>
  </si>
  <si>
    <t>Total Occ Actifs LR</t>
  </si>
  <si>
    <t>CAP BEP</t>
  </si>
  <si>
    <t>Croissance</t>
  </si>
  <si>
    <t xml:space="preserve">Taux d'emploi </t>
  </si>
  <si>
    <t>Salaire net horaire moyen</t>
  </si>
  <si>
    <t>Concentration de l'emploi</t>
  </si>
  <si>
    <t xml:space="preserve">Emploi total </t>
  </si>
  <si>
    <t>Emploi salarié</t>
  </si>
  <si>
    <t>Emploi salarié privé</t>
  </si>
  <si>
    <t>CDD</t>
  </si>
  <si>
    <t>% temps complet</t>
  </si>
  <si>
    <t>Evol Emplois salariés privés CF Chapitre V</t>
  </si>
  <si>
    <t>Evol Empl total</t>
  </si>
  <si>
    <t>Evol Empl salarié total</t>
  </si>
  <si>
    <t>Evol Empl salarié privés</t>
  </si>
  <si>
    <t>Salariés en CDI ou fonction public</t>
  </si>
  <si>
    <t>Salariés en CDD</t>
  </si>
  <si>
    <t>Autre salariés</t>
  </si>
  <si>
    <t>CDI N-2</t>
  </si>
  <si>
    <t>CDD N-2</t>
  </si>
  <si>
    <t>Non-salariés N-2</t>
  </si>
  <si>
    <t>Salariés N-2</t>
  </si>
  <si>
    <t>Autres salariés N-2</t>
  </si>
  <si>
    <t>Actifs occupés 15 ans ou + N-2</t>
  </si>
  <si>
    <t>Evolution de l'emploi salarié privé</t>
  </si>
  <si>
    <t>Nombre</t>
  </si>
  <si>
    <t>Part du total</t>
  </si>
  <si>
    <t xml:space="preserve">Serveurs </t>
  </si>
  <si>
    <t>Apprentis de restauration</t>
  </si>
  <si>
    <t xml:space="preserve">Professionnels de l'animation </t>
  </si>
  <si>
    <t xml:space="preserve">Artistes </t>
  </si>
  <si>
    <t>Aides à domicile</t>
  </si>
  <si>
    <t xml:space="preserve">Agents de sécurité </t>
  </si>
  <si>
    <t>Agents d'accueil</t>
  </si>
  <si>
    <t xml:space="preserve">Agents administratifs </t>
  </si>
  <si>
    <t>Employés de libre service</t>
  </si>
  <si>
    <t>Caissiers</t>
  </si>
  <si>
    <t xml:space="preserve">Mantutionnaires </t>
  </si>
  <si>
    <t>Aides soignants</t>
  </si>
  <si>
    <t>Agents d'entretien</t>
  </si>
  <si>
    <t xml:space="preserve">Vendeurs en habillement </t>
  </si>
  <si>
    <t>Attachés commerciaux</t>
  </si>
  <si>
    <t>Conducteurs / livreurs</t>
  </si>
  <si>
    <t>Personnels de ménage</t>
  </si>
  <si>
    <t>Secrétaires</t>
  </si>
  <si>
    <t>Infirmiers</t>
  </si>
  <si>
    <t xml:space="preserve">Jardiniers </t>
  </si>
  <si>
    <t>Conducteurs de bus / tram</t>
  </si>
  <si>
    <t>Ouvriers du second œuvre du bâtiment</t>
  </si>
  <si>
    <t>Formateurs</t>
  </si>
  <si>
    <t>Conducteurs routiers</t>
  </si>
  <si>
    <t>Techniciens de l'environnement</t>
  </si>
  <si>
    <t>Ouvriers des travaux publics</t>
  </si>
  <si>
    <t>Ouvriers du gros œuvre du bâtiment</t>
  </si>
  <si>
    <t xml:space="preserve">Surveillants </t>
  </si>
  <si>
    <t>Techniciens de la banque</t>
  </si>
  <si>
    <t>Coiffeurs, esthéticiens</t>
  </si>
  <si>
    <t>Ingénieurs (industrie)</t>
  </si>
  <si>
    <t>Mécaniciens</t>
  </si>
  <si>
    <t>Employés de banque / assurances</t>
  </si>
  <si>
    <t>Techniciens des industries de process</t>
  </si>
  <si>
    <t>Ouvriers du traitement des déchets</t>
  </si>
  <si>
    <t xml:space="preserve">Chefs de chantier </t>
  </si>
  <si>
    <t xml:space="preserve">Ingénieurs informatique </t>
  </si>
  <si>
    <t>Ingénieurs des méthodes de production</t>
  </si>
  <si>
    <t>Opérateurs en informatique</t>
  </si>
  <si>
    <t>Techniciens des services informatiques</t>
  </si>
  <si>
    <t>Viticulteurs, cueilleurs</t>
  </si>
  <si>
    <t>Offres par actifs / 52,745 N-2</t>
  </si>
  <si>
    <t>CDD long (&gt;1 mois)</t>
  </si>
  <si>
    <t>CDD court (&lt;1 mois)</t>
  </si>
  <si>
    <t>Banque, assurance, immobilier</t>
  </si>
  <si>
    <t>Commerce, vente et grande distribution</t>
  </si>
  <si>
    <t>Construction, bâtiment et travaux publics</t>
  </si>
  <si>
    <t>Installation et maintenance</t>
  </si>
  <si>
    <t>Spectacle</t>
  </si>
  <si>
    <t>Transport et logistique</t>
  </si>
  <si>
    <t>Communication, media et multimedia</t>
  </si>
  <si>
    <t xml:space="preserve">Services à la personne </t>
  </si>
  <si>
    <t>Hôtellerie- restauration / loisirs et animation</t>
  </si>
  <si>
    <t>Département</t>
  </si>
  <si>
    <t>08-T4</t>
  </si>
  <si>
    <t>09-T1</t>
  </si>
  <si>
    <t>09-T2</t>
  </si>
  <si>
    <t>09-T3</t>
  </si>
  <si>
    <t>09-T4</t>
  </si>
  <si>
    <t>10-T1</t>
  </si>
  <si>
    <t>10-T2</t>
  </si>
  <si>
    <t>10-T3</t>
  </si>
  <si>
    <t>10-T4</t>
  </si>
  <si>
    <t>11-T1</t>
  </si>
  <si>
    <t>11-T2</t>
  </si>
  <si>
    <t>11-T3</t>
  </si>
  <si>
    <t>11-T4</t>
  </si>
  <si>
    <t>12-T1</t>
  </si>
  <si>
    <t>12-T2</t>
  </si>
  <si>
    <t>12-T3</t>
  </si>
  <si>
    <t>12-T4</t>
  </si>
  <si>
    <t>13-T1</t>
  </si>
  <si>
    <t>13-T2</t>
  </si>
  <si>
    <t>13-T4</t>
  </si>
  <si>
    <t>13-T3</t>
  </si>
  <si>
    <t>14-T1</t>
  </si>
  <si>
    <t>14-T2</t>
  </si>
  <si>
    <t>14-T3</t>
  </si>
  <si>
    <t>14-T4</t>
  </si>
  <si>
    <t>15-T1</t>
  </si>
  <si>
    <t>15-T2</t>
  </si>
  <si>
    <t>Taux de chômage trimestriel</t>
  </si>
  <si>
    <t>Nb de demandeurs Cat A</t>
  </si>
  <si>
    <t>6 à 23 mois</t>
  </si>
  <si>
    <t>évolution</t>
  </si>
  <si>
    <t>- 25 ans</t>
  </si>
  <si>
    <t>&gt;=50 ans</t>
  </si>
  <si>
    <t>&gt;= 2 ans</t>
  </si>
  <si>
    <t>Lens</t>
  </si>
  <si>
    <t>Bassin Niçois</t>
  </si>
  <si>
    <t>Bassin Toulonnais</t>
  </si>
  <si>
    <t>Bassin d'Avignon</t>
  </si>
  <si>
    <t xml:space="preserve">Taux d'entrepreneuriat </t>
  </si>
  <si>
    <t>Part de jeunes entreprises</t>
  </si>
  <si>
    <t>Taux de survie à 3 ans</t>
  </si>
  <si>
    <t>Entreprises N-1</t>
  </si>
  <si>
    <t>Entr de 3 ans N-1</t>
  </si>
  <si>
    <t>Créations d'entr N-1</t>
  </si>
  <si>
    <t>Créations d'entr indiv N-1</t>
  </si>
  <si>
    <t>Etablissements N-1</t>
  </si>
  <si>
    <t>Créations d'ets N-1</t>
  </si>
  <si>
    <t>Créations d'entr N-2</t>
  </si>
  <si>
    <t>Créations d'ets N-2</t>
  </si>
  <si>
    <t>Entreprises N-2</t>
  </si>
  <si>
    <t>Entrep de 3 ans N-2</t>
  </si>
  <si>
    <t>Etablissements N-2</t>
  </si>
  <si>
    <t>Nb création total N-1</t>
  </si>
  <si>
    <t>Nb créations Micro-entrepreneurs</t>
  </si>
  <si>
    <t>Part micro-entrepreneur N-1</t>
  </si>
  <si>
    <t>Nb création total N-2</t>
  </si>
  <si>
    <t>Part micro-entrepreneur N-2</t>
  </si>
  <si>
    <t xml:space="preserve">dont part des micro-entrepreneurs </t>
  </si>
  <si>
    <t>Taux d'entrepreunariat N-1</t>
  </si>
  <si>
    <t>Actif 15-64 ans N-1</t>
  </si>
  <si>
    <t>Taux d'entrepreunariat N-2</t>
  </si>
  <si>
    <t>Créations d'entr 3ans N-1</t>
  </si>
  <si>
    <t>Créations d'entr 3ans N-2</t>
  </si>
  <si>
    <t>Création d'établissements</t>
  </si>
  <si>
    <t>Création d'entreprises</t>
  </si>
  <si>
    <t>Total Ets actifs N-1</t>
  </si>
  <si>
    <t>Ets actifs sphère présentielle N-1</t>
  </si>
  <si>
    <t>Ets actifs sphère productive N-1</t>
  </si>
  <si>
    <t>Ets actifs sphère présentielle public N-1</t>
  </si>
  <si>
    <t>Ets actifs sphère productive public N-1</t>
  </si>
  <si>
    <t>Postes Ets actifs sphère présentielle N-1</t>
  </si>
  <si>
    <t>Postes Ets actifs sphère productive N-1</t>
  </si>
  <si>
    <t>Postes Ets actifs sphère présentielle public N-1</t>
  </si>
  <si>
    <t>Postes Ets actifs sphère productive public N-1</t>
  </si>
  <si>
    <t>Ets actifs agriculture N-1</t>
  </si>
  <si>
    <t>Ets actifs industrie N-1</t>
  </si>
  <si>
    <t>Ets actifs construction N-1</t>
  </si>
  <si>
    <t>Ets actifs commerce services N-1</t>
  </si>
  <si>
    <t>Ets actifs adm publique N-1</t>
  </si>
  <si>
    <t>Ets actifs de 0 salarié N-1</t>
  </si>
  <si>
    <t>Ets actifs de 1 à 9 salariés N-1</t>
  </si>
  <si>
    <t>Ets actifs de 10 à 49 salariés N-1</t>
  </si>
  <si>
    <t>Ets actifs de 50 à 199 salariés N-1</t>
  </si>
  <si>
    <t>Ets actifs de 500 salariés ou plus N-1</t>
  </si>
  <si>
    <t>Ets actifs Services N-1</t>
  </si>
  <si>
    <t>Services</t>
  </si>
  <si>
    <t>Ets actifs de 200 à 499 salariés N-1</t>
  </si>
  <si>
    <t>0 salarié</t>
  </si>
  <si>
    <t>1 à 9 salariés</t>
  </si>
  <si>
    <t>10 à 49 salariés</t>
  </si>
  <si>
    <t>50 à 199 salariés</t>
  </si>
  <si>
    <t>200 à 499 salariés</t>
  </si>
  <si>
    <t>500 salariés et +</t>
  </si>
  <si>
    <t>Création de richesse et ouverture du territoire</t>
  </si>
  <si>
    <t>Commerce, réparation d'auto /moto</t>
  </si>
  <si>
    <t>Administration pub, enseignement, santé, action sociale</t>
  </si>
  <si>
    <t>Industries manufacturières, extractives et autres</t>
  </si>
  <si>
    <t>Activités scientifiques et techn; services admin et de soutien</t>
  </si>
  <si>
    <t>Paris</t>
  </si>
  <si>
    <t>Saint-Étienne</t>
  </si>
  <si>
    <t>Toulon</t>
  </si>
  <si>
    <t>Classification SCN</t>
  </si>
  <si>
    <t>Denière classification SCN (SCN 2008 ou dernière classification disponible)</t>
  </si>
  <si>
    <t>Indicateur</t>
  </si>
  <si>
    <t>PIB régional</t>
  </si>
  <si>
    <t>Mesure</t>
  </si>
  <si>
    <t>Position</t>
  </si>
  <si>
    <t>Toutes les régions</t>
  </si>
  <si>
    <t xml:space="preserve">OCDE : </t>
  </si>
  <si>
    <t xml:space="preserve">Nord </t>
  </si>
  <si>
    <t>Loire-Atl.</t>
  </si>
  <si>
    <t>Alpes-Marit.</t>
  </si>
  <si>
    <t>Bouches-du-R.</t>
  </si>
  <si>
    <t>Balance commerciale N-1</t>
  </si>
  <si>
    <t>2015  (en Million)</t>
  </si>
  <si>
    <t>Balance commerciale N-2</t>
  </si>
  <si>
    <t>Exportations N-1</t>
  </si>
  <si>
    <t>Importations N-1</t>
  </si>
  <si>
    <t>Exportations N-2</t>
  </si>
  <si>
    <t>Importations N-2</t>
  </si>
  <si>
    <t>Exportations N-3</t>
  </si>
  <si>
    <t>Importations N-3</t>
  </si>
  <si>
    <t>Exportations N-4</t>
  </si>
  <si>
    <t>Importations N-4</t>
  </si>
  <si>
    <t>http://lekiosque.finances.gouv.fr/regionales/region_accueil.asp</t>
  </si>
  <si>
    <t>Import</t>
  </si>
  <si>
    <t>Export</t>
  </si>
  <si>
    <t>Haute-Normandie</t>
  </si>
  <si>
    <t>Bouches-du-Rhône1</t>
  </si>
  <si>
    <t>Bouches-du-Rhône2</t>
  </si>
  <si>
    <t>Bouches-du-Rhône3</t>
  </si>
  <si>
    <t>Haute-Garonne1</t>
  </si>
  <si>
    <t>Haute-Garonne2</t>
  </si>
  <si>
    <t>Haute-Garonne3</t>
  </si>
  <si>
    <t>Gironde1</t>
  </si>
  <si>
    <t>Gironde2</t>
  </si>
  <si>
    <t>Gironde3</t>
  </si>
  <si>
    <t>Hérault1</t>
  </si>
  <si>
    <t>Hérault2</t>
  </si>
  <si>
    <t>Hérault3</t>
  </si>
  <si>
    <t>Ille-et-Vilaine1</t>
  </si>
  <si>
    <t>Ille-et-Vilaine2</t>
  </si>
  <si>
    <t>Ille-et-Vilaine3</t>
  </si>
  <si>
    <t>Isère1</t>
  </si>
  <si>
    <t>Isère2</t>
  </si>
  <si>
    <t>Isère3</t>
  </si>
  <si>
    <t>Loire-Atlantique1</t>
  </si>
  <si>
    <t>Loire-Atlantique2</t>
  </si>
  <si>
    <t>Loire-Atlantique3</t>
  </si>
  <si>
    <t>Nord1</t>
  </si>
  <si>
    <t>Nord2</t>
  </si>
  <si>
    <t>Nord3</t>
  </si>
  <si>
    <t>Bas-Rhin1</t>
  </si>
  <si>
    <t>Bas-Rhin2</t>
  </si>
  <si>
    <t>Bas-Rhin3</t>
  </si>
  <si>
    <t>Rhône1</t>
  </si>
  <si>
    <t>Rhône2</t>
  </si>
  <si>
    <t>Rhône3</t>
  </si>
  <si>
    <t>Seine-Maritime1</t>
  </si>
  <si>
    <t>Seine-Maritime2</t>
  </si>
  <si>
    <t>Seine-Maritime3</t>
  </si>
  <si>
    <t>Var1</t>
  </si>
  <si>
    <t>Var2</t>
  </si>
  <si>
    <t>Var3</t>
  </si>
  <si>
    <t>Vaucluse1</t>
  </si>
  <si>
    <t>Vaucluse2</t>
  </si>
  <si>
    <t>Vaucluse3</t>
  </si>
  <si>
    <t>Valeur en euros</t>
  </si>
  <si>
    <t>Formule</t>
  </si>
  <si>
    <t>Valeur</t>
  </si>
  <si>
    <t xml:space="preserve">Part </t>
  </si>
  <si>
    <t>%</t>
  </si>
  <si>
    <t>Pays_Valeur</t>
  </si>
  <si>
    <t>Pays_part</t>
  </si>
  <si>
    <t>Dynamique et spécialisation de l'emploi</t>
  </si>
  <si>
    <t>Commerce ; réparation d'auto. et de moto.</t>
  </si>
  <si>
    <t>Industries</t>
  </si>
  <si>
    <t>Commerce ; répar auto,moto</t>
  </si>
  <si>
    <t>Part</t>
  </si>
  <si>
    <t>Activités scient.et techn. ; services administratifs et de soutien</t>
  </si>
  <si>
    <t>MA Agric</t>
  </si>
  <si>
    <t>MA Industrie</t>
  </si>
  <si>
    <t>MA Construction</t>
  </si>
  <si>
    <t>MA Service</t>
  </si>
  <si>
    <t>MA Commerce</t>
  </si>
  <si>
    <t>SNAF</t>
  </si>
  <si>
    <t>% Agriculture</t>
  </si>
  <si>
    <t>% Industrie</t>
  </si>
  <si>
    <t>% Construction</t>
  </si>
  <si>
    <t>% Commerce</t>
  </si>
  <si>
    <t>% Service</t>
  </si>
  <si>
    <t>Evolution</t>
  </si>
  <si>
    <t>Académie</t>
  </si>
  <si>
    <t>Inscript N-2</t>
  </si>
  <si>
    <t>Inscript N-1</t>
  </si>
  <si>
    <t>Haute Normandie</t>
  </si>
  <si>
    <t>Nord-pas-de-calais</t>
  </si>
  <si>
    <t>Rhône Alpes</t>
  </si>
  <si>
    <t>Provence Alpes Côte d'Azur</t>
  </si>
  <si>
    <t>6</t>
  </si>
  <si>
    <t>23</t>
  </si>
  <si>
    <t>42</t>
  </si>
  <si>
    <t>52</t>
  </si>
  <si>
    <t>53</t>
  </si>
  <si>
    <t>73</t>
  </si>
  <si>
    <t>82</t>
  </si>
  <si>
    <t>91</t>
  </si>
  <si>
    <t>93</t>
  </si>
  <si>
    <t>Pop N-1</t>
  </si>
  <si>
    <t>Etudiant/hab</t>
  </si>
  <si>
    <t>Rang N-1</t>
  </si>
  <si>
    <t>Total en 2e ou 3 e Cycle</t>
  </si>
  <si>
    <t>Etudiants issus de système éducatif étranger</t>
  </si>
  <si>
    <t>2013/2014</t>
  </si>
  <si>
    <t>Non bachelier</t>
  </si>
  <si>
    <t>https://www.data.gouv.fr/fr/topics/education-et-recherche/</t>
  </si>
  <si>
    <t>http://www.obs-ost.fr/frressources_en_ligne/documents_methodologiques</t>
  </si>
  <si>
    <t>rang national</t>
  </si>
  <si>
    <t>rang européen</t>
  </si>
  <si>
    <t>part dans les chercheurs en France</t>
  </si>
  <si>
    <t xml:space="preserve">Part Chercheur privé </t>
  </si>
  <si>
    <t>Part Chercheur public</t>
  </si>
  <si>
    <t>Part du privé</t>
  </si>
  <si>
    <t>Nb chercheur 1000 hab</t>
  </si>
  <si>
    <t>Part dans la pop active</t>
  </si>
  <si>
    <t>nombre de chercheurs N-1</t>
  </si>
  <si>
    <t>nombre de chercheurs N-2</t>
  </si>
  <si>
    <t>Figure complémentaire 2 : Une activité des grandes agglomérations</t>
  </si>
  <si>
    <t>Les premières zones d'emploi de conception recherche par région en 2011</t>
  </si>
  <si>
    <t>Zone d'emploi</t>
  </si>
  <si>
    <t>Part dans l'emploi régional (%)</t>
  </si>
  <si>
    <t>Ensemble des emplois</t>
  </si>
  <si>
    <t>Emplois de la conception-recherche</t>
  </si>
  <si>
    <t>Toulouse - partie Midi-Pyrénées</t>
  </si>
  <si>
    <t>Guadeloupe</t>
  </si>
  <si>
    <t>Pointe-à-Pitre</t>
  </si>
  <si>
    <t>Martinique</t>
  </si>
  <si>
    <t>Centre agglomération</t>
  </si>
  <si>
    <t>Auvergne</t>
  </si>
  <si>
    <t>Clermont-Ferrand</t>
  </si>
  <si>
    <t>Île-de-France</t>
  </si>
  <si>
    <t>Limousin</t>
  </si>
  <si>
    <t>Limoges</t>
  </si>
  <si>
    <t>Franche-Comté</t>
  </si>
  <si>
    <t>Belfort-Montbéliard-Héricourt</t>
  </si>
  <si>
    <t>Guyane</t>
  </si>
  <si>
    <t>Cayenne</t>
  </si>
  <si>
    <t>Bourgogne</t>
  </si>
  <si>
    <t>Dijon</t>
  </si>
  <si>
    <t>Caen</t>
  </si>
  <si>
    <t>La Réunion</t>
  </si>
  <si>
    <t>Sud</t>
  </si>
  <si>
    <t>Corse</t>
  </si>
  <si>
    <t>Lorraine</t>
  </si>
  <si>
    <t>Nancy</t>
  </si>
  <si>
    <t>Champagne-Ardenne</t>
  </si>
  <si>
    <t>Reims</t>
  </si>
  <si>
    <t>Centre-Val de Loire</t>
  </si>
  <si>
    <t>Tours</t>
  </si>
  <si>
    <t>Paca</t>
  </si>
  <si>
    <t>Marseille-Aubagne</t>
  </si>
  <si>
    <t>Picardie</t>
  </si>
  <si>
    <t>Amiens</t>
  </si>
  <si>
    <t>Poitou-Charentes</t>
  </si>
  <si>
    <t>Poitiers</t>
  </si>
  <si>
    <t>Source : Insee, Recensement de la population-Exploitation complémentaire 2011.</t>
  </si>
  <si>
    <r>
      <rPr>
        <b/>
        <i/>
        <sz val="11"/>
        <color theme="1"/>
        <rFont val="Calibri"/>
        <family val="2"/>
        <scheme val="minor"/>
      </rPr>
      <t xml:space="preserve">Publication Insee "L'effort de recherche dans les régions" </t>
    </r>
    <r>
      <rPr>
        <sz val="11"/>
        <color theme="1"/>
        <rFont val="Calibri"/>
        <family val="2"/>
        <scheme val="minor"/>
      </rPr>
      <t>//  https://beta.insee.fr/fr/statistiques/1287833</t>
    </r>
  </si>
  <si>
    <t>Rang brevet</t>
  </si>
  <si>
    <t>Rang publication</t>
  </si>
  <si>
    <t>Evolution N-2 / N-1</t>
  </si>
  <si>
    <t>Part ds total sal privé</t>
  </si>
  <si>
    <t>Part dans l'emploi total</t>
  </si>
  <si>
    <t>emplois créatifs</t>
  </si>
  <si>
    <t>Emploi HT</t>
  </si>
  <si>
    <t>Part HT ds total sal privé</t>
  </si>
  <si>
    <t>Part CFM ds total RRP</t>
  </si>
  <si>
    <t>B_100_Emplois CFM n-2</t>
  </si>
  <si>
    <t>B_100_Emplois CFM n-1</t>
  </si>
  <si>
    <t>B_100_Emplois CFM n-3</t>
  </si>
  <si>
    <t>Tourisme</t>
  </si>
  <si>
    <t>Insee / ancien site / http://www.insee.fr/fr/themes/tableau.asp?reg_id=99&amp;ref_id=TCRD_020</t>
  </si>
  <si>
    <t xml:space="preserve">Littoral aquitain </t>
  </si>
  <si>
    <t xml:space="preserve">Intérieur aquitain </t>
  </si>
  <si>
    <t>Béarn</t>
  </si>
  <si>
    <t xml:space="preserve">Pays basque </t>
  </si>
  <si>
    <t>NC</t>
  </si>
  <si>
    <t>Hôtellerie</t>
  </si>
  <si>
    <t>Camping</t>
  </si>
  <si>
    <t>Nb de nuités dans hotels N-1</t>
  </si>
  <si>
    <t>Total Hôtellerie n-2</t>
  </si>
  <si>
    <t>http://www.bdm.insee.fr/bdm2/affichageSeries?idbank=001711032&amp;idbank=001711033&amp;idbank=001711037&amp;idbank=001711040&amp;idbank=001711042&amp;idbank=001711044&amp;idbank=001711047&amp;idbank=001711048&amp;idbank=001711049&amp;idbank=001711052&amp;idbank=001711053&amp;idbank=001711054&amp;idbank=001711055&amp;page=tableau&amp;codeGroupe=1610&amp;recherche=criteres&amp;periodeDebut=1&amp;anneeDebut=2013&amp;periodeFin=11&amp;anneeFin=2015</t>
  </si>
  <si>
    <t>Libellé</t>
  </si>
  <si>
    <t>Nuitées Etrangers N-1</t>
  </si>
  <si>
    <t>Nuitées Etrangers N-2</t>
  </si>
  <si>
    <t>Nuitées Etrangers N-3</t>
  </si>
  <si>
    <t>Nuitées Etrangers N-4</t>
  </si>
  <si>
    <t>Nuitées Etrangers N-5</t>
  </si>
  <si>
    <t>Nuitées totale N-1</t>
  </si>
  <si>
    <t>Nuitées totale N-2</t>
  </si>
  <si>
    <t>Nuitées totale N-3</t>
  </si>
  <si>
    <t>Nuitées totale N-4</t>
  </si>
  <si>
    <t>Nuitées totale N-5</t>
  </si>
  <si>
    <t>Nuitées par an dans les hôtels par région en millier</t>
  </si>
  <si>
    <t>Evolution nuit hotel</t>
  </si>
  <si>
    <t>Taux d'occu moyen Hotel N-1</t>
  </si>
  <si>
    <t>Nuitées etrang H_N-1</t>
  </si>
  <si>
    <t>Part nuités étrnag H_N-1</t>
  </si>
  <si>
    <t>Total Nuit camping  n-2</t>
  </si>
  <si>
    <t>Evolution nuit camping</t>
  </si>
  <si>
    <t>Taux d'occu moyen camping N-1</t>
  </si>
  <si>
    <t>Nuitées etrang C_N-1</t>
  </si>
  <si>
    <t>Nb de nuités dans campings N-1</t>
  </si>
  <si>
    <t>Hotel</t>
  </si>
  <si>
    <t>Nuitées etrang H_N-2</t>
  </si>
  <si>
    <t>Evol Nuités Etrang Hotel</t>
  </si>
  <si>
    <t>Nuitées etrang C_N-2</t>
  </si>
  <si>
    <t>Evol nuités Etrang camping</t>
  </si>
  <si>
    <t xml:space="preserve">Allemagne </t>
  </si>
  <si>
    <t xml:space="preserve">Belgique </t>
  </si>
  <si>
    <t xml:space="preserve">Espagne </t>
  </si>
  <si>
    <t xml:space="preserve">Italie </t>
  </si>
  <si>
    <t xml:space="preserve">Pays-Bas </t>
  </si>
  <si>
    <t xml:space="preserve">Royaume-Uni </t>
  </si>
  <si>
    <t xml:space="preserve">Suisse </t>
  </si>
  <si>
    <t>Autres europe</t>
  </si>
  <si>
    <t>Amériques</t>
  </si>
  <si>
    <t>Asie/Océanie/Australie</t>
  </si>
  <si>
    <t>Afrique</t>
  </si>
  <si>
    <t>total</t>
  </si>
  <si>
    <t>part colonne</t>
  </si>
  <si>
    <t>UU de Bordeaux (sauf Bdx)</t>
  </si>
  <si>
    <t>Asie/Océanie/Australie/Afrique</t>
  </si>
  <si>
    <t>Autres Europe</t>
  </si>
  <si>
    <t>http://etudes.obs-aquitaine.fr/rub.asp?id=4&amp;page=Les_donnees_mensuelles_chiffrees</t>
  </si>
  <si>
    <t>2011-2009</t>
  </si>
  <si>
    <t>Nombre d'emplois touristiques</t>
  </si>
  <si>
    <t>Évolution</t>
  </si>
  <si>
    <t>Revenu médian UC N-1</t>
  </si>
  <si>
    <t>Revenu médian UC N-2</t>
  </si>
  <si>
    <t>BORDEAUX</t>
  </si>
  <si>
    <t>LYON</t>
  </si>
  <si>
    <t>Part Jeunes entreprises N-1</t>
  </si>
  <si>
    <t>Part Jeunes entreprises N-2</t>
  </si>
  <si>
    <t>Taux survie_N-1</t>
  </si>
  <si>
    <t>Taux survie_N-2</t>
  </si>
  <si>
    <t>Principaux pays d'échanges</t>
  </si>
  <si>
    <t>Emploi salarié privé acoss N +2</t>
  </si>
  <si>
    <t>Emploi salarié privé acoss N</t>
  </si>
  <si>
    <t>Emploi salarié privé acoss n-5</t>
  </si>
  <si>
    <t>Sphère économique</t>
  </si>
  <si>
    <t>Privé</t>
  </si>
  <si>
    <t>Public</t>
  </si>
  <si>
    <t>Part des effectifs</t>
  </si>
  <si>
    <t>Sphère présentielle</t>
  </si>
  <si>
    <t>Sphère productive</t>
  </si>
  <si>
    <t>Etab actifs sphère présentielle N-1</t>
  </si>
  <si>
    <t>Etab actifs sphère productive N-1</t>
  </si>
  <si>
    <t>Effectifs sphère présentielle N-1</t>
  </si>
  <si>
    <t>Effectifs sphère productive N-1</t>
  </si>
  <si>
    <t>Total etab actifs N-1</t>
  </si>
  <si>
    <t>Total Effectifs actifs N-1</t>
  </si>
  <si>
    <t>dont Etab actifs sphère présentielle public  N-1</t>
  </si>
  <si>
    <t>dont Etab actifs sphère productive public N-1</t>
  </si>
  <si>
    <t>dont Effectifs sphère présentielle public N-1</t>
  </si>
  <si>
    <t>dont Effectifs sphère productive public N-1</t>
  </si>
  <si>
    <t>dont Etab actifs sphère présentielle privé  N-1</t>
  </si>
  <si>
    <t>dont Etab actifs sphère productive privé N-1</t>
  </si>
  <si>
    <t>dont postes actifs sphère présentielle privé  N-1</t>
  </si>
  <si>
    <t>dont postes actifs sphère productive privé N-1</t>
  </si>
  <si>
    <t>public</t>
  </si>
  <si>
    <t xml:space="preserve">Industries extractives </t>
  </si>
  <si>
    <t xml:space="preserve">Travail du bois, industries du papier et imprimerie </t>
  </si>
  <si>
    <t>Fabrication de produits informatiques, électroniques et optiques</t>
  </si>
  <si>
    <t>Fabrication de machines et équipements n.c.a.</t>
  </si>
  <si>
    <t xml:space="preserve">Construction </t>
  </si>
  <si>
    <t xml:space="preserve">Transports et entreposage </t>
  </si>
  <si>
    <t>Edition, audiovisuel et diffusion</t>
  </si>
  <si>
    <t>Activités informatiques et services d'information</t>
  </si>
  <si>
    <t>Autres activités spécialisées, scientifiques et techniques</t>
  </si>
  <si>
    <t>Activités de services administratifs et de soutien</t>
  </si>
  <si>
    <t>Hébergement médico-social et social et action sociale sans hébergement</t>
  </si>
  <si>
    <t>Arts, spectacles et activités récréatives</t>
  </si>
  <si>
    <t xml:space="preserve">Autres activités de services </t>
  </si>
  <si>
    <t>Fabrication d'aliments, de boissons et de produits à base de tabac</t>
  </si>
  <si>
    <t>Fabrication de textiles, habillement, cuir et de la chaussure</t>
  </si>
  <si>
    <t xml:space="preserve">Fabrication de produits en caoutchouc et en plastique </t>
  </si>
  <si>
    <t>Autres : réparation et installation de machines et d'équipements</t>
  </si>
  <si>
    <t>Production et distribution d'électricité, de gaz</t>
  </si>
  <si>
    <t xml:space="preserve">Activités des ménages en tant qu'employeurs </t>
  </si>
  <si>
    <t>Métallurgie et fab.de produits métalliques hors machines et équipements</t>
  </si>
  <si>
    <t>Product. et distrib. d'eau; assainissement, gestion déchets et dépollution</t>
  </si>
  <si>
    <t>Fab aliments, boiss</t>
  </si>
  <si>
    <t>Fab textiles</t>
  </si>
  <si>
    <t>Travail bois</t>
  </si>
  <si>
    <t>Fab ps caou, plas,</t>
  </si>
  <si>
    <t>Fab prod informat, électroniq</t>
  </si>
  <si>
    <t xml:space="preserve">Fabric de machines </t>
  </si>
  <si>
    <t>Aut ind manuf</t>
  </si>
  <si>
    <t xml:space="preserve">Prdn  distr élec gaz vap </t>
  </si>
  <si>
    <t>Gestion eau, déchets  dépollution</t>
  </si>
  <si>
    <t>Commerce ; répar automobile  motocycle</t>
  </si>
  <si>
    <t>Act informatique et d'information</t>
  </si>
  <si>
    <t>Act de svices administratifs  soutien</t>
  </si>
  <si>
    <t xml:space="preserve">Héb méd-soc </t>
  </si>
  <si>
    <t>Act ménages</t>
  </si>
  <si>
    <t xml:space="preserve">Arts, spectacles </t>
  </si>
  <si>
    <t>Métallurgie et fab ps mét sauf machines</t>
  </si>
  <si>
    <t>Postes des Ets actifs N-1</t>
  </si>
  <si>
    <t>Activités jurid., de gestion, d'architecture, d'ingénierie et d'analyses techn.</t>
  </si>
  <si>
    <t xml:space="preserve">Observatoire de l'activité économique et de l'emploi </t>
  </si>
  <si>
    <t>Glossaire</t>
  </si>
  <si>
    <t>La population municipale comprend les personnes ayant leur résidence habituelle (au sens du décret) sur le territoire de la commune, dans un logement ou une communauté, les personnes détenues dans les établissements pénitentiaires de la commune, les personnes sans-abri recensées sur le territoire de la commune et les personnes résidant habituellement dans une habitation mobile recensée sur le territoire de la commune. Elle ne comporte pas de doubles comptes : chaque personne vivant en France est comptée une fois et une seule.</t>
  </si>
  <si>
    <t>L'établissement est une unité de production géographiquement individualisée, mais juridiquement dépendante de l'entreprise. L'établissement, unité de production, constitue le niveau le mieux adapté à une approche géographique de l'économie.</t>
  </si>
  <si>
    <t>Remarque : la population des établissements est relativement stable dans le temps et est moins affectée par les mouvements de restructuration juridique et financière que celle des entreprises.</t>
  </si>
  <si>
    <t>La statistique des créations d'établissements est constituée à partir des informations du répertoire des entreprises et des établissements (REE-Sirene).</t>
  </si>
  <si>
    <t>Depuis le 1er janvier 2007, la notion de création d'établissements, en cohérence avec la notion de création d'entreprise qui s'appuie sur un concept harmonisé au niveau européen pour faciliter les comparaisons, correspond à la mise en œuvre de nouveaux moyens de production.</t>
  </si>
  <si>
    <t>Remarque : depuis le 1er janvier 2007, la statistique des créations d'établissements couvre l'ensemble des activités marchandes hors agriculture.</t>
  </si>
  <si>
    <t>Nombre d'étudiants dans les universités, les écoles de commerce, les écoles paramédicales ainsi que les sections de techniciens supérieurs.</t>
  </si>
  <si>
    <t xml:space="preserve">Mobilité des bacheliers dans les universités </t>
  </si>
  <si>
    <t>Il s'agit du diplôme le plus élevé obtenu par la personne.</t>
  </si>
  <si>
    <t>Retrace la valeur des biens exportés et la valeur des biens importés. Pour calculer la balance commerciale, la comptabilité nationale procède à l'évaluation des importations et des exportations de biens à partir des statistiques douanières de marchandises.</t>
  </si>
  <si>
    <t>Nuitée hôtellerie / Taux d'occupation</t>
  </si>
  <si>
    <t>Observatoire régional du Tourisme / Enquête de Fréquentation dans l'Hôtellerie</t>
  </si>
  <si>
    <t>L'enquête de fréquentation hôtelière est effectuée mensuellement auprès des hôtels classés tourisme (0 à 4 étoiles luxe) et des hôtels de chaînes non classés.</t>
  </si>
  <si>
    <t>Nombre d'actifs 15-64 ans</t>
  </si>
  <si>
    <t>La population active, au sens du recensement, est composée des actifs ayant un emploi et des chômeurs.</t>
  </si>
  <si>
    <t>Les emplois au lieu de travail ne se confondent pas avec la population active ayant un emploi, qui est comptée au lieu de résidence : une personne active ayant un emploi peut résider dans une commune A et avoir un emploi dans une commune B.</t>
  </si>
  <si>
    <t>Le taux d'emploi d'une classe d'individus est calculé en rapportant le nombre d'individus de la classe ayant un emploi au nombre total d'individus dans la classe. Il peut être calculé sur l'ensemble de la population d'un pays, mais on se limite le plus souvent à la population en âge de travailler (soit comme ici les personnes âgées de 15 à 64 ans), ou à une sous-catégorie de la population en âge de travailler (femmes de 25 à 29 ans par exemple).</t>
  </si>
  <si>
    <t>Le concept de « cadres des fonctions métropolitaines » (CFM) vise à offrir une notion proche des emplois « stratégiques », en assurant la cohérence avec les fonctions. La présence d'emplois « stratégiques » est utilisée dans l'approche du rayonnement ou de l'attractivité d'un territoire.</t>
  </si>
  <si>
    <t>Ces emplois « stratégiques » sont définis comme les cadres et les chefs d'entreprises de 10 salariés ou plus des 5 fonctions métropolitaines.</t>
  </si>
  <si>
    <t>Le champ du secteur privé Acoss-Urssaf couvre l’ensemble des entreprises employeuses du secteur concurrentiel, affiliées au régime général et exerçant leur activité en France (métropole et Dom).</t>
  </si>
  <si>
    <r>
      <t xml:space="preserve">Sont </t>
    </r>
    <r>
      <rPr>
        <b/>
        <sz val="9"/>
        <color theme="1"/>
        <rFont val="Calibri"/>
        <family val="2"/>
        <scheme val="minor"/>
      </rPr>
      <t>exclus de ce champ </t>
    </r>
    <r>
      <rPr>
        <sz val="9"/>
        <color theme="1"/>
        <rFont val="Calibri"/>
        <family val="2"/>
        <scheme val="minor"/>
      </rPr>
      <t>:  l</t>
    </r>
    <r>
      <rPr>
        <sz val="8"/>
        <color theme="1"/>
        <rFont val="Calibri"/>
        <family val="2"/>
        <scheme val="minor"/>
      </rPr>
      <t>es établissements relevant du régime agricole (cf. infra) ; les administrations publiques (code APE commençant par 841 ou 842) ; les établissements de l’éducation non marchande (établissements d’enseignement relevant de l’Etat ou des collectivités locales) et de la santé non marchande, à savoir les établissements qui ont un code APE commençant par 85, 86, 87 ou 88 (éducation, santé, action sociale) et sont de catégorie juridique 7 (personne morale et organisme soumis au droit administratif) ; les employeurs de salariés à domicile.</t>
    </r>
  </si>
  <si>
    <t xml:space="preserve">Elle permet aussi de fournir une grille d'analyse des processus d'externalisation et autres mutations économiques à l'œuvre dans les territoires. </t>
  </si>
  <si>
    <t>Les activités présentielles sont les activités mises en œuvre localement pour la production de biens et de services visant la satisfaction des besoins de personnes présentes dans la zone, qu'elles soient résidentes ou touristes.</t>
  </si>
  <si>
    <t>Les demandeurs d'emploi sont les personnes qui s'inscrivent à Pôle Emploi. Ces demandeurs sont enregistrés à Pôle Emploi dans différentes catégories de demandes d'emploi en fonction de leur disponibilité, du type de contrat recherché et de la quotité de temps de travail souhaité.</t>
  </si>
  <si>
    <t>Déclaration Préalable à l'Embauche</t>
  </si>
  <si>
    <t>L'enquête Besoins en Main-d'Œuvre</t>
  </si>
  <si>
    <t>Offre d'emploi des cadres</t>
  </si>
  <si>
    <t>Revenu médian par unité de consommation</t>
  </si>
  <si>
    <t>Nombre de brevets publiés en 2009</t>
  </si>
  <si>
    <t>La partition de l'économie en deux sphères, présentielle et productive, permet de mieux comprendre les logiques de spatialisation des activités et de mettre en évidence le degré d'ouverture des systèmes productifs locaux.</t>
  </si>
  <si>
    <t>Les activités productives sont déterminées par différence. Il s'agit des activités qui produisent des biens majoritairement consommés hors de la zone et des activités de services tournées principalement vers les entreprises de cette sphère.</t>
  </si>
  <si>
    <t>Part des micro-entrepreneurs</t>
  </si>
  <si>
    <t xml:space="preserve"> Insee, 2015</t>
  </si>
  <si>
    <t xml:space="preserve">Nombre d'habitants </t>
  </si>
  <si>
    <t>CFM</t>
  </si>
  <si>
    <t>ZE Lens - Hénin</t>
  </si>
  <si>
    <t>menu déroulant</t>
  </si>
  <si>
    <t>dont low cost</t>
  </si>
  <si>
    <t>Nb Passagers</t>
  </si>
  <si>
    <t>LR evolution</t>
  </si>
  <si>
    <t>LC evolution</t>
  </si>
  <si>
    <t>Paris - Orly</t>
  </si>
  <si>
    <t>Nice Côte d'Azur</t>
  </si>
  <si>
    <t>Lyon-Saint Exupéry</t>
  </si>
  <si>
    <t>Toulouse - Blagnac</t>
  </si>
  <si>
    <t>Bordeaux - Mérignac</t>
  </si>
  <si>
    <t>Nantes Atlantique</t>
  </si>
  <si>
    <t>Beauvais - Tillé</t>
  </si>
  <si>
    <t>Lille - Lesquin</t>
  </si>
  <si>
    <t>Montpellier Méditerranée</t>
  </si>
  <si>
    <t>trafic N-2</t>
  </si>
  <si>
    <t>trafic N-1</t>
  </si>
  <si>
    <t>Port Evolution</t>
  </si>
  <si>
    <t>Trafic en  tonnes</t>
  </si>
  <si>
    <t>Ne pas effacer - données ci-dessous !</t>
  </si>
  <si>
    <t xml:space="preserve">ZE  Lens </t>
  </si>
  <si>
    <t>ZE Marseille</t>
  </si>
  <si>
    <t>Enseignement supérieur, recherche et emplois stratégiques</t>
  </si>
  <si>
    <t>Source : Observatoire des sciences et des techniques</t>
  </si>
  <si>
    <t>Consommation et richesse dégagée</t>
  </si>
  <si>
    <t>Source : Insee, Fichier économique enrichi 2011</t>
  </si>
  <si>
    <t>Taux de croissance annuel moyen</t>
  </si>
  <si>
    <t>Les 10 métiers les plus recherchés dans le bassin d'emploi selon la saisonnalité et la difficulté de recrutement</t>
  </si>
  <si>
    <t>Uniquement au niveau local</t>
  </si>
  <si>
    <t>Indice de spécialisation par rapport à la France métropolitaine</t>
  </si>
  <si>
    <t>Privée</t>
  </si>
  <si>
    <t>Publique</t>
  </si>
  <si>
    <t>b</t>
  </si>
  <si>
    <t>a</t>
  </si>
  <si>
    <t>c</t>
  </si>
  <si>
    <t>d</t>
  </si>
  <si>
    <t>e</t>
  </si>
  <si>
    <t>f</t>
  </si>
  <si>
    <t>g</t>
  </si>
  <si>
    <t>h</t>
  </si>
  <si>
    <t>j</t>
  </si>
  <si>
    <t>k</t>
  </si>
  <si>
    <t>l</t>
  </si>
  <si>
    <t>m</t>
  </si>
  <si>
    <t>n</t>
  </si>
  <si>
    <t>i</t>
  </si>
  <si>
    <t xml:space="preserve">Libellé de la branche </t>
  </si>
  <si>
    <t>code de la branche en A17</t>
  </si>
  <si>
    <t>Dépt</t>
  </si>
  <si>
    <t>Indice d'évolution du PIB par tête à prix constant (2007=100) dollar 2010</t>
  </si>
  <si>
    <t>lib</t>
  </si>
  <si>
    <t>Balance</t>
  </si>
  <si>
    <t>Solde 2015-2014</t>
  </si>
  <si>
    <t>evol 2015-2014</t>
  </si>
  <si>
    <t>Ident</t>
  </si>
  <si>
    <t>Produit-CPF4</t>
  </si>
  <si>
    <t>lib dept</t>
  </si>
  <si>
    <t>Export N</t>
  </si>
  <si>
    <t>Import N</t>
  </si>
  <si>
    <t>Equipements électriques et électroniques automobiles</t>
  </si>
  <si>
    <t>Cuivre</t>
  </si>
  <si>
    <t>Produits amylacés</t>
  </si>
  <si>
    <t>Masse</t>
  </si>
  <si>
    <t xml:space="preserve">Détail : </t>
  </si>
  <si>
    <t>Pas-de-Calais1</t>
  </si>
  <si>
    <t>Pas-de-Calais2</t>
  </si>
  <si>
    <t>Pas-de-Calais3</t>
  </si>
  <si>
    <t>Voir feuille Pep douanes</t>
  </si>
  <si>
    <t>NB emploi France</t>
  </si>
  <si>
    <t>Nombre de publications old</t>
  </si>
  <si>
    <t>Nuitées étrangères</t>
  </si>
  <si>
    <t>Part nuités étrang C_N-1</t>
  </si>
  <si>
    <t>source : Y\GRI\Dat\alpha\tourisme\base\F_Insee-DGCIS_Conso-tourist-2011.xls</t>
  </si>
  <si>
    <t>France métro.</t>
  </si>
  <si>
    <t>PIB par habitant en $ des Aires Urbaines Fonctionnelles en 2012</t>
  </si>
  <si>
    <t>TCAM* : Taux de croissance annuel moyen</t>
  </si>
  <si>
    <t>Taux de croissance annuel moyen (TCAM)</t>
  </si>
  <si>
    <t>Il correspond à la variation de la population au cours d'une période de temps et s'exprime en pourcentage du nombre d'individu.</t>
  </si>
  <si>
    <t>Les non salariés sont les personnes qui travaillent mais sont rémunérées sous une autre forme qu'un salaire.</t>
  </si>
  <si>
    <t>Selon le Code de la sécurité sociale, les indépendants ou non-salariés se distinguent des salariés par l'absence de contrat de travail, et par le fait qu'ils n'ont pas de lien de subordination juridique permanente à l'égard d'un donneur d'ordre.</t>
  </si>
  <si>
    <t>Indépendant ou non-salarié</t>
  </si>
  <si>
    <t>Non salariés : Indépendants, Employeurs, Aides familiaux</t>
  </si>
  <si>
    <r>
      <t>L'e</t>
    </r>
    <r>
      <rPr>
        <sz val="10"/>
        <color rgb="FF000000"/>
        <rFont val="Avenir LT Std 35 Light"/>
        <family val="2"/>
      </rPr>
      <t xml:space="preserve">ntreprise est une unité économique, juridiquement autonome, organisée pour produire des biens ou des services pour le marché. </t>
    </r>
  </si>
  <si>
    <t>Le régime du micro-entrepreneur est la nouvelle dénomination pour celui de l'auto-entrepreneur depuis le 19 décembre 2014. Ce régime a été mis en place par la loi de modernisation de l'économie (LME) d'août 2008 et s'applique depuis le 1er janvier 2009 aux personnes physiques qui créent, ou possèdent déjà, une entreprise individuelle pour exercer une activité commerciale, artisanale ou libérale (hormis certaines activités exclues), à titre principal ou complémentaire.</t>
  </si>
  <si>
    <t>http://www.developpement-durable.gouv.fr/Trafics-des-principaux-ports.html</t>
  </si>
  <si>
    <t>Tonnage</t>
  </si>
  <si>
    <t>Le Havre</t>
  </si>
  <si>
    <t>C’est un système d'information alimenté par différentes sources dont l'objectif est de fournir des statistiques localisées au lieu de travail jusqu'au niveau communal, sur l'emploi salarié et les rémunérations pour les différentes activités des secteurs marchand et non marchand.</t>
  </si>
  <si>
    <t>Les données sur l'emploi salarié résultent d'une mise en cohérence des informations issues de l’exploitation :</t>
  </si>
  <si>
    <t>- des DADS (Déclarations Annuelles de Données Sociales) ;</t>
  </si>
  <si>
    <t>- du système d'information sur les agents de l'État.</t>
  </si>
  <si>
    <t>Fabrication d'aliments, boisson et produits à base de tabac</t>
  </si>
  <si>
    <t>Fabrication d'équipements électriques, électroniques, informatiques et machines</t>
  </si>
  <si>
    <t>Industrie extractive, énergie, eau, gestionn des déchets et dépollution</t>
  </si>
  <si>
    <t>Secteurs d'activité des emplois salariés</t>
  </si>
  <si>
    <t>Regroupement de la NAF 17 en 12 postes :</t>
  </si>
  <si>
    <t xml:space="preserve">Industries manufacturières, industries extractives et autres regroupent : </t>
  </si>
  <si>
    <t>Caen Ouistreham</t>
  </si>
  <si>
    <t>Nantes / St- Nazaire</t>
  </si>
  <si>
    <t>Activités aéroportuaires</t>
  </si>
  <si>
    <r>
      <rPr>
        <b/>
        <u/>
        <sz val="10"/>
        <color theme="1"/>
        <rFont val="Avenir LT Std 35 Light"/>
        <family val="2"/>
      </rPr>
      <t>dont low cost :</t>
    </r>
    <r>
      <rPr>
        <sz val="10"/>
        <color theme="1"/>
        <rFont val="Avenir LT Std 35 Light"/>
        <family val="2"/>
      </rPr>
      <t xml:space="preserve"> nombre de passagers d'une compagnie aérienne à bas prix (en anglais low cost) : compagnie aérienne qui, à la suite de l'abolition des règles limitant la concurrence, à partir de 1978 aux États-Unis, plus tard sur d'autres continents, s'est positionnée sur le créneau commercial du transport aérien à moindre prix en limitant ou en supprimant les services annexes au sol et en vol.</t>
    </r>
  </si>
  <si>
    <t>                    + droits et taxes sur les produits</t>
  </si>
  <si>
    <t>                    - subventions sur les produits.</t>
  </si>
  <si>
    <t>La valeur ajoutée est la différence entre la valeur des biens ou services produits par une entreprise ou une branche et celle des biens et services utilisés pour la production, dite des «consommations intermédiaires».</t>
  </si>
  <si>
    <t>PIB et Valeur Ajoutée</t>
  </si>
  <si>
    <t>Insee 2013</t>
  </si>
  <si>
    <t>"VERS UNE CROISSANCE PLUS INCLUSIVE DE LA METROPOLE AIX-MARSEILLE : UNE PERSPECTIVE INTERNATIONALE © OCDE 2014"</t>
  </si>
  <si>
    <t>OCDE 2014</t>
  </si>
  <si>
    <t>Volume et évolution du trafic</t>
  </si>
  <si>
    <t>Nombre d'étudiants</t>
  </si>
  <si>
    <t>Enseignement supérieur</t>
  </si>
  <si>
    <t>Nombre de Chercheurs en R&amp;D</t>
  </si>
  <si>
    <t>publications</t>
  </si>
  <si>
    <t>Brevets et</t>
  </si>
  <si>
    <t>Activités de droit privé liées à un service public</t>
  </si>
  <si>
    <t>Activités scientifiques et techn. ; services administratifs et de soutien</t>
  </si>
  <si>
    <t>Support service public</t>
  </si>
  <si>
    <t>MA Support service public</t>
  </si>
  <si>
    <t>%Support service public</t>
  </si>
  <si>
    <t>Activités de droit privé en support d'un service public</t>
  </si>
  <si>
    <t>2015-11</t>
  </si>
  <si>
    <t>2015-12</t>
  </si>
  <si>
    <t>Classement du ratio entre le nombre d'étudiants et la population des académies</t>
  </si>
  <si>
    <t>Evolution rentrée précédente</t>
  </si>
  <si>
    <t>Fréquentation et taux d'occupation (T.O.)</t>
  </si>
  <si>
    <t>T.O.</t>
  </si>
  <si>
    <t>Méthode d’estimations des emplois liés au tourisme</t>
  </si>
  <si>
    <t>L’estimation de l’emploi lié au tourisme repose ainsi sur le repérage des secteurs d’activités concernés par le tourisme et leur classement selon leur degré de touristicité :</t>
  </si>
  <si>
    <t>- dans les activités 100 % touristiques, tout l’emploi est considéré comme emploi touristique ;</t>
  </si>
  <si>
    <t>- dans les activités partiellement touristiques, l’emploi touristique est estimé en retranchant à l’emploi total un emploi théorique lié aux résidents.</t>
  </si>
  <si>
    <t>Pour certaines activités, comme le transport de voyageurs, il n’est pas possible de localiser précisément les touristes qui en bénéficient. Ces emplois sont liés au tourisme, mais pas au lieu de séjour des touristes. Dans cette étude, ils ont été répartis dans chaque région métropolitaine, en fonction de la localisation des établissements auxquels ils sont rattachés. Mais ils sont exclus des analyses territoriales plus fines, qui ne concernent que les emplois locaux liés au tourisme, c’est-à-dire ceux induits par la présence de touristes.</t>
  </si>
  <si>
    <t>TCAM * : Taux de croissance annuel moyen</t>
  </si>
  <si>
    <t>France Metro.</t>
  </si>
  <si>
    <t>Ets actifs commerce &amp; rep auto N-1</t>
  </si>
  <si>
    <t>Commerce &amp; rep auto</t>
  </si>
  <si>
    <t>Balance commerciale</t>
  </si>
  <si>
    <t>Rang sur 12 académies</t>
  </si>
  <si>
    <t>rang des AU ou ZE</t>
  </si>
  <si>
    <t>Secteurs touristiques d'Aquitaine :</t>
  </si>
  <si>
    <t>Taux d'activité</t>
  </si>
  <si>
    <t>Emplois sans limite de durée : CDI (contrats à durée indéterminée), titulaires de la fonction publique</t>
  </si>
  <si>
    <t>Evolution des offres d'emploi sur le site de l'APEC de manière hebdomadaire. Le traitement est spécifiquement effectué par l'a-urba.</t>
  </si>
  <si>
    <t>Le taux de chômage est le rapport (en %) entre une estimation du nombre de chômeurs et la population active au lieu de résidence. La population active comprend les personnes occupant un emploi et les chômeurs.</t>
  </si>
  <si>
    <t xml:space="preserve">Les demandeurs faisant partie de la catégorie A sont les demandeurs d'emploi tenus de faire des actes positifs de recherche d'emploi, sans emploi </t>
  </si>
  <si>
    <t>La tendance de l'évolution est calculée sur l'année antérieure (2013- 2014)</t>
  </si>
  <si>
    <t>Agrégat représentant le résultat final de l'activité de production des unités productrices résidentes.</t>
  </si>
  <si>
    <t>Il peut se définir de trois manières :</t>
  </si>
  <si>
    <t>- le PIB est égal à la somme des valeurs ajoutées brutes des différents secteurs institutionnels ou des différentes branches d'activité, augmentée des impôts moins les subventions sur les produits (lesquels ne sont pas affectés aux secteurs et aux branches d'activité) ;</t>
  </si>
  <si>
    <t>- le PIB est égal à la somme des emplois des comptes d'exploitation des secteurs institutionnels : rémunération des salariés, impôts sur la production et les importations moins les subventions, excédent brut d'exploitation et revenu mixte.</t>
  </si>
  <si>
    <t>          Valeur ajoutée brute totale des entreprises</t>
  </si>
  <si>
    <t>PIB :</t>
  </si>
  <si>
    <t>Industrie extractive, énergie, eau, gestion des déchets et dépollution</t>
  </si>
  <si>
    <t>Emplois créatifs</t>
  </si>
  <si>
    <t>Emplois dans la haute technologie</t>
  </si>
  <si>
    <t>Fabrication de produits pharmaceutiques de base</t>
  </si>
  <si>
    <t>Fabrication de préparations pharmaceutiques</t>
  </si>
  <si>
    <t>Fabrication de composants électroniques</t>
  </si>
  <si>
    <t>Fabrication de cartes électroniques assemblées</t>
  </si>
  <si>
    <t>Fabrication d'ordinateurs et d'équipements périphériques</t>
  </si>
  <si>
    <t>Fabrication d'équipements de communication</t>
  </si>
  <si>
    <t>Fabrication de produits électroniques grand public</t>
  </si>
  <si>
    <t>Fabrication d'équipements d'aide à la navigation</t>
  </si>
  <si>
    <t>Fabrication d'instrumentation scientifique et technique</t>
  </si>
  <si>
    <t>Horlogerie</t>
  </si>
  <si>
    <t>Fabrication d'équipements d'irradiation médicale, d'équipements électromédicaux et électrothérapeutiques</t>
  </si>
  <si>
    <t>Fabrication de matériels optique et photographique</t>
  </si>
  <si>
    <t>Fabrication de supports magnétiques et optiques</t>
  </si>
  <si>
    <t>Construction aéronautique et spatiale</t>
  </si>
  <si>
    <t>Les emplois dans la haute technologie sont issus, selon la nomenclature OCDE-Eurostat-Insee, des secteurs d’activité économique (NAF rev.2) suivants :</t>
  </si>
  <si>
    <t>L'hébergement marchand est défini comme un hébergement donnant lieu à une rémunération de la prestation offerte entre le loueur et l'hébergeur. Par opposition, l'hébergement non marchand ne donne pas lieu à une rémunération (résidence principale ou secondaire de parents et amis, résidence secondaire personnelle).</t>
  </si>
  <si>
    <t>Les nuitées (ou fréquentation) correspondent au nombre total de nuits passées par les clients dans un hôtel ou un camping ; un couple séjournant trois nuits consécutives dans un hôtel compte ainsi pour six nuitées, de même que six personnes ne séjournant qu'une nuit. La fréquentation des campings est observée uniquement entre mai et septembre.</t>
  </si>
  <si>
    <t>Pour visualiser les périmètres étudiés dans l'ensemble du document, cliquez ici</t>
  </si>
  <si>
    <t>Entr de moins de 5 ans N-1</t>
  </si>
  <si>
    <t>Entr de moins de 5 ans N-2</t>
  </si>
  <si>
    <t>cette donnée n'existe qu'au département</t>
  </si>
  <si>
    <t>Nombre d'entreprises</t>
  </si>
  <si>
    <t>Nombre d'établissements</t>
  </si>
  <si>
    <t>Part dans la Population active</t>
  </si>
  <si>
    <t>Nombre de chercheurs publics / privés en équivalent temps plein</t>
  </si>
  <si>
    <t xml:space="preserve">Evolution des emplois de cadre des fonctions métropolitaines </t>
  </si>
  <si>
    <t>Nombre de nuitées</t>
  </si>
  <si>
    <t>Estimation de l'emploi</t>
  </si>
  <si>
    <t>Pour l’Insee, les déclarations annuelles de données sociales (DADS) de 2011 permettent d’avoir accès, pour chaque salarié, à diverses informations : la nature de l’emploi et la qualification, les dates de début et de fin de période de paie, le nombre d’heures salariées, la condition d’emploi (temps complet, temps partiel), le montant des rémunérations versées, etc. Ces informations sont complétées sur le champ des non-salariés par le fichier de l’Agence centrale des organismes de sécurité sociale (Acoss) de 2011.</t>
  </si>
  <si>
    <t>Source : Insee, DADS et ACOSS 2011</t>
  </si>
  <si>
    <t>Densité (en hab/km²)</t>
  </si>
  <si>
    <t>BAC, BAC Pro</t>
  </si>
  <si>
    <t>Arts et façonnage d'ouvrages d'art</t>
  </si>
  <si>
    <t>Santé</t>
  </si>
  <si>
    <t>Support à l'entreprise</t>
  </si>
  <si>
    <t>Balance commerciale exprimée en millions d'euros</t>
  </si>
  <si>
    <t>NAF 17 regroupée en 12 postes</t>
  </si>
  <si>
    <t>Part dans l'effectif</t>
  </si>
  <si>
    <t>Part des établissements</t>
  </si>
  <si>
    <t>Nombre d'étudiants (public et privé)</t>
  </si>
  <si>
    <t>Part dans total nuitées</t>
  </si>
  <si>
    <t>Cartographie des périmètres utilisés</t>
  </si>
  <si>
    <t>C'est le rapport entre les actifs 15-64 ans sur la population des 15-64 ans.</t>
  </si>
  <si>
    <t>Emplois à durée limitée : CDD (contrats à durée déterminée), contrats courts, saisonniers, vacataires...</t>
  </si>
  <si>
    <t xml:space="preserve">Demandeurs d'emploi  en fin de mois   Catégorie A  </t>
  </si>
  <si>
    <t>Ces données n'existent qu'à l'échelle départementale.</t>
  </si>
  <si>
    <r>
      <rPr>
        <b/>
        <sz val="10"/>
        <color theme="1"/>
        <rFont val="Avenir LT Std 35 Light"/>
        <family val="2"/>
      </rPr>
      <t xml:space="preserve">Taux d'occupation : </t>
    </r>
    <r>
      <rPr>
        <sz val="10"/>
        <color theme="1"/>
        <rFont val="Avenir LT Std 35 Light"/>
        <family val="2"/>
      </rPr>
      <t>rapport obtenu en divisant le nombre de chambres (ou d'emplacements) occupées par le nombre de chambres (ou d'emplacements) effectivement disponibles (c'est-à-dire en excluant les fermetures saisonnières) sur une période donnée.</t>
    </r>
  </si>
  <si>
    <t>Nombre de passagers</t>
  </si>
  <si>
    <t xml:space="preserve">Offre d'hébergement marchand </t>
  </si>
  <si>
    <t>Le tourisme, de loisirs ou d’affaires, génère de l’activité dans un certain nombre de secteurs économiques, notamment dans les services. Certains y sont totalement dédiés, comme les hôtels ou les parcs d’attraction, et d’autres y sont partiellement dédiés, pouvant répondre à la fois aux besoins de la population résidente et à ceux des touristes, selon des proportions variables. C’est le cas par exemple de la restauration, de l’organisation de congrès, des commerces.</t>
  </si>
  <si>
    <t>Conditions d'emploi et marché du travail</t>
  </si>
  <si>
    <t>Demandeurs d'emploi en fin de mois, selon l'ancienneté d'inscription</t>
  </si>
  <si>
    <t>Sans diplôme</t>
  </si>
  <si>
    <t>Cadres / prof. intellectuelles</t>
  </si>
  <si>
    <t>Prof. intermédiaires</t>
  </si>
  <si>
    <t>Superficie (en km²)</t>
  </si>
  <si>
    <t>Activités scientif et techn; services admin et de soutien</t>
  </si>
  <si>
    <t>Rang (chercheurs pour 1 000 habitants)</t>
  </si>
  <si>
    <t>Culture Loisirs</t>
  </si>
  <si>
    <t>Zoom secteurs touristiques aquitains</t>
  </si>
  <si>
    <t>L'indice de concentration de l'emploi ou taux d’attraction de l’emploi désigne le rapport entre le nombre d’emplois offerts dans une commune et les actifs ayant un emploi qui résident dans la commune.</t>
  </si>
  <si>
    <t>Elle est obligatoire depuis le 1er septembre 1993, pour tous les employeurs relevant du secteur privé. Cette déclaration s'effectue dans un organisme de sécurité sociale.</t>
  </si>
  <si>
    <t>Taux de chômage localisé par zone d'emploi</t>
  </si>
  <si>
    <t>- le PIB est égal à la somme des emplois intérieurs de biens et de services (consommation finale effective, formation brute de capital fixe, variations de stocks), plus les exportations, moins les importations ;</t>
  </si>
  <si>
    <t>Aire Urbaine Fonctionnelle</t>
  </si>
  <si>
    <t>- des données de la Mutualité Sociale Agricole (MSA) en complément des données des Urssaf ;</t>
  </si>
  <si>
    <t>- des bordereaux récapitulatifs de cotisations de l’Urssaf ;</t>
  </si>
  <si>
    <t>Le revenu déclaré par unité de consommation (UC) est le "revenu par équivalent adulte". Il est calculé en rapportant le revenu du ménage au nombre d'unités de consommation qui le composent. Toutes les personnes rattachées au même ménage fiscal ont le même revenu déclaré par UC.
Aussi, pour comparer les niveaux de vie de ménages de taille ou de composition différente, on utilise une mesure du revenu corrigé par unité de consommation à l'aide d'une échelle d'équivalence. L'échelle actuellement la plus utilisée (dite de l'OCDE) retient la pondération suivante :
- 1 UC pour le premier adulte du ménage ;
- 0,5 UC pour les autres personnes de 14 ans ou plus ;
- 0,3 UC pour les enfants de moins de 14 ans.</t>
  </si>
  <si>
    <t>Nombre d'em-plois salariés</t>
  </si>
  <si>
    <t xml:space="preserve">Le taux d'entrepreneuriat est le rapport entre la création d'entreprises et la population active. </t>
  </si>
  <si>
    <t>Indication des principaux produits importés  et exportés ainsi que des principaux pays d'échange.</t>
  </si>
  <si>
    <t>Les passagers commerciaux désignent les passagers voyageant sur des aeronefs exploités à des fins commerciales.</t>
  </si>
  <si>
    <t>RRP 2012 / Insee - http://www.insee.fr/fr/themes/detail.asp?reg_id=99&amp;ref_id=revenu-pauvrete-menage</t>
  </si>
  <si>
    <t>http://www.acoss.fr/home/observatoire-economique/publications/acoss-stat/acoss-stat-n227.html</t>
  </si>
  <si>
    <t>NEW ! Données semestrielle ACOSS</t>
  </si>
  <si>
    <t>Créations / radiation / activité / Chiffre d'affaire</t>
  </si>
  <si>
    <t>http://www.insee.fr/fr/themes/detail.asp?reg_id=99&amp;ref_id=base-cc-salaire-net-horaire-moyen</t>
  </si>
  <si>
    <t>http://bmo.pole-emploi.org/bmo?graph=1&amp;in=4&amp;lc=0&amp;pp=2016</t>
  </si>
  <si>
    <t>http://www.insee.fr/fr/themes/detail.asp?reg_id=99&amp;ref_id=base-cc-demo-entreprises</t>
  </si>
  <si>
    <t>http://www.insee.fr/fr/themes/detail.asp?reg_id=99&amp;ref_id=micro-entrepreneurs2015</t>
  </si>
  <si>
    <t>Auto entreprneur</t>
  </si>
  <si>
    <t>R_Acoss</t>
  </si>
  <si>
    <t>eff2009</t>
  </si>
  <si>
    <t>eff2010</t>
  </si>
  <si>
    <t>eff2011</t>
  </si>
  <si>
    <t>eff2012</t>
  </si>
  <si>
    <t>eff2013</t>
  </si>
  <si>
    <t>eff2014</t>
  </si>
  <si>
    <t>idgéo</t>
  </si>
  <si>
    <t>ZE Douai Lens</t>
  </si>
  <si>
    <t xml:space="preserve">min : </t>
  </si>
  <si>
    <t xml:space="preserve">max : </t>
  </si>
  <si>
    <t>15-T3</t>
  </si>
  <si>
    <t>15-T4</t>
  </si>
  <si>
    <t>Avertissement : L’introduction de la Déclaration sociale nominative (DSN) en remplacement du bordereau récapitulatif de cotisations (BRC) peut transitoirement affecter les comportements déclaratifs des entreprises. Durant la phase de montée en charge de la DSN, des adaptations sont réalisées dans la chaîne de traitement statistique des estimations d’emploi afin de tenir compte de ces changements. Ces modifications sont susceptibles de générer des révisions accrues sur les données, y compris pour les estimations du taux de chômage ; le niveau d'emploi intervenant dans le calcul du dénominateur du taux de chômage.</t>
  </si>
  <si>
    <t>16-T1</t>
  </si>
  <si>
    <t>Dont DUT</t>
  </si>
  <si>
    <t>Nb d'étudiants inscrits aus rentrées 2013 / 2014 et 2014 / 2015</t>
  </si>
  <si>
    <t>Académie de Marseille :</t>
  </si>
  <si>
    <t>Département 13</t>
  </si>
  <si>
    <t>Département 04</t>
  </si>
  <si>
    <t>Département 05</t>
  </si>
  <si>
    <t>Département 84</t>
  </si>
  <si>
    <t>Académie de Nice :</t>
  </si>
  <si>
    <t>Département 83</t>
  </si>
  <si>
    <t>Département 06</t>
  </si>
  <si>
    <t>Pop 2013</t>
  </si>
  <si>
    <t>Académie de Lyon :</t>
  </si>
  <si>
    <t>01</t>
  </si>
  <si>
    <t>Académie de Grenoble :</t>
  </si>
  <si>
    <t xml:space="preserve">► Attention ! Pour connaitre les effectifs de l'université de Nancy-Metz, il faut additionner la ligne "Grand Etablissement : MENSER" </t>
  </si>
  <si>
    <t xml:space="preserve">► Attention ! Constitution des académies de Marseille, Nice, Lyon et Grenoble : </t>
  </si>
  <si>
    <t>Nombre d'habitants en 2013</t>
  </si>
  <si>
    <t>Taux d'activité en 2013</t>
  </si>
  <si>
    <t>aca_ins_lib 
Rentrée 2014 / 2015</t>
  </si>
  <si>
    <t>eff2008</t>
  </si>
  <si>
    <t>eff2015</t>
  </si>
  <si>
    <t>2008-2015</t>
  </si>
  <si>
    <t>2008-2013</t>
  </si>
  <si>
    <t>TCAM *
2008 - 2013</t>
  </si>
  <si>
    <t>Conditions d'emploi en 2013</t>
  </si>
  <si>
    <t>Part des CDD dans l'emploi salarié en 2013</t>
  </si>
  <si>
    <t>TCAM* 
2008 - 2015</t>
  </si>
  <si>
    <t>Evolution de l'emploi salarié privé base 100 en 2008</t>
  </si>
  <si>
    <t>Effectifs salariés privés selon la NA 5 postes en 2015</t>
  </si>
  <si>
    <t>Effectifs salariés privés selon la NA 5 postes en 2008</t>
  </si>
  <si>
    <t>CFM 2013</t>
  </si>
  <si>
    <t>LT</t>
  </si>
  <si>
    <t>Part dans l'emploi salarié privé 2015</t>
  </si>
  <si>
    <t>Part dans l'emploi total 2013</t>
  </si>
  <si>
    <t>Emploi total Exp Princ</t>
  </si>
  <si>
    <t>Emploi salarié total Exp Princ</t>
  </si>
  <si>
    <t>Nombre d'actifs de 15 - 64 ans en 2013</t>
  </si>
  <si>
    <t>Répartition des actifs occupés en 2013</t>
  </si>
  <si>
    <t>2016-01</t>
  </si>
  <si>
    <t>0 diplôme CEP - Brevet coll</t>
  </si>
  <si>
    <t>Enseignement sup</t>
  </si>
  <si>
    <t>Niveau de qualification en 2013</t>
  </si>
  <si>
    <t>Recensement INSEE 2013</t>
  </si>
  <si>
    <t>2008 - 2013</t>
  </si>
  <si>
    <t>La tendance de l'évolution du nombre d'habitants est calculée sur 5 ans (2008-2013).</t>
  </si>
  <si>
    <t>Emplois (exploitation principale)</t>
  </si>
  <si>
    <t>ACOSS 2015</t>
  </si>
  <si>
    <t>INSEE 2016</t>
  </si>
  <si>
    <t xml:space="preserve"> Insee, Sirene, démographie des entreprises 2015</t>
  </si>
  <si>
    <t xml:space="preserve"> Insee Sirene 2015 + Insee recensement  2013</t>
  </si>
  <si>
    <t>La tendance de l'évolution est calculée sur l'année antérieure (2015 - 2014)</t>
  </si>
  <si>
    <t>=S/T</t>
  </si>
  <si>
    <t>=M/V</t>
  </si>
  <si>
    <t>=K/C</t>
  </si>
  <si>
    <t>=N/L</t>
  </si>
  <si>
    <t>Part de jeunes entreprises / Taux de survie</t>
  </si>
  <si>
    <t>Analyse des entreprises au 31 décembre 2015</t>
  </si>
  <si>
    <t>Analyse des établissements au 31 décembre 2015</t>
  </si>
  <si>
    <t>INSEE DADS 2013</t>
  </si>
  <si>
    <t>Evol Salaire horaire net moyen n-2/n-1</t>
  </si>
  <si>
    <t>4T 2015</t>
  </si>
  <si>
    <t>1T 2016</t>
  </si>
  <si>
    <t>2T 2016</t>
  </si>
  <si>
    <t>3T 2016</t>
  </si>
  <si>
    <t>Nombre d'emplois total du BE  RRP-Princ  2013</t>
  </si>
  <si>
    <t>Total avril 2016 - sept 2016</t>
  </si>
  <si>
    <t>NB d'actifs 2013</t>
  </si>
  <si>
    <t>Offres par actifs / 19 N-1</t>
  </si>
  <si>
    <t>Trafic 2015</t>
  </si>
  <si>
    <t>Evolution 2014 - 2015</t>
  </si>
  <si>
    <t>2014/2015</t>
  </si>
  <si>
    <t>Activités aéroportuaires en 2015</t>
  </si>
  <si>
    <t>Données de l'union des aéroports français 2015</t>
  </si>
  <si>
    <t>APEC 2016</t>
  </si>
  <si>
    <t>http://www.lantenne.com/Les-ports-francais_a14374.html</t>
  </si>
  <si>
    <t>Activités portuaires en 2015</t>
  </si>
  <si>
    <t>L'Insee a décidé de retirer les informations concernant l'ancienneté des entreprises au niveau local pour des raisons de fiabilité. 
Cependant, l'Insee étudie la possibilité de réintégrer des données sur l'ancienneté des entreprises à un niveau plus agrégé mais à une date non déterminée pour le moment.
Pour l'année 2015, nous ne pouvons pas calculer le taux de survie et la part des jeunes entreprises.</t>
  </si>
  <si>
    <t>Revenu annuel médian en 2013
par unité de consommation</t>
  </si>
  <si>
    <t>Insee-DGFiP 2013</t>
  </si>
  <si>
    <t>La tendance de l'évolution s'établit à n-1 soit 2013 par rapport à 2012.</t>
  </si>
  <si>
    <t>1. Aucun diplôme ou au mieux BEPC, brevet des collèges, DNB</t>
  </si>
  <si>
    <t>2. CAP, BEP</t>
  </si>
  <si>
    <t>3. Baccalauréat</t>
  </si>
  <si>
    <t>4.Diplôme d'études supérieurs</t>
  </si>
  <si>
    <t>Diplôme d'études supérieures</t>
  </si>
  <si>
    <t>Emploi total RRP 2013</t>
  </si>
  <si>
    <t>Direction générale des infrastructures, des transports et de la mer 2015</t>
  </si>
  <si>
    <t>Marché du travail</t>
  </si>
  <si>
    <t>Emploi salarié (exploitation principale)</t>
  </si>
  <si>
    <t>Trafic maritime en tonnes.</t>
  </si>
  <si>
    <t>Classement du ratio des emplois créatifs sur l'emploi salarié privé total (entre les Zones d'Emploi ou entre les Aires Urbaines)</t>
  </si>
  <si>
    <t>Classement du ratio des emplois CFM sur l'emploi total (entre les Zones d'Emploi ou entre les Aires Urbaines)</t>
  </si>
  <si>
    <t>Résultat du quotient de la masse des salaires nets rapportée au nombre d’heures salariées calculé sur tous les postes effectués par le salarié au cours de l’année (hors indemnités chômage). Le nombre d’heures salariées prend en compte les heures supplémentaires rémunérées et toutes les périodes au cours desquelles le salarié demeure lié à un établissement du fait du contrat de travail (congés, période de maladie et d’accident de travail), à l’exception des périodes de congés sans solde. A compter de 2013, le montant des cotisations patronales aux complémentaires santé obligatoires (CPCSO) a été intégré dans le calcul du salaire net.</t>
  </si>
  <si>
    <t>Egalement disponible en 38 postes ici</t>
  </si>
  <si>
    <t>Ce fichier présente les taux de chômage localisés par zone d'emploi, en moyenne trimestrielle. La nouvelle série va de 2008 à 2016. Ces taux ont été calculés de façon cohérente avec les taux de chômage régionaux et départementaux qui sont disponibles aux mêmes dates.</t>
  </si>
  <si>
    <t>Remarque : la population active n'étant mise à jour que dans le recensement, c'est donc la valeur 2013 qui a été prise pour le calcul.</t>
  </si>
  <si>
    <t>L'enquête "Besoins en Main d'Œuvre" selon les bassins d'emploi en 2016</t>
  </si>
  <si>
    <t>Evolution sur 5 ans du trafic de passagers commerciaux</t>
  </si>
  <si>
    <t>part des étudiants / habitants</t>
  </si>
  <si>
    <t>Evolution de la fréquentation hôtelière en région sur 5 ans</t>
  </si>
  <si>
    <t>Evolution de la fréquentation étrangère à l'hôtel  en région sur 5 ans</t>
  </si>
  <si>
    <t>Médiane du revenu disponible : partage équiréparti de la population observée de manière à obtenir deux groupes. Une moitié disposant d’un revenu inférieur à cette médiane et l’autre disposant d’un revenu supérieur</t>
  </si>
  <si>
    <t xml:space="preserve">Depuis 2015, l’INSEE met à disposition un nouveau fichier traitant des données sur le revenu disponible. Ce nouveau fichier se nomme Fichier Localisé Social et Fiscal (FiLoSoFi). Il prend donc en compte les divers revenus (liés à l’activité, au patrimoine, aux produits financiers, ainsi que les retraites ou prestations sociales) déduits par la suite par les impôts directs. </t>
  </si>
  <si>
    <t xml:space="preserve">En raison d'un changement du  questionnaire sur  les diplômes à compter du RP 2013, l'information sur les diplômes ne peut pas être diffusée dans une version détaillée. </t>
  </si>
  <si>
    <t>Actifs de 15-64 ans ayant un emploi, par Profession et Catégorie Socioprofessionnelle en 6 postes</t>
  </si>
  <si>
    <t>Le salarié est une personne qui s'engage à exécuter un travail, à temps plein ou à temps partiel, pour le compte d'un employeur, en contrepartie d'un salaire ou d'une rétribution équivalente</t>
  </si>
  <si>
    <t>Autres salariés : En contrat d'apprentissage, placés par une agence d'intérim, en emplois jeunes ou autres emplois aidés, stagiaires rémunérés en entreprise</t>
  </si>
  <si>
    <t>Chaque année, Pôle emploi adresse un questionnaire à plus de 1,6 million d’établissements afin de connaître leurs besoins en recrutement par secteur d’activité et par bassin d’emploi. L'enquête permet entre autre :
-   d’anticiper les difficultés de recrutement;
-  d’améliorer l’orientation des demandeurs d’emploi vers des formations ou des métiers en adéquation avec les besoins du marché du travail;  
- d’informer les demandeurs d’emploi sur l’évolution de leur marché du travail et les métiers porteurs.</t>
  </si>
  <si>
    <t>L'Organisation de coopération et de développement économiques (OCDE), en collaboration avec la Commission européenne (Eurostat et la Direction générale chargée de la politique régionale à la Commission européenne) et les pays membres de l’OCDE, a élaboré une définition harmonisée des zones urbaines considérées en tant qu’unités économiques fonctionnelles. Il s’agit de municipalités très densément peuplées (centres urbains) auxquelles s’ajoutent les municipalités adjacentes qui présentent une intégration économique forte, mesurée par l’importance des trajets domicile-travail avec le centre urbain. Ces bassins de vie et d’emplois organisés autour d’une ou plusieurs villes-centres sont appelés des « aires urbaines fonctionnelles » (AUF).</t>
  </si>
  <si>
    <t>Les emplois créatifs sont issus de plusieurs secteurs d’activité économique (NAF rev.2) : architecture / cinéma, audiovisuel, photographie, musique / édition de jeux vidéo et logiciels / édition de livre et presse / publicité / spectacle vivant. Cette définition des industries créatives est cependant restrictive. Elle ne prend pas en compte les secteurs art/antiquités, mode, artisanat d’art et design, imparfaitement appréhendés dans les statistiques.</t>
  </si>
  <si>
    <t>Classement du ratio des emplois en Haute Technologie sur l'emploi salarié privé total (entre les Zones d'Emploi ou entre les Aires Urbaines)</t>
  </si>
  <si>
    <t>La consommation touristique intérieure (CTI), retrace la totalité des dépenses touristiques auprès des fournisseurs de biens et services résidant en France, réalisées par les touristes et les excursionnistes à la journée, qu’ils soient français ou étrangers. La CTI regroupe ainsi les dépenses liées aux activités caractéristiques du tourisme comme les services de transports non urbains, par avion, train, autocar, les transports fluvial et maritime assurés par des compagnies françaises, les restaurants et cafés et les hébergements touristiques marchands. Elle comprend aussi d’autres dépenses non spécifiques au tourisme comme les carburants, les transports urbains, les aliments et boissons, les souvenirs ou certains biens durables (bateaux, camping-cars, articles de voyage). Elle intègre également la valorisation (loyers fictifs) des nuitées passées dans les résidences secondaires.</t>
  </si>
  <si>
    <t>page</t>
  </si>
  <si>
    <t>BE16-car</t>
  </si>
  <si>
    <t>NOMBE16</t>
  </si>
  <si>
    <t>id_rank</t>
  </si>
  <si>
    <t>rank</t>
  </si>
  <si>
    <t>Lib Court</t>
  </si>
  <si>
    <t>Nb Projet</t>
  </si>
  <si>
    <t>Difficiles</t>
  </si>
  <si>
    <t>Saisonniers</t>
  </si>
  <si>
    <t>% Diff</t>
  </si>
  <si>
    <t>% Saisonnier</t>
  </si>
  <si>
    <t>Agents d'entretien y compris ATSEM</t>
  </si>
  <si>
    <t>Commerciaux (techniciens)</t>
  </si>
  <si>
    <t>Représentants auprès des particuliers</t>
  </si>
  <si>
    <t>Ingénieurs du bâtiment et des travaux publics</t>
  </si>
  <si>
    <t>Professionnels de l'action sociale</t>
  </si>
  <si>
    <t>Ouvriers non qualifiés des ind. agro-alimentaires</t>
  </si>
  <si>
    <t>Apprentis et ouvriers nq de l'alimentation</t>
  </si>
  <si>
    <t>Ouvriers qualifiés maintenance électricité / électronique</t>
  </si>
  <si>
    <t>Ouvriers non qualifiés du textile et du cuir</t>
  </si>
  <si>
    <t xml:space="preserve">Autres professionnels para-médicaux </t>
  </si>
  <si>
    <t>Ouvriers qualifiés des ind. agro-alimentaires (hors viandes)</t>
  </si>
  <si>
    <t>Techniciens informatique</t>
  </si>
  <si>
    <t>Agents de maîtrise : industries de process</t>
  </si>
  <si>
    <t>Ouvriers non qualifiés métallerie, serrurerie</t>
  </si>
  <si>
    <t xml:space="preserve">Ouvriers qualifiés de la peinture </t>
  </si>
  <si>
    <t>Vendeurs en ameublement, équipement, bricolage</t>
  </si>
  <si>
    <t>Techniciens et chargés d'études du BTP</t>
  </si>
  <si>
    <t>Graphistes, décorateurs et créateurs de supports de comm. visuelle</t>
  </si>
  <si>
    <t>Techniciens d'exploitations agricoles</t>
  </si>
  <si>
    <t>Ouvriers qualif. caristes, préparateurs de commandes, magasiniers…</t>
  </si>
  <si>
    <t>Bûcherons, agents forestiers</t>
  </si>
  <si>
    <t>matelots de la navigation fluviale</t>
  </si>
  <si>
    <t>id_BA</t>
  </si>
  <si>
    <t>Pôle emploi 2016</t>
  </si>
  <si>
    <t>Ces données n'existent que pour ces départements, le reste est à la région</t>
  </si>
  <si>
    <t>Effectifs salariés privés / source urssaf / Acoss 2015 http://www.acoss.fr/home/observatoire-economique/donnees-statistiques/bases-de-donnees.html</t>
  </si>
  <si>
    <t xml:space="preserve">Insee - Tourisme / </t>
  </si>
  <si>
    <t>https://www.insee.fr/fr/statistiques/2021703</t>
  </si>
  <si>
    <t xml:space="preserve">(Offres /actifs * 10000) </t>
  </si>
  <si>
    <t>Offre/actifs/semaine/N-2</t>
  </si>
  <si>
    <t>Offre/actifs/semaine/N-3</t>
  </si>
  <si>
    <t>16-T2</t>
  </si>
  <si>
    <t>4T 2016</t>
  </si>
  <si>
    <t>2016-02</t>
  </si>
  <si>
    <t>2016-03</t>
  </si>
  <si>
    <t>2016-04</t>
  </si>
  <si>
    <t>2016-05</t>
  </si>
  <si>
    <t>2016-06</t>
  </si>
  <si>
    <t>2016-07</t>
  </si>
  <si>
    <t>2016-08</t>
  </si>
  <si>
    <t>2016-09</t>
  </si>
  <si>
    <t>2016-10</t>
  </si>
  <si>
    <t>2016-11</t>
  </si>
  <si>
    <t>Evolution nov15 / nov 16</t>
  </si>
  <si>
    <t>6 à 11 mois</t>
  </si>
  <si>
    <t>12 à 23 mois</t>
  </si>
  <si>
    <t>24 à 35 mois</t>
  </si>
  <si>
    <t>Nov 2015 / Nov 2016</t>
  </si>
  <si>
    <t>???????</t>
  </si>
  <si>
    <t>Nombre de demandes d'emploi par secteur d'activité sur Bordeaux Métropole en novembre 2016</t>
  </si>
  <si>
    <t>16-T3</t>
  </si>
  <si>
    <t xml:space="preserve">Produits intérieurs bruts régionaux et valeurs ajoutées régionales de 1990 à 2013 / Insee - </t>
  </si>
  <si>
    <t>https://www.insee.fr/fr/statistiques/1893220</t>
  </si>
  <si>
    <t xml:space="preserve">Produits intérieurs bruts régionaux et valeurs ajoutées régionales de 1990 à 2014 / Insee - </t>
  </si>
  <si>
    <t>Métropole</t>
  </si>
  <si>
    <t>Auvergne-Rhône-Alpes</t>
  </si>
  <si>
    <t>Grand Est</t>
  </si>
  <si>
    <t>Hauts-de-France</t>
  </si>
  <si>
    <t>Normandie</t>
  </si>
  <si>
    <t>Nouvelle-Aquitaine</t>
  </si>
  <si>
    <t>Occitanie</t>
  </si>
  <si>
    <t>Ancienne Région</t>
  </si>
  <si>
    <t>Nouvelles Régions</t>
  </si>
  <si>
    <t>Valeurs Ajoutées régionales de 2014 semi-définitives par branche NAF rev2, A17 en millions d'euros</t>
  </si>
  <si>
    <t>Classement 2014 des aéroports : https://www.aeroport.fr/</t>
  </si>
  <si>
    <t>CLAP 2014 - Insee / http://www.insee.fr/fr/bases-de-donnees/default.asp?page=statistiques-locales/carac-ent-etab.htm</t>
  </si>
  <si>
    <t>etab-eff-sal-par-sates-NA5-ETAB-14.xlsx</t>
  </si>
  <si>
    <t>Répartition des établissements par secteur en 2014</t>
  </si>
  <si>
    <t>Répartition des établissements par tranche d'effectif en 2014</t>
  </si>
  <si>
    <t>Répartition de l'emploi salarié 2014 en 38 postes</t>
  </si>
  <si>
    <t>28</t>
  </si>
  <si>
    <t>32</t>
  </si>
  <si>
    <t>75</t>
  </si>
  <si>
    <t>CLAP 2014 - Etablissement en Naf 38 s - Insee / http://www.insee.fr/fr/bases-de-donnees/default.asp?page=statistiques-locales/carac-ent-etab.htm</t>
  </si>
  <si>
    <t>CLAP 2014 - Etablissement en Naf 17 regroupés en 12 postes - Insee / http://www.insee.fr/fr/bases-de-donnees/default.asp?page=statistiques-locales/carac-ent-etab.htm</t>
  </si>
  <si>
    <t>Postes des Ets actifs au 31/12/2014</t>
  </si>
  <si>
    <t>Universités</t>
  </si>
  <si>
    <t>Total Ingénieurs</t>
  </si>
  <si>
    <t>Écoles juridiques et administratives</t>
  </si>
  <si>
    <t>Écoles paramédicales et sociales</t>
  </si>
  <si>
    <t>Écoles supérieures art et culture</t>
  </si>
  <si>
    <t>Écoles normales supérieures (ENS)</t>
  </si>
  <si>
    <t>Total des formations d'enseignement supérieur</t>
  </si>
  <si>
    <t>Total Inscrits sans doubles compte2015 / 2016</t>
  </si>
  <si>
    <t>Académie : rentrée 2015 - 2016</t>
  </si>
  <si>
    <t>Nombre de publications en 2013</t>
  </si>
  <si>
    <t>Evolution 2011 - 2013</t>
  </si>
  <si>
    <t>NB Chercheur</t>
  </si>
  <si>
    <t>Part public / privé en R&amp;D</t>
  </si>
  <si>
    <t>Source : Eurostat</t>
  </si>
  <si>
    <t>Même académie</t>
  </si>
  <si>
    <t>Autres académie françaises</t>
  </si>
  <si>
    <t>De l'Académie</t>
  </si>
  <si>
    <t>Autre Académie</t>
  </si>
  <si>
    <t>Bourgogne-Franche-Comté</t>
  </si>
  <si>
    <t>11</t>
  </si>
  <si>
    <t>24</t>
  </si>
  <si>
    <t>27</t>
  </si>
  <si>
    <t>94</t>
  </si>
  <si>
    <t>PAS DE MISE A JOUR AU 15/02/2017</t>
  </si>
  <si>
    <t>2016 - 2015</t>
  </si>
  <si>
    <t>2015-2016</t>
  </si>
  <si>
    <t>2015_2014</t>
  </si>
  <si>
    <t>2015-2014</t>
  </si>
  <si>
    <t>Offre d'hébergement marchand en 2016</t>
  </si>
  <si>
    <t>Evolution 2015 - 2016</t>
  </si>
  <si>
    <t>Origine des touristes étrangers séjournant en Aquitaine en 2016</t>
  </si>
  <si>
    <t xml:space="preserve">-  </t>
  </si>
  <si>
    <t>-</t>
  </si>
  <si>
    <t>Dont Bordeaux</t>
  </si>
  <si>
    <t>somme 2016</t>
  </si>
  <si>
    <t>Alpes Maritimes</t>
  </si>
  <si>
    <t>2016  (en Million)</t>
  </si>
  <si>
    <t>Instruments et fournitures à  usage médical et dentaire</t>
  </si>
  <si>
    <t>Bateaux de plaisance</t>
  </si>
  <si>
    <t>Equipements de communication</t>
  </si>
  <si>
    <t>Céréales (à  l'exclusion du riz), légumineuses et oléagineux</t>
  </si>
  <si>
    <t>Moteurs, génératrices et transformateurs électriques</t>
  </si>
  <si>
    <t>Autres produits chimiques n.c.a.</t>
  </si>
  <si>
    <t>Navires et structures flottantes</t>
  </si>
  <si>
    <t>Déchets non dangereux | collecte des déchets non dangereux</t>
  </si>
  <si>
    <t>Autres machines d'usage général n.c.a.</t>
  </si>
  <si>
    <t>Appareils électroménagers</t>
  </si>
  <si>
    <t>Autres préparations et conserves à  base de fruits et légumes</t>
  </si>
  <si>
    <t>Légumes et melons, racines et tubercules</t>
  </si>
  <si>
    <t>Autres fruits d'arbres ou d'arbustes et fruits à  coque</t>
  </si>
  <si>
    <t>Fruits à  pépins et à  noyau</t>
  </si>
  <si>
    <t>Alpes Maritimes1</t>
  </si>
  <si>
    <t>Alpes Maritimes2</t>
  </si>
  <si>
    <t>Alpes Maritimes3</t>
  </si>
  <si>
    <t xml:space="preserve">Boissons rafraichissantes | eaux </t>
  </si>
  <si>
    <t>Tubes, tuyaux, profilés creux et accessoires en acier</t>
  </si>
  <si>
    <t>Produits de la pêche et de l'aquaculture</t>
  </si>
  <si>
    <t>Préparations et conserves à  base de poisson et de la pêche</t>
  </si>
  <si>
    <t>Céréales (hors riz), légumineuses et oléagineux</t>
  </si>
  <si>
    <t>Sphères économiques en 2014</t>
  </si>
  <si>
    <t>Nombre de chercheurs (public et privé) en 2013</t>
  </si>
  <si>
    <t>Besoin en main d'œuvre - Pole emploi - 2016 / http://bmo.pole-emploi.org/geo?fa=72&amp;fb=33&amp;le=0&amp;nc=0&amp;pp=2016#</t>
  </si>
  <si>
    <t>Asie/Océa-nie/Australie</t>
  </si>
  <si>
    <t>Urssaf 2016</t>
  </si>
  <si>
    <t>Pôle emploi novembre 2016</t>
  </si>
  <si>
    <t>Douanes 2016</t>
  </si>
  <si>
    <t>CLAP 2014</t>
  </si>
  <si>
    <t>Depp 2016</t>
  </si>
  <si>
    <t xml:space="preserve"> SISE 2016</t>
  </si>
  <si>
    <t>Eurolio 2009</t>
  </si>
  <si>
    <t>Insee-DGCIS, CRT Aquitaine 2016</t>
  </si>
  <si>
    <t xml:space="preserve"> Insee, DGCIS, CRT Aquitaine 2016</t>
  </si>
  <si>
    <t>Bourgogne Franche-Comté</t>
  </si>
  <si>
    <t>Ile de France</t>
  </si>
  <si>
    <t>F. Métro</t>
  </si>
  <si>
    <t>Lib_Gde-Region</t>
  </si>
  <si>
    <t>P13_ACT1564</t>
  </si>
  <si>
    <t>Population en 2013 (princ)</t>
  </si>
  <si>
    <t>Evolution 2012 - 2013</t>
  </si>
  <si>
    <t>Provence - Alpes -Côte d'Azur</t>
  </si>
  <si>
    <t>OST</t>
  </si>
  <si>
    <t>RERS 2016</t>
  </si>
  <si>
    <t>Evol N-2_N-1</t>
  </si>
  <si>
    <t xml:space="preserve">RERS 2016 / </t>
  </si>
  <si>
    <t>http://www.education.gouv.fr/cid57096/reperes-et-references-statistiques.html#Donn%C3%A9es_publiques</t>
  </si>
  <si>
    <t>OST HCERES 2013</t>
  </si>
  <si>
    <t>port</t>
  </si>
  <si>
    <t>Académie d'inscription par rapport à celle d'obtention du BAC</t>
  </si>
  <si>
    <t>Lot et Garonne</t>
  </si>
  <si>
    <t>Pyrénées  Atlantlantiques</t>
  </si>
  <si>
    <t>La tendance de l'évolution est calculée sur l'année antérieure (2015)</t>
  </si>
  <si>
    <r>
      <t xml:space="preserve">Origine des étudiants inscrits dans une </t>
    </r>
    <r>
      <rPr>
        <b/>
        <u/>
        <sz val="10"/>
        <color theme="1"/>
        <rFont val="Avenir LT Std 35 Light"/>
        <family val="2"/>
      </rPr>
      <t>université publique</t>
    </r>
    <r>
      <rPr>
        <sz val="10"/>
        <color theme="1"/>
        <rFont val="Avenir LT Std 35 Light"/>
        <family val="2"/>
      </rPr>
      <t xml:space="preserve"> selon l'académie d'obtention du baccalaurélat.</t>
    </r>
  </si>
  <si>
    <t>Dépôts de brevets</t>
  </si>
  <si>
    <t>Dépôts de publications</t>
  </si>
  <si>
    <t>Condition d'emploi (exploitaion complémentaire)</t>
  </si>
  <si>
    <t>Effectif 2015</t>
  </si>
  <si>
    <t>part des temps complet</t>
  </si>
  <si>
    <t xml:space="preserve">Projet de recrutement </t>
  </si>
  <si>
    <t>Rapport à l'emploi total</t>
  </si>
  <si>
    <t>Spécialisation régionale de la valeur ajoutée par rapport à la France métropolitaine en 2014</t>
  </si>
  <si>
    <t>Evolution départementale du PIB par habitant à prix constant  en $ (base 100 en 2007)</t>
  </si>
  <si>
    <r>
      <t xml:space="preserve">Balance commerciale 2016 </t>
    </r>
    <r>
      <rPr>
        <sz val="7"/>
        <color theme="1"/>
        <rFont val="Calibri"/>
        <family val="2"/>
        <scheme val="minor"/>
      </rPr>
      <t xml:space="preserve">(en million d'euros) et évolution 2015 - 2016 </t>
    </r>
    <r>
      <rPr>
        <sz val="11"/>
        <color theme="1"/>
        <rFont val="Calibri"/>
        <family val="2"/>
        <scheme val="minor"/>
      </rPr>
      <t>:</t>
    </r>
  </si>
  <si>
    <t>Produit exporté</t>
  </si>
  <si>
    <t>Valeur brute</t>
  </si>
  <si>
    <t>Produit importé</t>
  </si>
  <si>
    <t>Classement des 5 produits les plus échangés en valeur brute (en millier d'euros)</t>
  </si>
  <si>
    <t>Emploi salarié par secteur d'activité en 2014</t>
  </si>
  <si>
    <t>Effectif en 2015</t>
  </si>
  <si>
    <t>Part dans l'emploi salarié privé</t>
  </si>
  <si>
    <t>Enseignement supérieur, recherche innovation et emplois stratégiques</t>
  </si>
  <si>
    <t>Brevet pour 
10 000 emplois</t>
  </si>
  <si>
    <t>Publication pour 10 000 emplois</t>
  </si>
  <si>
    <t>Emploi créatif 2015</t>
  </si>
  <si>
    <t>Emploi dans le haute technologie 2015</t>
  </si>
  <si>
    <t>Emploi CFM 2013</t>
  </si>
  <si>
    <t>Caractéristique des emplois de cadres des fonctions métropolitaines (CFM) en 2013</t>
  </si>
  <si>
    <t>Hôtel classé</t>
  </si>
  <si>
    <t>Chambre dans hôtel classé</t>
  </si>
  <si>
    <t>Camping classé</t>
  </si>
  <si>
    <t>Emplacement dans camping classé</t>
  </si>
  <si>
    <t>Annexe</t>
  </si>
  <si>
    <t>Conjoncture Bordeaux Métropole / Emploi salarié privé</t>
  </si>
  <si>
    <t>Emplois créés au cours du T3 2016</t>
  </si>
  <si>
    <t>Emplois créés en un an T3 2015 - T3 2016</t>
  </si>
  <si>
    <t>Nombre d'emplois au T3 2016</t>
  </si>
  <si>
    <t>T2-2012</t>
  </si>
  <si>
    <t>T1-2012</t>
  </si>
  <si>
    <t>T3-2012</t>
  </si>
  <si>
    <t>T4-2012</t>
  </si>
  <si>
    <t>T1-2013</t>
  </si>
  <si>
    <t>T2-2013</t>
  </si>
  <si>
    <t>T3-2013</t>
  </si>
  <si>
    <t>T4-2013</t>
  </si>
  <si>
    <t>T1-2014</t>
  </si>
  <si>
    <t>T2-2014</t>
  </si>
  <si>
    <t>T3-2014</t>
  </si>
  <si>
    <t>T4-2014</t>
  </si>
  <si>
    <t>T1-2015</t>
  </si>
  <si>
    <t>T2-2015</t>
  </si>
  <si>
    <t>T3-2015</t>
  </si>
  <si>
    <t>T4-2015</t>
  </si>
  <si>
    <t>T1-2016</t>
  </si>
  <si>
    <t>T2-2016</t>
  </si>
  <si>
    <t>T3-2016</t>
  </si>
  <si>
    <t>T4-2016</t>
  </si>
  <si>
    <t>Nombre total d'emplois</t>
  </si>
  <si>
    <t>Création trimestrielle d'emplois</t>
  </si>
  <si>
    <t>Création trimestrielle d'emplois salariés privés sur Bordeaux Métropole entre le 2me trimestre 2012 
et le 3me trimestre 2016</t>
  </si>
  <si>
    <t xml:space="preserve">Données structurelles : </t>
  </si>
  <si>
    <t>Agroalimentaire</t>
  </si>
  <si>
    <t>Commerce interentreprises</t>
  </si>
  <si>
    <t>Transports et logistique</t>
  </si>
  <si>
    <t>Hôtellerie - Restauration - Loisirs</t>
  </si>
  <si>
    <t>Immobilier</t>
  </si>
  <si>
    <t>Activités scientifiques ; services administratifs, de soutien</t>
  </si>
  <si>
    <t>Admin. Pub., enseignement, santé action soc.</t>
  </si>
  <si>
    <t>Nb d'offres APEC / Acttifs 2013 * 100000 / 22 semaines (3 oct 2016 -&gt; 1er Mars 2017)</t>
  </si>
  <si>
    <t>Total Oct-1er mars (22 sem)</t>
  </si>
  <si>
    <t>Alpes-M.</t>
  </si>
  <si>
    <t>Hte-Garonne</t>
  </si>
  <si>
    <t>Loire-Atlant.</t>
  </si>
  <si>
    <t>Seine-Marit.</t>
  </si>
  <si>
    <t xml:space="preserve">Min : </t>
  </si>
  <si>
    <t xml:space="preserve">Max : </t>
  </si>
  <si>
    <r>
      <t>Taux de chômage au 3</t>
    </r>
    <r>
      <rPr>
        <vertAlign val="superscript"/>
        <sz val="10"/>
        <rFont val="Avenir LT Std 35 Light"/>
        <family val="2"/>
      </rPr>
      <t>e</t>
    </r>
    <r>
      <rPr>
        <sz val="10"/>
        <rFont val="Avenir LT Std 35 Light"/>
        <family val="2"/>
      </rPr>
      <t xml:space="preserve"> trimestre 2016</t>
    </r>
  </si>
  <si>
    <t>Offres par actifs_22 N-1</t>
  </si>
  <si>
    <t>Oct. 2016 à Fév. 2017</t>
  </si>
  <si>
    <t>Agriculture, espaces natuerls, soins aux animaux</t>
  </si>
  <si>
    <t>Conjoncture</t>
  </si>
  <si>
    <t>URSSAF 2016</t>
  </si>
  <si>
    <t xml:space="preserve">La  périodicité  des  déclarations  de  cotisations  permet  de  suivre  trimestriellement  les  effectifs  salariés  sur  l’ensemble  du  secteur  privé. </t>
  </si>
  <si>
    <t>France Métro.</t>
  </si>
  <si>
    <t>Déclarations préalables à l'embauche au 4e trimestre 2016</t>
  </si>
  <si>
    <r>
      <t xml:space="preserve">Offres d'emploi des cadres </t>
    </r>
    <r>
      <rPr>
        <sz val="10"/>
        <rFont val="Avenir LT Std 35 Light"/>
        <family val="2"/>
      </rPr>
      <t>(Nombre moyen d'offres hebdomadaires pour 100 000 actifs)</t>
    </r>
  </si>
  <si>
    <t>Répartition des offres d'emploi des cadres par secteur d'activités</t>
  </si>
  <si>
    <t>Demandeurs d'emploi en fin de mois, selon l'âge du demandeur</t>
  </si>
  <si>
    <t xml:space="preserve">Activités portuaires </t>
  </si>
  <si>
    <t>Origine des étudiants en 2e cycle ou plus dans les universités (rentrée 2015 / 2016)</t>
  </si>
  <si>
    <t>Emploi salarié privé : évolution selon la nomenclature  en 6 postes</t>
  </si>
  <si>
    <t>Sommaire</t>
  </si>
  <si>
    <t>Nombre d'emplois salariés</t>
  </si>
  <si>
    <t>Enseignement supérieur, recherche, innovation et emplois stratégiques</t>
  </si>
  <si>
    <t>Principaux métiers recherchés par les entreprises dans les bassins d'emploi en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</si>
</sst>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 _€_-;\-* #,##0.00\ _€_-;_-* &quot;-&quot;??\ _€_-;_-@_-"/>
    <numFmt numFmtId="164" formatCode="#,##0.0"/>
    <numFmt numFmtId="165" formatCode="0.0"/>
    <numFmt numFmtId="166" formatCode="\+#,##0.0%;\-#,##0.0%"/>
    <numFmt numFmtId="167" formatCode="0.0%"/>
    <numFmt numFmtId="168" formatCode="#,##0\ &quot;€&quot;"/>
    <numFmt numFmtId="169" formatCode="#,##0.0\ &quot;€&quot;;[Red]\-#,##0.0\ &quot;€&quot;"/>
    <numFmt numFmtId="170" formatCode="0.00%;[Red]\-0.00%"/>
    <numFmt numFmtId="171" formatCode="\+#,##0\ &quot;€&quot;;[Red]\-#,##0\ &quot;€&quot;"/>
    <numFmt numFmtId="172" formatCode="_-* #,##0\ _€_-;\-* #,##0\ _€_-;_-* &quot;-&quot;??\ _€_-;_-@_-"/>
    <numFmt numFmtId="173" formatCode="\+#,##0;[Red]\-#,##0"/>
    <numFmt numFmtId="174" formatCode="&quot; F&quot;#,##0_);\(&quot; F&quot;#,##0\)"/>
    <numFmt numFmtId="175" formatCode="0.0%;[Red]\-0.0%"/>
    <numFmt numFmtId="176" formatCode="#,##0.000"/>
    <numFmt numFmtId="177" formatCode="#,##0.0000"/>
  </numFmts>
  <fonts count="154">
    <font>
      <sz val="11"/>
      <color theme="1"/>
      <name val="Calibri"/>
      <family val="2"/>
      <scheme val="minor"/>
    </font>
    <font>
      <sz val="11"/>
      <color rgb="FFFF0000"/>
      <name val="Calibri"/>
      <family val="2"/>
      <scheme val="minor"/>
    </font>
    <font>
      <b/>
      <sz val="11"/>
      <color theme="1"/>
      <name val="Calibri"/>
      <family val="2"/>
      <scheme val="minor"/>
    </font>
    <font>
      <sz val="16"/>
      <color theme="0" tint="-4.9989318521683403E-2"/>
      <name val="Calibri"/>
      <family val="2"/>
      <scheme val="minor"/>
    </font>
    <font>
      <b/>
      <sz val="13"/>
      <color theme="1"/>
      <name val="Calibri"/>
      <family val="2"/>
      <scheme val="minor"/>
    </font>
    <font>
      <sz val="11"/>
      <name val="Calibri"/>
      <family val="2"/>
      <scheme val="minor"/>
    </font>
    <font>
      <sz val="9"/>
      <color indexed="81"/>
      <name val="Tahoma"/>
      <family val="2"/>
    </font>
    <font>
      <b/>
      <sz val="9"/>
      <color indexed="81"/>
      <name val="Tahoma"/>
      <family val="2"/>
    </font>
    <font>
      <sz val="11"/>
      <color theme="1"/>
      <name val="Calibri"/>
      <family val="2"/>
      <scheme val="minor"/>
    </font>
    <font>
      <sz val="10"/>
      <name val="Arial"/>
      <family val="2"/>
    </font>
    <font>
      <sz val="10"/>
      <color theme="1"/>
      <name val="Arial"/>
      <family val="2"/>
    </font>
    <font>
      <sz val="10"/>
      <color rgb="FFFF0000"/>
      <name val="Arial"/>
      <family val="2"/>
    </font>
    <font>
      <b/>
      <sz val="10"/>
      <color rgb="FFFF0000"/>
      <name val="Arial"/>
      <family val="2"/>
    </font>
    <font>
      <b/>
      <sz val="12"/>
      <name val="Comic Sans MS"/>
      <family val="4"/>
    </font>
    <font>
      <b/>
      <sz val="10"/>
      <name val="Arial Unicode MS"/>
      <family val="2"/>
    </font>
    <font>
      <b/>
      <sz val="10"/>
      <name val="Comic Sans MS"/>
      <family val="4"/>
    </font>
    <font>
      <sz val="10"/>
      <color indexed="9"/>
      <name val="Arial"/>
      <family val="2"/>
    </font>
    <font>
      <sz val="8"/>
      <color indexed="9"/>
      <name val="Arial"/>
      <family val="2"/>
    </font>
    <font>
      <b/>
      <sz val="10"/>
      <color theme="0"/>
      <name val="Arial"/>
      <family val="2"/>
    </font>
    <font>
      <b/>
      <sz val="11"/>
      <color theme="0"/>
      <name val="Arial"/>
      <family val="2"/>
    </font>
    <font>
      <sz val="10"/>
      <color indexed="8"/>
      <name val="Arial"/>
      <family val="2"/>
    </font>
    <font>
      <sz val="11"/>
      <color indexed="8"/>
      <name val="Calibri"/>
      <family val="2"/>
    </font>
    <font>
      <b/>
      <sz val="12"/>
      <color theme="0"/>
      <name val="Calibri"/>
      <family val="2"/>
      <scheme val="minor"/>
    </font>
    <font>
      <b/>
      <sz val="11"/>
      <color rgb="FFFF0000"/>
      <name val="Calibri"/>
      <family val="2"/>
      <scheme val="minor"/>
    </font>
    <font>
      <sz val="9"/>
      <name val="Arial"/>
      <family val="2"/>
    </font>
    <font>
      <b/>
      <sz val="11"/>
      <color theme="0"/>
      <name val="Calibri"/>
      <family val="2"/>
      <scheme val="minor"/>
    </font>
    <font>
      <b/>
      <sz val="11"/>
      <color theme="0" tint="-0.499984740745262"/>
      <name val="Calibri"/>
      <family val="2"/>
      <scheme val="minor"/>
    </font>
    <font>
      <b/>
      <sz val="8"/>
      <color theme="0"/>
      <name val="Arial"/>
      <family val="2"/>
    </font>
    <font>
      <sz val="10"/>
      <name val="MS Sans Serif"/>
      <family val="2"/>
    </font>
    <font>
      <sz val="11"/>
      <color theme="1"/>
      <name val="Arial"/>
      <family val="2"/>
    </font>
    <font>
      <sz val="10"/>
      <color theme="0"/>
      <name val="Arial"/>
      <family val="2"/>
    </font>
    <font>
      <i/>
      <sz val="10"/>
      <color theme="0" tint="-0.499984740745262"/>
      <name val="Arial"/>
      <family val="2"/>
    </font>
    <font>
      <b/>
      <sz val="10"/>
      <color theme="1"/>
      <name val="Arial"/>
      <family val="2"/>
    </font>
    <font>
      <sz val="10"/>
      <color theme="0" tint="-0.499984740745262"/>
      <name val="Arial"/>
      <family val="2"/>
    </font>
    <font>
      <b/>
      <sz val="8"/>
      <color theme="1"/>
      <name val="Arial"/>
      <family val="2"/>
    </font>
    <font>
      <sz val="8"/>
      <color theme="1"/>
      <name val="Arial"/>
      <family val="2"/>
    </font>
    <font>
      <sz val="8"/>
      <name val="Arial"/>
      <family val="2"/>
    </font>
    <font>
      <sz val="8"/>
      <color theme="1"/>
      <name val="Calibri"/>
      <family val="2"/>
      <scheme val="minor"/>
    </font>
    <font>
      <sz val="8"/>
      <name val="Verdana"/>
      <family val="2"/>
    </font>
    <font>
      <b/>
      <sz val="9"/>
      <color indexed="10"/>
      <name val="Courier New"/>
      <family val="3"/>
    </font>
    <font>
      <b/>
      <sz val="10"/>
      <color rgb="FF0070C0"/>
      <name val="Arial"/>
      <family val="2"/>
    </font>
    <font>
      <sz val="11"/>
      <color theme="0" tint="-0.499984740745262"/>
      <name val="Calibri"/>
      <family val="2"/>
      <scheme val="minor"/>
    </font>
    <font>
      <b/>
      <sz val="11"/>
      <name val="Calibri"/>
      <family val="2"/>
      <scheme val="minor"/>
    </font>
    <font>
      <b/>
      <sz val="12"/>
      <color theme="1"/>
      <name val="Calibri"/>
      <family val="2"/>
      <scheme val="minor"/>
    </font>
    <font>
      <sz val="8"/>
      <color indexed="63"/>
      <name val="Calibri"/>
      <family val="2"/>
    </font>
    <font>
      <sz val="8"/>
      <color rgb="FF7030A0"/>
      <name val="Calibri"/>
      <family val="2"/>
    </font>
    <font>
      <sz val="11"/>
      <color theme="0"/>
      <name val="Calibri"/>
      <family val="2"/>
      <scheme val="minor"/>
    </font>
    <font>
      <i/>
      <sz val="10"/>
      <name val="Arial"/>
      <family val="2"/>
    </font>
    <font>
      <b/>
      <sz val="10"/>
      <name val="Arial"/>
      <family val="2"/>
    </font>
    <font>
      <i/>
      <sz val="11"/>
      <color theme="1"/>
      <name val="Calibri"/>
      <family val="2"/>
      <scheme val="minor"/>
    </font>
    <font>
      <sz val="9"/>
      <color theme="0"/>
      <name val="Avenir LT Std 35 Light"/>
      <family val="2"/>
    </font>
    <font>
      <u/>
      <sz val="11"/>
      <color theme="10"/>
      <name val="Calibri"/>
      <family val="2"/>
      <scheme val="minor"/>
    </font>
    <font>
      <sz val="10"/>
      <color theme="1"/>
      <name val="Avenir LT Std 35 Light"/>
      <family val="2"/>
    </font>
    <font>
      <sz val="10"/>
      <color theme="0" tint="-4.9989318521683403E-2"/>
      <name val="Avenir LT Std 35 Light"/>
      <family val="2"/>
    </font>
    <font>
      <b/>
      <sz val="10"/>
      <color theme="1"/>
      <name val="Avenir LT Std 35 Light"/>
      <family val="2"/>
    </font>
    <font>
      <sz val="10"/>
      <name val="Avenir LT Std 35 Light"/>
      <family val="2"/>
    </font>
    <font>
      <sz val="9"/>
      <color theme="1"/>
      <name val="Avenir LT Std 35 Light"/>
      <family val="2"/>
    </font>
    <font>
      <i/>
      <sz val="8"/>
      <color theme="1"/>
      <name val="Avenir LT Std 35 Light"/>
      <family val="2"/>
    </font>
    <font>
      <b/>
      <sz val="12"/>
      <color theme="1"/>
      <name val="Avenir LT Std 35 Light"/>
      <family val="2"/>
    </font>
    <font>
      <sz val="10"/>
      <color theme="0"/>
      <name val="Avenir LT Std 35 Light"/>
      <family val="2"/>
    </font>
    <font>
      <sz val="8"/>
      <color theme="1"/>
      <name val="Avenir LT Std 35 Light"/>
      <family val="2"/>
    </font>
    <font>
      <b/>
      <sz val="8"/>
      <color theme="1"/>
      <name val="Avenir LT Std 35 Light"/>
      <family val="2"/>
    </font>
    <font>
      <sz val="6"/>
      <name val="Avenir LT Std 35 Light"/>
      <family val="2"/>
    </font>
    <font>
      <sz val="9"/>
      <name val="Avenir LT Std 35 Light"/>
      <family val="2"/>
    </font>
    <font>
      <i/>
      <sz val="11"/>
      <color theme="0" tint="-0.34998626667073579"/>
      <name val="Calibri"/>
      <family val="2"/>
      <scheme val="minor"/>
    </font>
    <font>
      <b/>
      <sz val="9"/>
      <color theme="1"/>
      <name val="Avenir LT Std 35 Light"/>
      <family val="2"/>
    </font>
    <font>
      <sz val="7"/>
      <color theme="1"/>
      <name val="Calibri"/>
      <family val="2"/>
      <scheme val="minor"/>
    </font>
    <font>
      <sz val="11"/>
      <color theme="0" tint="-0.14999847407452621"/>
      <name val="Calibri"/>
      <family val="2"/>
      <scheme val="minor"/>
    </font>
    <font>
      <sz val="11"/>
      <color theme="1"/>
      <name val="Avenir LT Std 35 Light"/>
      <family val="2"/>
    </font>
    <font>
      <sz val="11"/>
      <color rgb="FFC00000"/>
      <name val="Calibri"/>
      <family val="2"/>
      <scheme val="minor"/>
    </font>
    <font>
      <b/>
      <sz val="10"/>
      <color indexed="8"/>
      <name val="Arial"/>
      <family val="2"/>
    </font>
    <font>
      <i/>
      <sz val="10"/>
      <color indexed="8"/>
      <name val="Arial"/>
      <family val="2"/>
    </font>
    <font>
      <b/>
      <i/>
      <sz val="11"/>
      <color theme="1"/>
      <name val="Calibri"/>
      <family val="2"/>
      <scheme val="minor"/>
    </font>
    <font>
      <sz val="11"/>
      <color rgb="FF00B050"/>
      <name val="Calibri"/>
      <family val="2"/>
      <scheme val="minor"/>
    </font>
    <font>
      <sz val="11"/>
      <color theme="4" tint="-0.249977111117893"/>
      <name val="Calibri"/>
      <family val="2"/>
      <scheme val="minor"/>
    </font>
    <font>
      <sz val="11"/>
      <color theme="0"/>
      <name val="Avenir LT Std 35 Light"/>
      <family val="2"/>
    </font>
    <font>
      <sz val="6"/>
      <color theme="0"/>
      <name val="Avenir LT Std 35 Light"/>
      <family val="2"/>
    </font>
    <font>
      <i/>
      <sz val="9"/>
      <color theme="1"/>
      <name val="Avenir LT Std 35 Light"/>
      <family val="2"/>
    </font>
    <font>
      <sz val="10"/>
      <color theme="1"/>
      <name val="Avenir LT Std 65 Medium"/>
      <family val="2"/>
    </font>
    <font>
      <b/>
      <i/>
      <sz val="10"/>
      <color theme="1"/>
      <name val="Avenir LT Std 35 Light"/>
      <family val="2"/>
    </font>
    <font>
      <b/>
      <sz val="11"/>
      <color theme="1" tint="0.499984740745262"/>
      <name val="Arial"/>
      <family val="2"/>
    </font>
    <font>
      <sz val="11"/>
      <color theme="1" tint="0.499984740745262"/>
      <name val="Calibri"/>
      <family val="2"/>
      <scheme val="minor"/>
    </font>
    <font>
      <i/>
      <sz val="10"/>
      <color theme="1" tint="0.499984740745262"/>
      <name val="Arial"/>
      <family val="2"/>
    </font>
    <font>
      <b/>
      <sz val="10"/>
      <color theme="1" tint="0.499984740745262"/>
      <name val="Arial"/>
      <family val="2"/>
    </font>
    <font>
      <sz val="10"/>
      <color theme="1" tint="0.499984740745262"/>
      <name val="Arial"/>
      <family val="2"/>
    </font>
    <font>
      <i/>
      <sz val="10"/>
      <color theme="1"/>
      <name val="Avenir LT Std 35 Light"/>
      <family val="2"/>
    </font>
    <font>
      <b/>
      <sz val="11"/>
      <color theme="1"/>
      <name val="Avenir LT Std 35 Light"/>
      <family val="2"/>
    </font>
    <font>
      <b/>
      <sz val="9"/>
      <color theme="0"/>
      <name val="Avenir LT Std 35 Light"/>
      <family val="2"/>
    </font>
    <font>
      <b/>
      <sz val="9"/>
      <name val="Avenir LT Std 35 Light"/>
      <family val="2"/>
    </font>
    <font>
      <sz val="9"/>
      <color theme="1"/>
      <name val="Calibri"/>
      <family val="2"/>
      <scheme val="minor"/>
    </font>
    <font>
      <sz val="8"/>
      <name val="Avenir LT Std 35 Light"/>
      <family val="2"/>
    </font>
    <font>
      <b/>
      <sz val="11"/>
      <color theme="0"/>
      <name val="Avenir LT Std 35 Light"/>
      <family val="2"/>
    </font>
    <font>
      <b/>
      <i/>
      <sz val="11"/>
      <color theme="0"/>
      <name val="Avenir LT Std 35 Light"/>
      <family val="2"/>
    </font>
    <font>
      <sz val="9"/>
      <color theme="1"/>
      <name val="Sans-serif"/>
    </font>
    <font>
      <b/>
      <i/>
      <sz val="10"/>
      <color theme="0" tint="-0.499984740745262"/>
      <name val="Avenir LT Std 35 Light"/>
      <family val="2"/>
    </font>
    <font>
      <i/>
      <sz val="11"/>
      <color theme="1"/>
      <name val="Avenir LT Std 35 Light"/>
      <family val="2"/>
    </font>
    <font>
      <sz val="9"/>
      <color rgb="FF000000"/>
      <name val="Arial"/>
      <family val="2"/>
    </font>
    <font>
      <u/>
      <sz val="10"/>
      <color theme="1"/>
      <name val="Avenir LT Std 35 Light"/>
      <family val="2"/>
    </font>
    <font>
      <b/>
      <sz val="9"/>
      <color theme="1"/>
      <name val="Calibri"/>
      <family val="2"/>
      <scheme val="minor"/>
    </font>
    <font>
      <b/>
      <sz val="9"/>
      <color rgb="FF000000"/>
      <name val="Arial"/>
      <family val="2"/>
    </font>
    <font>
      <sz val="10"/>
      <color rgb="FFFF0000"/>
      <name val="Avenir LT Std 35 Light"/>
      <family val="2"/>
    </font>
    <font>
      <i/>
      <sz val="10"/>
      <color rgb="FFFF0000"/>
      <name val="Avenir LT Std 35 Light"/>
      <family val="2"/>
    </font>
    <font>
      <sz val="8.5"/>
      <color theme="1"/>
      <name val="Avenir LT Std 35 Light"/>
      <family val="2"/>
    </font>
    <font>
      <b/>
      <sz val="11"/>
      <color rgb="FFFF0000"/>
      <name val="Avenir LT Std 65 Medium"/>
      <family val="2"/>
    </font>
    <font>
      <b/>
      <sz val="16"/>
      <color theme="0" tint="-4.9989318521683403E-2"/>
      <name val="Calibri"/>
      <family val="2"/>
      <scheme val="minor"/>
    </font>
    <font>
      <sz val="9"/>
      <color rgb="FF1BB540"/>
      <name val="Avenir LT Std 35 Light"/>
      <family val="2"/>
    </font>
    <font>
      <b/>
      <sz val="11"/>
      <color rgb="FFFF0000"/>
      <name val="Avenir LT Std 35 Light"/>
      <family val="2"/>
    </font>
    <font>
      <b/>
      <sz val="11"/>
      <color theme="6" tint="-0.249977111117893"/>
      <name val="Avenir LT Std 35 Light"/>
      <family val="2"/>
    </font>
    <font>
      <b/>
      <sz val="11"/>
      <color rgb="FF7030A0"/>
      <name val="Avenir LT Std 35 Light"/>
      <family val="2"/>
    </font>
    <font>
      <b/>
      <sz val="11"/>
      <color theme="8" tint="-0.499984740745262"/>
      <name val="Avenir LT Std 35 Light"/>
      <family val="2"/>
    </font>
    <font>
      <b/>
      <sz val="11"/>
      <color theme="9" tint="-0.249977111117893"/>
      <name val="Avenir LT Std 35 Light"/>
      <family val="2"/>
    </font>
    <font>
      <b/>
      <sz val="11"/>
      <color rgb="FF0070C0"/>
      <name val="Avenir LT Std 35 Light"/>
      <family val="2"/>
    </font>
    <font>
      <b/>
      <sz val="11"/>
      <color rgb="FFC00000"/>
      <name val="Avenir LT Std 35 Light"/>
      <family val="2"/>
    </font>
    <font>
      <b/>
      <sz val="11"/>
      <color rgb="FF92D050"/>
      <name val="Avenir LT Std 35 Light"/>
      <family val="2"/>
    </font>
    <font>
      <b/>
      <sz val="11"/>
      <color theme="7" tint="-0.249977111117893"/>
      <name val="Avenir LT Std 35 Light"/>
      <family val="2"/>
    </font>
    <font>
      <b/>
      <sz val="11"/>
      <color rgb="FF00B0F0"/>
      <name val="Avenir LT Std 35 Light"/>
      <family val="2"/>
    </font>
    <font>
      <b/>
      <sz val="11"/>
      <color rgb="FFFFC000"/>
      <name val="Avenir LT Std 35 Light"/>
      <family val="2"/>
    </font>
    <font>
      <b/>
      <sz val="11"/>
      <color rgb="FFCCCCFF"/>
      <name val="Avenir LT Std 35 Light"/>
      <family val="2"/>
    </font>
    <font>
      <b/>
      <sz val="11"/>
      <color rgb="FFFF99FF"/>
      <name val="Avenir LT Std 35 Light"/>
      <family val="2"/>
    </font>
    <font>
      <sz val="11"/>
      <color theme="0" tint="-0.499984740745262"/>
      <name val="Calibri"/>
      <family val="2"/>
    </font>
    <font>
      <i/>
      <sz val="8"/>
      <name val="Avenir LT Std 35 Light"/>
      <family val="2"/>
    </font>
    <font>
      <sz val="10"/>
      <color rgb="FF000000"/>
      <name val="Avenir LT Std 35 Light"/>
      <family val="2"/>
    </font>
    <font>
      <b/>
      <u/>
      <sz val="10"/>
      <color theme="1"/>
      <name val="Avenir LT Std 35 Light"/>
      <family val="2"/>
    </font>
    <font>
      <b/>
      <sz val="10"/>
      <name val="Avenir LT Std 35 Light"/>
      <family val="2"/>
    </font>
    <font>
      <sz val="10"/>
      <color theme="1"/>
      <name val="Calibri"/>
      <family val="2"/>
      <scheme val="minor"/>
    </font>
    <font>
      <i/>
      <sz val="8"/>
      <color theme="1"/>
      <name val="Calibri"/>
      <family val="2"/>
      <scheme val="minor"/>
    </font>
    <font>
      <b/>
      <sz val="8"/>
      <color indexed="9"/>
      <name val="Arial"/>
      <family val="2"/>
    </font>
    <font>
      <i/>
      <sz val="11"/>
      <color theme="0" tint="-0.499984740745262"/>
      <name val="Calibri"/>
      <family val="2"/>
      <scheme val="minor"/>
    </font>
    <font>
      <sz val="8.5"/>
      <name val="Avenir LT Std 35 Light"/>
      <family val="2"/>
    </font>
    <font>
      <sz val="6"/>
      <color theme="1"/>
      <name val="Calibri"/>
      <family val="2"/>
      <scheme val="minor"/>
    </font>
    <font>
      <b/>
      <u/>
      <sz val="11"/>
      <color theme="0"/>
      <name val="Calibri"/>
      <family val="2"/>
      <scheme val="minor"/>
    </font>
    <font>
      <b/>
      <sz val="11"/>
      <color theme="1"/>
      <name val="Avenir LT Std 45 Book"/>
      <family val="2"/>
    </font>
    <font>
      <sz val="10"/>
      <color theme="4" tint="-0.249977111117893"/>
      <name val="Arial"/>
      <family val="2"/>
    </font>
    <font>
      <sz val="10"/>
      <color rgb="FF0070C0"/>
      <name val="Arial"/>
      <family val="2"/>
    </font>
    <font>
      <sz val="11"/>
      <color rgb="FFFF0000"/>
      <name val="Avenir LT Std 35 Light"/>
      <family val="2"/>
    </font>
    <font>
      <b/>
      <sz val="11"/>
      <color rgb="FF00B050"/>
      <name val="Calibri"/>
      <family val="2"/>
      <scheme val="minor"/>
    </font>
    <font>
      <sz val="11"/>
      <name val="Avenir LT Std 35 Light"/>
      <family val="2"/>
    </font>
    <font>
      <b/>
      <sz val="12"/>
      <name val="Calibri"/>
      <family val="2"/>
      <scheme val="minor"/>
    </font>
    <font>
      <sz val="9"/>
      <color rgb="FFFF0000"/>
      <name val="Avenir LT Std 35 Light"/>
      <family val="2"/>
    </font>
    <font>
      <sz val="9"/>
      <color indexed="10"/>
      <name val="Tahoma"/>
      <family val="2"/>
    </font>
    <font>
      <sz val="11"/>
      <color theme="0" tint="-0.34998626667073579"/>
      <name val="Calibri"/>
      <family val="2"/>
      <scheme val="minor"/>
    </font>
    <font>
      <b/>
      <sz val="8"/>
      <name val="Arial"/>
      <family val="2"/>
    </font>
    <font>
      <b/>
      <sz val="11"/>
      <color theme="6" tint="-0.249977111117893"/>
      <name val="Calibri"/>
      <family val="2"/>
      <scheme val="minor"/>
    </font>
    <font>
      <i/>
      <sz val="11"/>
      <name val="Calibri"/>
      <family val="2"/>
      <scheme val="minor"/>
    </font>
    <font>
      <sz val="8"/>
      <color rgb="FFFF0000"/>
      <name val="Calibri"/>
      <family val="2"/>
    </font>
    <font>
      <b/>
      <sz val="8"/>
      <color rgb="FFFF0000"/>
      <name val="Arial"/>
      <family val="2"/>
    </font>
    <font>
      <b/>
      <sz val="8"/>
      <color rgb="FFFF0000"/>
      <name val="Calibri"/>
      <family val="2"/>
      <scheme val="minor"/>
    </font>
    <font>
      <sz val="10"/>
      <name val="Gill Sans MT"/>
      <family val="2"/>
    </font>
    <font>
      <sz val="10"/>
      <name val="Calibri"/>
      <family val="2"/>
      <scheme val="minor"/>
    </font>
    <font>
      <sz val="9"/>
      <color theme="0" tint="-0.499984740745262"/>
      <name val="Avenir LT Std 35 Light"/>
      <family val="2"/>
    </font>
    <font>
      <sz val="10"/>
      <color theme="0" tint="-0.499984740745262"/>
      <name val="Avenir LT Std 35 Light"/>
      <family val="2"/>
    </font>
    <font>
      <vertAlign val="superscript"/>
      <sz val="10"/>
      <name val="Avenir LT Std 35 Light"/>
      <family val="2"/>
    </font>
    <font>
      <b/>
      <sz val="11"/>
      <color theme="4"/>
      <name val="Avenir LT Std 35 Light"/>
      <family val="2"/>
    </font>
    <font>
      <i/>
      <sz val="9"/>
      <color theme="0" tint="-0.499984740745262"/>
      <name val="Avenir LT Std 35 Light"/>
      <family val="2"/>
    </font>
  </fonts>
  <fills count="47">
    <fill>
      <patternFill patternType="none"/>
    </fill>
    <fill>
      <patternFill patternType="gray125"/>
    </fill>
    <fill>
      <patternFill patternType="solid">
        <fgColor theme="0"/>
        <bgColor indexed="64"/>
      </patternFill>
    </fill>
    <fill>
      <patternFill patternType="solid">
        <fgColor theme="7" tint="-0.249977111117893"/>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indexed="41"/>
        <bgColor indexed="64"/>
      </patternFill>
    </fill>
    <fill>
      <patternFill patternType="solid">
        <fgColor indexed="57"/>
        <bgColor indexed="64"/>
      </patternFill>
    </fill>
    <fill>
      <patternFill patternType="gray0625">
        <fgColor indexed="43"/>
        <bgColor indexed="43"/>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theme="3" tint="0.39997558519241921"/>
        <bgColor indexed="64"/>
      </patternFill>
    </fill>
    <fill>
      <patternFill patternType="solid">
        <fgColor indexed="22"/>
        <bgColor indexed="0"/>
      </patternFill>
    </fill>
    <fill>
      <patternFill patternType="solid">
        <fgColor theme="2" tint="-0.49998474074526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99FF"/>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rgb="FF0070C0"/>
        <bgColor indexed="64"/>
      </patternFill>
    </fill>
    <fill>
      <patternFill patternType="solid">
        <fgColor rgb="FFC4D8ED"/>
        <bgColor indexed="64"/>
      </patternFill>
    </fill>
    <fill>
      <patternFill patternType="mediumGray">
        <fgColor rgb="FFC0C0C0"/>
        <bgColor rgb="FFFFFFFF"/>
      </patternFill>
    </fill>
    <fill>
      <patternFill patternType="solid">
        <fgColor rgb="FFF0F8FF"/>
        <bgColor indexed="64"/>
      </patternFill>
    </fill>
    <fill>
      <patternFill patternType="solid">
        <fgColor rgb="FFFFFF99"/>
        <bgColor indexed="64"/>
      </patternFill>
    </fill>
    <fill>
      <patternFill patternType="solid">
        <fgColor theme="4" tint="0.79998168889431442"/>
        <bgColor theme="4" tint="0.79998168889431442"/>
      </patternFill>
    </fill>
    <fill>
      <patternFill patternType="solid">
        <fgColor theme="6" tint="0.39997558519241921"/>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rgb="FFC58199"/>
        <bgColor indexed="64"/>
      </patternFill>
    </fill>
    <fill>
      <patternFill patternType="solid">
        <fgColor theme="7" tint="0.59999389629810485"/>
        <bgColor indexed="31"/>
      </patternFill>
    </fill>
    <fill>
      <patternFill patternType="solid">
        <fgColor indexed="18"/>
        <bgColor indexed="64"/>
      </patternFill>
    </fill>
    <fill>
      <patternFill patternType="solid">
        <fgColor rgb="FFFD9A63"/>
        <bgColor indexed="64"/>
      </patternFill>
    </fill>
    <fill>
      <patternFill patternType="solid">
        <fgColor indexed="9"/>
        <bgColor indexed="64"/>
      </patternFill>
    </fill>
    <fill>
      <patternFill patternType="solid">
        <fgColor theme="6" tint="-0.249977111117893"/>
        <bgColor indexed="64"/>
      </patternFill>
    </fill>
    <fill>
      <patternFill patternType="solid">
        <fgColor theme="6" tint="0.39997558519241921"/>
        <bgColor indexed="0"/>
      </patternFill>
    </fill>
    <fill>
      <patternFill patternType="gray0625">
        <bgColor rgb="FFFFFF99"/>
      </patternFill>
    </fill>
    <fill>
      <patternFill patternType="solid">
        <fgColor rgb="FF009900"/>
        <bgColor indexed="64"/>
      </patternFill>
    </fill>
  </fills>
  <borders count="8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8"/>
      </left>
      <right style="thin">
        <color indexed="8"/>
      </right>
      <top/>
      <bottom/>
      <diagonal/>
    </border>
    <border>
      <left style="thin">
        <color rgb="FFC0C0C0"/>
      </left>
      <right style="thin">
        <color rgb="FFC0C0C0"/>
      </right>
      <top style="thin">
        <color rgb="FFC0C0C0"/>
      </top>
      <bottom style="thin">
        <color rgb="FFC0C0C0"/>
      </bottom>
      <diagonal/>
    </border>
    <border>
      <left style="hair">
        <color rgb="FFFFFFCC"/>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right/>
      <top/>
      <bottom style="thin">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bottom style="hair">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double">
        <color theme="0" tint="-0.499984740745262"/>
      </left>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style="thin">
        <color theme="0" tint="-0.24994659260841701"/>
      </left>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double">
        <color theme="0" tint="-0.24994659260841701"/>
      </left>
      <right/>
      <top style="thin">
        <color theme="0" tint="-0.24994659260841701"/>
      </top>
      <bottom style="thin">
        <color theme="0" tint="-0.24994659260841701"/>
      </bottom>
      <diagonal/>
    </border>
    <border>
      <left/>
      <right style="thin">
        <color theme="0" tint="-0.24994659260841701"/>
      </right>
      <top/>
      <bottom/>
      <diagonal/>
    </border>
    <border>
      <left style="thin">
        <color theme="0" tint="-0.24994659260841701"/>
      </left>
      <right/>
      <top/>
      <bottom style="double">
        <color theme="0" tint="-0.24994659260841701"/>
      </bottom>
      <diagonal/>
    </border>
    <border>
      <left/>
      <right/>
      <top/>
      <bottom style="double">
        <color theme="0" tint="-0.24994659260841701"/>
      </bottom>
      <diagonal/>
    </border>
    <border>
      <left/>
      <right style="thin">
        <color theme="0" tint="-0.24994659260841701"/>
      </right>
      <top/>
      <bottom style="double">
        <color theme="0" tint="-0.24994659260841701"/>
      </bottom>
      <diagonal/>
    </border>
    <border>
      <left style="thin">
        <color theme="0" tint="-0.24994659260841701"/>
      </left>
      <right/>
      <top style="thin">
        <color theme="0" tint="-0.24994659260841701"/>
      </top>
      <bottom style="double">
        <color theme="0" tint="-0.24994659260841701"/>
      </bottom>
      <diagonal/>
    </border>
    <border>
      <left/>
      <right style="thin">
        <color theme="0" tint="-0.24994659260841701"/>
      </right>
      <top style="thin">
        <color theme="0" tint="-0.24994659260841701"/>
      </top>
      <bottom style="double">
        <color theme="0" tint="-0.24994659260841701"/>
      </bottom>
      <diagonal/>
    </border>
    <border>
      <left/>
      <right/>
      <top style="thin">
        <color theme="0" tint="-0.24994659260841701"/>
      </top>
      <bottom style="double">
        <color theme="0" tint="-0.24994659260841701"/>
      </bottom>
      <diagonal/>
    </border>
    <border>
      <left/>
      <right style="thin">
        <color theme="0" tint="-0.24994659260841701"/>
      </right>
      <top/>
      <bottom style="hair">
        <color theme="0" tint="-0.24994659260841701"/>
      </bottom>
      <diagonal/>
    </border>
    <border>
      <left style="double">
        <color rgb="FFFFC000"/>
      </left>
      <right/>
      <top style="double">
        <color rgb="FFFFC000"/>
      </top>
      <bottom style="double">
        <color rgb="FFFFC000"/>
      </bottom>
      <diagonal/>
    </border>
    <border>
      <left/>
      <right/>
      <top style="double">
        <color rgb="FFFFC000"/>
      </top>
      <bottom style="double">
        <color rgb="FFFFC000"/>
      </bottom>
      <diagonal/>
    </border>
    <border>
      <left/>
      <right style="double">
        <color rgb="FFFFC000"/>
      </right>
      <top style="double">
        <color rgb="FFFFC000"/>
      </top>
      <bottom style="double">
        <color rgb="FFFFC000"/>
      </bottom>
      <diagonal/>
    </border>
    <border>
      <left/>
      <right style="thin">
        <color theme="0" tint="-0.24994659260841701"/>
      </right>
      <top style="hair">
        <color theme="0" tint="-0.24994659260841701"/>
      </top>
      <bottom style="hair">
        <color theme="0" tint="-0.24994659260841701"/>
      </bottom>
      <diagonal/>
    </border>
    <border>
      <left/>
      <right/>
      <top style="double">
        <color rgb="FFFFC000"/>
      </top>
      <bottom/>
      <diagonal/>
    </border>
    <border>
      <left/>
      <right style="double">
        <color rgb="FFFFC000"/>
      </right>
      <top style="double">
        <color rgb="FFFFC000"/>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style="double">
        <color theme="0" tint="-0.24994659260841701"/>
      </right>
      <top/>
      <bottom style="thin">
        <color theme="0" tint="-0.24994659260841701"/>
      </bottom>
      <diagonal/>
    </border>
    <border>
      <left style="double">
        <color rgb="FFF4B23A"/>
      </left>
      <right/>
      <top style="double">
        <color rgb="FFF4B23A"/>
      </top>
      <bottom style="double">
        <color rgb="FFF4B23A"/>
      </bottom>
      <diagonal/>
    </border>
    <border>
      <left/>
      <right/>
      <top style="double">
        <color rgb="FFF4B23A"/>
      </top>
      <bottom style="double">
        <color rgb="FFF4B23A"/>
      </bottom>
      <diagonal/>
    </border>
    <border>
      <left/>
      <right style="double">
        <color rgb="FFF4B23A"/>
      </right>
      <top style="double">
        <color rgb="FFF4B23A"/>
      </top>
      <bottom style="double">
        <color rgb="FFF4B23A"/>
      </bottom>
      <diagonal/>
    </border>
    <border>
      <left style="thin">
        <color indexed="9"/>
      </left>
      <right style="thin">
        <color indexed="9"/>
      </right>
      <top/>
      <bottom/>
      <diagonal/>
    </border>
    <border>
      <left/>
      <right style="double">
        <color theme="0" tint="-0.24994659260841701"/>
      </right>
      <top style="thin">
        <color theme="0" tint="-0.24994659260841701"/>
      </top>
      <bottom style="thin">
        <color theme="0" tint="-0.24994659260841701"/>
      </bottom>
      <diagonal/>
    </border>
  </borders>
  <cellStyleXfs count="17">
    <xf numFmtId="0" fontId="0" fillId="0" borderId="0"/>
    <xf numFmtId="9" fontId="8" fillId="0" borderId="0" applyFont="0" applyFill="0" applyBorder="0" applyAlignment="0" applyProtection="0"/>
    <xf numFmtId="0" fontId="20" fillId="0" borderId="0"/>
    <xf numFmtId="0" fontId="20" fillId="0" borderId="0"/>
    <xf numFmtId="0" fontId="9" fillId="0" borderId="0"/>
    <xf numFmtId="0" fontId="20" fillId="0" borderId="0"/>
    <xf numFmtId="0" fontId="9" fillId="0" borderId="0"/>
    <xf numFmtId="0" fontId="28" fillId="0" borderId="0"/>
    <xf numFmtId="0" fontId="9" fillId="0" borderId="0"/>
    <xf numFmtId="0" fontId="20" fillId="0" borderId="0"/>
    <xf numFmtId="0" fontId="20" fillId="0" borderId="0"/>
    <xf numFmtId="43" fontId="8" fillId="0" borderId="0" applyFont="0" applyFill="0" applyBorder="0" applyAlignment="0" applyProtection="0"/>
    <xf numFmtId="0" fontId="51" fillId="0" borderId="0" applyNumberFormat="0" applyFill="0" applyBorder="0" applyAlignment="0" applyProtection="0"/>
    <xf numFmtId="0" fontId="20" fillId="0" borderId="0"/>
    <xf numFmtId="0" fontId="20" fillId="0" borderId="0"/>
    <xf numFmtId="0" fontId="126" fillId="40" borderId="9"/>
    <xf numFmtId="0" fontId="9" fillId="0" borderId="0"/>
  </cellStyleXfs>
  <cellXfs count="1269">
    <xf numFmtId="0" fontId="0" fillId="0" borderId="0" xfId="0"/>
    <xf numFmtId="0" fontId="0" fillId="2" borderId="0" xfId="0" applyFill="1"/>
    <xf numFmtId="0" fontId="3" fillId="2" borderId="0" xfId="0" applyFont="1" applyFill="1" applyAlignment="1">
      <alignment vertical="center"/>
    </xf>
    <xf numFmtId="0" fontId="3" fillId="2" borderId="0" xfId="0" applyFont="1" applyFill="1" applyAlignment="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0" borderId="0" xfId="0" applyFont="1" applyFill="1" applyBorder="1" applyAlignment="1">
      <alignment horizontal="right" vertical="center" wrapText="1"/>
    </xf>
    <xf numFmtId="0" fontId="3" fillId="0" borderId="0" xfId="0" applyFont="1" applyFill="1" applyBorder="1" applyAlignment="1">
      <alignment horizontal="right" vertical="center"/>
    </xf>
    <xf numFmtId="0" fontId="3" fillId="2" borderId="0" xfId="0" applyFont="1" applyFill="1" applyBorder="1" applyAlignment="1">
      <alignment horizontal="center" vertical="center"/>
    </xf>
    <xf numFmtId="0" fontId="0" fillId="0" borderId="0" xfId="0" applyBorder="1"/>
    <xf numFmtId="3" fontId="5" fillId="0" borderId="0" xfId="0" applyNumberFormat="1" applyFont="1"/>
    <xf numFmtId="3" fontId="5" fillId="0" borderId="0" xfId="0" applyNumberFormat="1" applyFont="1" applyAlignment="1">
      <alignment wrapText="1"/>
    </xf>
    <xf numFmtId="3" fontId="5" fillId="0" borderId="0" xfId="0" quotePrefix="1" applyNumberFormat="1" applyFont="1"/>
    <xf numFmtId="3" fontId="1" fillId="0" borderId="0" xfId="0" applyNumberFormat="1" applyFont="1"/>
    <xf numFmtId="3" fontId="0" fillId="0" borderId="0" xfId="0" applyNumberFormat="1" applyAlignment="1">
      <alignment wrapText="1"/>
    </xf>
    <xf numFmtId="0" fontId="0" fillId="7" borderId="0" xfId="0" applyFill="1" applyAlignment="1">
      <alignment wrapText="1"/>
    </xf>
    <xf numFmtId="3" fontId="0" fillId="0" borderId="0" xfId="0" applyNumberFormat="1"/>
    <xf numFmtId="0" fontId="9" fillId="0" borderId="0" xfId="0" applyNumberFormat="1" applyFont="1" applyBorder="1" applyAlignment="1">
      <alignment horizontal="center" vertical="center" wrapText="1"/>
    </xf>
    <xf numFmtId="0" fontId="9" fillId="0" borderId="0" xfId="0" applyFont="1"/>
    <xf numFmtId="165" fontId="9" fillId="0" borderId="0" xfId="0" quotePrefix="1" applyNumberFormat="1" applyFont="1" applyBorder="1" applyAlignment="1">
      <alignment horizontal="right"/>
    </xf>
    <xf numFmtId="0" fontId="9" fillId="0" borderId="0" xfId="0" applyFont="1" applyBorder="1"/>
    <xf numFmtId="0" fontId="9" fillId="0" borderId="0" xfId="0" applyFont="1" applyFill="1" applyBorder="1"/>
    <xf numFmtId="2" fontId="0" fillId="0" borderId="0" xfId="0" applyNumberFormat="1"/>
    <xf numFmtId="3" fontId="9" fillId="0" borderId="0" xfId="0" applyNumberFormat="1" applyFont="1"/>
    <xf numFmtId="3" fontId="10" fillId="0" borderId="0" xfId="0" applyNumberFormat="1" applyFont="1"/>
    <xf numFmtId="3" fontId="9" fillId="0" borderId="0" xfId="0" applyNumberFormat="1" applyFont="1" applyAlignment="1">
      <alignment wrapText="1"/>
    </xf>
    <xf numFmtId="3" fontId="10" fillId="0" borderId="0" xfId="0" applyNumberFormat="1" applyFont="1" applyAlignment="1">
      <alignment wrapText="1"/>
    </xf>
    <xf numFmtId="164" fontId="10" fillId="0" borderId="0" xfId="0" applyNumberFormat="1" applyFont="1"/>
    <xf numFmtId="3" fontId="9" fillId="0" borderId="0" xfId="0" quotePrefix="1" applyNumberFormat="1" applyFont="1"/>
    <xf numFmtId="3" fontId="11" fillId="0" borderId="0" xfId="0" applyNumberFormat="1" applyFont="1"/>
    <xf numFmtId="165" fontId="10" fillId="0" borderId="0" xfId="0" applyNumberFormat="1" applyFont="1"/>
    <xf numFmtId="0" fontId="12" fillId="0" borderId="0" xfId="0" applyFont="1"/>
    <xf numFmtId="0" fontId="9" fillId="0" borderId="0" xfId="0" applyFont="1" applyAlignment="1">
      <alignment wrapText="1"/>
    </xf>
    <xf numFmtId="0" fontId="13" fillId="0" borderId="0" xfId="0" applyFont="1"/>
    <xf numFmtId="0" fontId="0" fillId="8" borderId="0" xfId="0" applyFill="1" applyAlignment="1">
      <alignment horizontal="center"/>
    </xf>
    <xf numFmtId="0" fontId="15" fillId="10" borderId="9" xfId="0" applyFont="1" applyFill="1" applyBorder="1"/>
    <xf numFmtId="166" fontId="15" fillId="10" borderId="9" xfId="1" applyNumberFormat="1" applyFont="1" applyFill="1" applyBorder="1"/>
    <xf numFmtId="166" fontId="15" fillId="10" borderId="9" xfId="1" applyNumberFormat="1" applyFont="1" applyFill="1" applyBorder="1" applyAlignment="1">
      <alignment horizontal="right"/>
    </xf>
    <xf numFmtId="10" fontId="0" fillId="0" borderId="0" xfId="1" applyNumberFormat="1" applyFont="1"/>
    <xf numFmtId="0" fontId="16" fillId="9" borderId="10" xfId="0" applyFont="1" applyFill="1" applyBorder="1"/>
    <xf numFmtId="0" fontId="17" fillId="9" borderId="10" xfId="0" applyFont="1" applyFill="1" applyBorder="1" applyAlignment="1">
      <alignment horizontal="center" wrapText="1"/>
    </xf>
    <xf numFmtId="0" fontId="0" fillId="11" borderId="0" xfId="0" applyFill="1"/>
    <xf numFmtId="0" fontId="9" fillId="11" borderId="0" xfId="0" applyFont="1" applyFill="1" applyBorder="1"/>
    <xf numFmtId="3" fontId="9" fillId="13" borderId="0" xfId="0" applyNumberFormat="1" applyFont="1" applyFill="1"/>
    <xf numFmtId="3" fontId="10" fillId="13" borderId="0" xfId="0" applyNumberFormat="1" applyFont="1" applyFill="1"/>
    <xf numFmtId="3" fontId="18" fillId="13" borderId="0" xfId="0" applyNumberFormat="1" applyFont="1" applyFill="1"/>
    <xf numFmtId="3" fontId="11" fillId="3" borderId="0" xfId="0" applyNumberFormat="1" applyFont="1" applyFill="1"/>
    <xf numFmtId="3" fontId="10" fillId="3" borderId="0" xfId="0" applyNumberFormat="1" applyFont="1" applyFill="1"/>
    <xf numFmtId="164" fontId="10" fillId="3" borderId="0" xfId="0" applyNumberFormat="1" applyFont="1" applyFill="1"/>
    <xf numFmtId="3" fontId="19" fillId="3" borderId="0" xfId="0" applyNumberFormat="1" applyFont="1" applyFill="1"/>
    <xf numFmtId="3" fontId="9" fillId="14" borderId="0" xfId="0" applyNumberFormat="1" applyFont="1" applyFill="1"/>
    <xf numFmtId="3" fontId="10" fillId="14" borderId="0" xfId="0" applyNumberFormat="1" applyFont="1" applyFill="1"/>
    <xf numFmtId="3" fontId="19" fillId="14" borderId="0" xfId="0" applyNumberFormat="1" applyFont="1" applyFill="1"/>
    <xf numFmtId="3" fontId="21" fillId="0" borderId="11" xfId="2" applyNumberFormat="1" applyFont="1" applyFill="1" applyBorder="1" applyAlignment="1"/>
    <xf numFmtId="9" fontId="10" fillId="0" borderId="0" xfId="1" applyFont="1"/>
    <xf numFmtId="3" fontId="9" fillId="16" borderId="0" xfId="0" applyNumberFormat="1" applyFont="1" applyFill="1"/>
    <xf numFmtId="3" fontId="10" fillId="16" borderId="0" xfId="0" applyNumberFormat="1" applyFont="1" applyFill="1"/>
    <xf numFmtId="3" fontId="19" fillId="16" borderId="0" xfId="0" applyNumberFormat="1" applyFont="1" applyFill="1"/>
    <xf numFmtId="0" fontId="22" fillId="11" borderId="0" xfId="0" applyFont="1" applyFill="1"/>
    <xf numFmtId="0" fontId="0" fillId="0" borderId="0" xfId="0" applyAlignment="1">
      <alignment wrapText="1"/>
    </xf>
    <xf numFmtId="0" fontId="0" fillId="0" borderId="0" xfId="0" quotePrefix="1"/>
    <xf numFmtId="9" fontId="0" fillId="0" borderId="0" xfId="1" applyFont="1"/>
    <xf numFmtId="0" fontId="23" fillId="0" borderId="0" xfId="0" applyFont="1"/>
    <xf numFmtId="0" fontId="12" fillId="0" borderId="0" xfId="4" applyFont="1"/>
    <xf numFmtId="165" fontId="12" fillId="0" borderId="0" xfId="4" applyNumberFormat="1" applyFont="1"/>
    <xf numFmtId="0" fontId="22" fillId="12" borderId="0" xfId="0" applyFont="1" applyFill="1"/>
    <xf numFmtId="0" fontId="21" fillId="15" borderId="0" xfId="3" applyFont="1" applyFill="1" applyBorder="1" applyAlignment="1">
      <alignment horizontal="center" wrapText="1"/>
    </xf>
    <xf numFmtId="3" fontId="21" fillId="15" borderId="0" xfId="3" applyNumberFormat="1" applyFont="1" applyFill="1" applyBorder="1" applyAlignment="1">
      <alignment horizontal="center" wrapText="1"/>
    </xf>
    <xf numFmtId="3" fontId="21" fillId="0" borderId="12" xfId="2" applyNumberFormat="1" applyFont="1" applyFill="1" applyBorder="1" applyAlignment="1"/>
    <xf numFmtId="3" fontId="21" fillId="15" borderId="0" xfId="2" applyNumberFormat="1" applyFont="1" applyFill="1" applyBorder="1" applyAlignment="1">
      <alignment horizontal="center" wrapText="1"/>
    </xf>
    <xf numFmtId="0" fontId="21" fillId="0" borderId="0" xfId="5" applyFont="1" applyFill="1" applyBorder="1" applyAlignment="1">
      <alignment horizontal="center" wrapText="1"/>
    </xf>
    <xf numFmtId="0" fontId="0" fillId="0" borderId="0" xfId="0" applyFill="1" applyBorder="1" applyAlignment="1">
      <alignment wrapText="1"/>
    </xf>
    <xf numFmtId="0" fontId="21" fillId="17" borderId="0" xfId="5" applyFont="1" applyFill="1" applyBorder="1" applyAlignment="1">
      <alignment horizontal="center" wrapText="1"/>
    </xf>
    <xf numFmtId="0" fontId="21" fillId="0" borderId="0" xfId="5" applyFont="1" applyFill="1" applyBorder="1" applyAlignment="1">
      <alignment wrapText="1"/>
    </xf>
    <xf numFmtId="0" fontId="0" fillId="5" borderId="0" xfId="0" applyFill="1" applyBorder="1" applyAlignment="1">
      <alignment wrapText="1"/>
    </xf>
    <xf numFmtId="0" fontId="21" fillId="0" borderId="0" xfId="5" quotePrefix="1" applyFont="1" applyFill="1" applyBorder="1" applyAlignment="1"/>
    <xf numFmtId="0" fontId="21" fillId="0" borderId="0" xfId="5" applyFont="1" applyFill="1" applyBorder="1" applyAlignment="1">
      <alignment horizontal="left"/>
    </xf>
    <xf numFmtId="0" fontId="21" fillId="17" borderId="0" xfId="5" applyFont="1" applyFill="1" applyBorder="1" applyAlignment="1">
      <alignment horizontal="right"/>
    </xf>
    <xf numFmtId="0" fontId="0" fillId="5" borderId="0" xfId="0" applyFill="1" applyBorder="1"/>
    <xf numFmtId="0" fontId="21" fillId="0" borderId="0" xfId="5" applyFont="1" applyFill="1" applyBorder="1" applyAlignment="1"/>
    <xf numFmtId="0" fontId="21" fillId="5" borderId="0" xfId="5" applyFont="1" applyFill="1" applyBorder="1" applyAlignment="1">
      <alignment horizontal="right" wrapText="1"/>
    </xf>
    <xf numFmtId="0" fontId="0" fillId="0" borderId="0" xfId="0" applyFill="1" applyBorder="1"/>
    <xf numFmtId="0" fontId="24" fillId="0" borderId="0" xfId="0" applyFont="1" applyAlignment="1">
      <alignment horizontal="left" vertical="top" wrapText="1"/>
    </xf>
    <xf numFmtId="0" fontId="0" fillId="0" borderId="0" xfId="0" applyAlignment="1">
      <alignment horizontal="left"/>
    </xf>
    <xf numFmtId="0" fontId="0" fillId="0" borderId="0" xfId="0" applyBorder="1" applyAlignment="1">
      <alignment wrapText="1"/>
    </xf>
    <xf numFmtId="0" fontId="0" fillId="18" borderId="0" xfId="0" applyFill="1" applyBorder="1"/>
    <xf numFmtId="0" fontId="2" fillId="0" borderId="0" xfId="0" applyFont="1" applyBorder="1"/>
    <xf numFmtId="0" fontId="26" fillId="18" borderId="0" xfId="0" applyFont="1" applyFill="1" applyBorder="1"/>
    <xf numFmtId="0" fontId="26" fillId="19" borderId="0" xfId="0" applyFont="1" applyFill="1" applyBorder="1"/>
    <xf numFmtId="0" fontId="26" fillId="19" borderId="0" xfId="0" applyFont="1" applyFill="1"/>
    <xf numFmtId="0" fontId="25" fillId="20" borderId="0" xfId="0" applyFont="1" applyFill="1" applyBorder="1"/>
    <xf numFmtId="0" fontId="0" fillId="0" borderId="0" xfId="0" quotePrefix="1" applyBorder="1"/>
    <xf numFmtId="0" fontId="18" fillId="21" borderId="0" xfId="6" applyFont="1" applyFill="1" applyBorder="1" applyAlignment="1">
      <alignment vertical="top"/>
    </xf>
    <xf numFmtId="0" fontId="30" fillId="21" borderId="0" xfId="0" applyFont="1" applyFill="1"/>
    <xf numFmtId="0" fontId="18" fillId="0" borderId="0" xfId="6" applyFont="1" applyFill="1" applyBorder="1" applyAlignment="1">
      <alignment vertical="top"/>
    </xf>
    <xf numFmtId="0" fontId="30" fillId="0" borderId="0" xfId="0" applyFont="1" applyFill="1"/>
    <xf numFmtId="0" fontId="10" fillId="0" borderId="0" xfId="0" applyFont="1"/>
    <xf numFmtId="0" fontId="10" fillId="0" borderId="0" xfId="0" applyFont="1" applyAlignment="1">
      <alignment wrapText="1"/>
    </xf>
    <xf numFmtId="0" fontId="31" fillId="0" borderId="0" xfId="0" applyFont="1"/>
    <xf numFmtId="3" fontId="31" fillId="0" borderId="0" xfId="0" applyNumberFormat="1" applyFont="1"/>
    <xf numFmtId="0" fontId="29" fillId="22" borderId="0" xfId="0" applyFont="1" applyFill="1"/>
    <xf numFmtId="0" fontId="19" fillId="22" borderId="0" xfId="0" applyFont="1" applyFill="1" applyAlignment="1">
      <alignment vertical="center"/>
    </xf>
    <xf numFmtId="0" fontId="29" fillId="0" borderId="0" xfId="0" applyFont="1" applyFill="1"/>
    <xf numFmtId="0" fontId="29" fillId="0" borderId="0" xfId="0" applyFont="1" applyFill="1" applyBorder="1"/>
    <xf numFmtId="0" fontId="29" fillId="0" borderId="0" xfId="0" applyFont="1" applyFill="1" applyBorder="1" applyAlignment="1">
      <alignment vertical="center"/>
    </xf>
    <xf numFmtId="0" fontId="31" fillId="0" borderId="0" xfId="0" applyFont="1" applyBorder="1" applyAlignment="1">
      <alignment horizontal="right" vertical="top"/>
    </xf>
    <xf numFmtId="0" fontId="33" fillId="0" borderId="0" xfId="0" applyFont="1" applyBorder="1"/>
    <xf numFmtId="0" fontId="33" fillId="0" borderId="0" xfId="4" applyFont="1" applyBorder="1" applyAlignment="1">
      <alignment horizontal="right"/>
    </xf>
    <xf numFmtId="0" fontId="33" fillId="0" borderId="0" xfId="7" applyFont="1" applyBorder="1" applyAlignment="1">
      <alignment horizontal="center" wrapText="1"/>
    </xf>
    <xf numFmtId="0" fontId="33" fillId="0" borderId="0" xfId="4" applyFont="1" applyBorder="1"/>
    <xf numFmtId="0" fontId="33" fillId="0" borderId="0" xfId="8" applyFont="1" applyFill="1" applyBorder="1"/>
    <xf numFmtId="3" fontId="33" fillId="0" borderId="0" xfId="0" applyNumberFormat="1" applyFont="1" applyBorder="1"/>
    <xf numFmtId="3" fontId="33" fillId="0" borderId="0" xfId="4" applyNumberFormat="1" applyFont="1" applyBorder="1"/>
    <xf numFmtId="3" fontId="35" fillId="0" borderId="0" xfId="0" applyNumberFormat="1" applyFont="1"/>
    <xf numFmtId="0" fontId="32" fillId="0" borderId="0" xfId="0" applyFont="1"/>
    <xf numFmtId="0" fontId="10" fillId="11" borderId="0" xfId="0" applyFont="1" applyFill="1"/>
    <xf numFmtId="0" fontId="18" fillId="11" borderId="0" xfId="0" applyFont="1" applyFill="1"/>
    <xf numFmtId="0" fontId="36" fillId="0" borderId="0" xfId="0" applyFont="1" applyAlignment="1">
      <alignment horizontal="center"/>
    </xf>
    <xf numFmtId="0" fontId="36" fillId="0" borderId="0" xfId="0" applyFont="1"/>
    <xf numFmtId="167" fontId="36" fillId="0" borderId="0" xfId="1" applyNumberFormat="1" applyFont="1"/>
    <xf numFmtId="3" fontId="37" fillId="0" borderId="0" xfId="0" applyNumberFormat="1" applyFont="1"/>
    <xf numFmtId="3" fontId="27" fillId="11" borderId="0" xfId="0" applyNumberFormat="1" applyFont="1" applyFill="1"/>
    <xf numFmtId="3" fontId="35" fillId="11" borderId="0" xfId="0" applyNumberFormat="1" applyFont="1" applyFill="1"/>
    <xf numFmtId="3" fontId="34" fillId="0" borderId="0" xfId="0" applyNumberFormat="1" applyFont="1"/>
    <xf numFmtId="0" fontId="37" fillId="0" borderId="0" xfId="0" applyFont="1"/>
    <xf numFmtId="0" fontId="37" fillId="0" borderId="0" xfId="0" applyFont="1" applyAlignment="1">
      <alignment horizontal="center"/>
    </xf>
    <xf numFmtId="16" fontId="37" fillId="0" borderId="0" xfId="0" quotePrefix="1" applyNumberFormat="1" applyFont="1" applyAlignment="1">
      <alignment horizontal="center"/>
    </xf>
    <xf numFmtId="0" fontId="21" fillId="0" borderId="0" xfId="9" applyFont="1" applyFill="1" applyBorder="1" applyAlignment="1">
      <alignment wrapText="1"/>
    </xf>
    <xf numFmtId="0" fontId="0" fillId="0" borderId="0" xfId="0" applyAlignment="1"/>
    <xf numFmtId="0" fontId="0" fillId="24" borderId="0" xfId="0" applyFill="1"/>
    <xf numFmtId="0" fontId="25" fillId="24" borderId="0" xfId="0" applyFont="1" applyFill="1"/>
    <xf numFmtId="0" fontId="0" fillId="25" borderId="0" xfId="0" applyFill="1" applyAlignment="1">
      <alignment wrapText="1"/>
    </xf>
    <xf numFmtId="0" fontId="10" fillId="26" borderId="0" xfId="0" applyFont="1" applyFill="1"/>
    <xf numFmtId="0" fontId="18" fillId="26" borderId="0" xfId="0" applyFont="1" applyFill="1"/>
    <xf numFmtId="9" fontId="0" fillId="0" borderId="0" xfId="1" applyFont="1" applyBorder="1"/>
    <xf numFmtId="0" fontId="21" fillId="0" borderId="0" xfId="9" applyFont="1" applyFill="1" applyBorder="1" applyAlignment="1"/>
    <xf numFmtId="0" fontId="0" fillId="0" borderId="0" xfId="0" applyBorder="1" applyAlignment="1"/>
    <xf numFmtId="0" fontId="25" fillId="24" borderId="0" xfId="0" applyFont="1" applyFill="1" applyBorder="1"/>
    <xf numFmtId="0" fontId="0" fillId="24" borderId="0" xfId="0" applyFill="1" applyBorder="1"/>
    <xf numFmtId="0" fontId="21" fillId="15" borderId="0" xfId="10" applyFont="1" applyFill="1" applyBorder="1" applyAlignment="1">
      <alignment horizontal="center"/>
    </xf>
    <xf numFmtId="0" fontId="0" fillId="23" borderId="0" xfId="0" applyFill="1" applyBorder="1" applyAlignment="1">
      <alignment wrapText="1"/>
    </xf>
    <xf numFmtId="0" fontId="21" fillId="0" borderId="0" xfId="10" applyFont="1" applyFill="1" applyBorder="1" applyAlignment="1">
      <alignment wrapText="1"/>
    </xf>
    <xf numFmtId="0" fontId="21" fillId="0" borderId="0" xfId="10" applyFont="1" applyFill="1" applyBorder="1" applyAlignment="1">
      <alignment horizontal="right"/>
    </xf>
    <xf numFmtId="0" fontId="38" fillId="27" borderId="14" xfId="0" applyFont="1" applyFill="1" applyBorder="1" applyAlignment="1">
      <alignment vertical="top" wrapText="1"/>
    </xf>
    <xf numFmtId="0" fontId="39" fillId="28" borderId="14" xfId="0" applyFont="1" applyFill="1" applyBorder="1" applyAlignment="1">
      <alignment horizontal="center"/>
    </xf>
    <xf numFmtId="0" fontId="36" fillId="0" borderId="14" xfId="0" applyNumberFormat="1" applyFont="1" applyBorder="1" applyAlignment="1">
      <alignment horizontal="right"/>
    </xf>
    <xf numFmtId="0" fontId="36" fillId="29" borderId="14" xfId="0" applyNumberFormat="1" applyFont="1" applyFill="1" applyBorder="1" applyAlignment="1">
      <alignment horizontal="right"/>
    </xf>
    <xf numFmtId="0" fontId="36" fillId="0" borderId="15" xfId="0" applyNumberFormat="1" applyFont="1" applyBorder="1" applyAlignment="1">
      <alignment horizontal="right"/>
    </xf>
    <xf numFmtId="0" fontId="36" fillId="29" borderId="15" xfId="0" applyNumberFormat="1" applyFont="1" applyFill="1" applyBorder="1" applyAlignment="1">
      <alignment horizontal="right"/>
    </xf>
    <xf numFmtId="0" fontId="10" fillId="0" borderId="0" xfId="0" applyFont="1" applyAlignment="1">
      <alignment horizontal="center"/>
    </xf>
    <xf numFmtId="0" fontId="40" fillId="0" borderId="0" xfId="0" applyFont="1"/>
    <xf numFmtId="3" fontId="38" fillId="27" borderId="14" xfId="0" applyNumberFormat="1" applyFont="1" applyFill="1" applyBorder="1" applyAlignment="1">
      <alignment vertical="top" wrapText="1"/>
    </xf>
    <xf numFmtId="0" fontId="39" fillId="28" borderId="16" xfId="0" applyFont="1" applyFill="1" applyBorder="1" applyAlignment="1">
      <alignment horizontal="center"/>
    </xf>
    <xf numFmtId="0" fontId="9" fillId="0" borderId="0" xfId="0" applyFont="1" applyAlignment="1">
      <alignment horizontal="center"/>
    </xf>
    <xf numFmtId="0" fontId="0" fillId="18" borderId="0" xfId="0" applyFill="1" applyBorder="1" applyAlignment="1"/>
    <xf numFmtId="0" fontId="21" fillId="0" borderId="0" xfId="5" applyFont="1" applyFill="1" applyBorder="1" applyAlignment="1">
      <alignment horizontal="center"/>
    </xf>
    <xf numFmtId="0" fontId="41" fillId="0" borderId="0" xfId="0" applyFont="1" applyAlignment="1">
      <alignment wrapText="1"/>
    </xf>
    <xf numFmtId="0" fontId="41" fillId="0" borderId="0" xfId="0" applyFont="1"/>
    <xf numFmtId="167" fontId="0" fillId="0" borderId="0" xfId="1" applyNumberFormat="1" applyFont="1"/>
    <xf numFmtId="0" fontId="0" fillId="0" borderId="0" xfId="1" applyNumberFormat="1" applyFont="1"/>
    <xf numFmtId="0" fontId="41" fillId="0" borderId="0" xfId="0" applyFont="1" applyAlignment="1"/>
    <xf numFmtId="0" fontId="42" fillId="0" borderId="0" xfId="0" applyFont="1"/>
    <xf numFmtId="0" fontId="0" fillId="18" borderId="0" xfId="0" applyFill="1" applyAlignment="1"/>
    <xf numFmtId="0" fontId="0" fillId="18" borderId="0" xfId="0" applyFill="1"/>
    <xf numFmtId="164" fontId="0" fillId="0" borderId="0" xfId="1" applyNumberFormat="1" applyFont="1"/>
    <xf numFmtId="0" fontId="43" fillId="30" borderId="0" xfId="0" applyFont="1" applyFill="1"/>
    <xf numFmtId="0" fontId="2" fillId="0" borderId="0" xfId="0" applyFont="1"/>
    <xf numFmtId="9" fontId="0" fillId="0" borderId="0" xfId="0" applyNumberFormat="1"/>
    <xf numFmtId="10" fontId="0" fillId="0" borderId="0" xfId="0" applyNumberFormat="1"/>
    <xf numFmtId="0" fontId="23" fillId="0" borderId="0" xfId="0" applyFont="1" applyAlignment="1">
      <alignment wrapText="1"/>
    </xf>
    <xf numFmtId="0" fontId="2" fillId="31" borderId="17" xfId="0" applyFont="1" applyFill="1" applyBorder="1"/>
    <xf numFmtId="0" fontId="0" fillId="32" borderId="0" xfId="0" applyFill="1"/>
    <xf numFmtId="0" fontId="44" fillId="0" borderId="0" xfId="0" applyFont="1" applyFill="1"/>
    <xf numFmtId="0" fontId="0" fillId="0" borderId="0" xfId="0" applyFill="1"/>
    <xf numFmtId="49" fontId="44" fillId="0" borderId="0" xfId="0" applyNumberFormat="1" applyFont="1" applyFill="1" applyAlignment="1">
      <alignment wrapText="1"/>
    </xf>
    <xf numFmtId="3" fontId="21" fillId="0" borderId="0" xfId="5" applyNumberFormat="1" applyFont="1" applyFill="1" applyBorder="1" applyAlignment="1">
      <alignment wrapText="1"/>
    </xf>
    <xf numFmtId="3" fontId="21" fillId="0" borderId="0" xfId="5" applyNumberFormat="1" applyFont="1" applyFill="1" applyBorder="1" applyAlignment="1"/>
    <xf numFmtId="0" fontId="0" fillId="33" borderId="0" xfId="0" applyFill="1"/>
    <xf numFmtId="0" fontId="47" fillId="0" borderId="0" xfId="4" applyFont="1"/>
    <xf numFmtId="0" fontId="48" fillId="0" borderId="0" xfId="4" applyFont="1" applyAlignment="1">
      <alignment horizontal="center" vertical="center" wrapText="1"/>
    </xf>
    <xf numFmtId="3" fontId="9" fillId="0" borderId="0" xfId="4" applyNumberFormat="1" applyFont="1"/>
    <xf numFmtId="0" fontId="48" fillId="0" borderId="0" xfId="4" applyFont="1"/>
    <xf numFmtId="3" fontId="48" fillId="0" borderId="0" xfId="4" applyNumberFormat="1" applyFont="1"/>
    <xf numFmtId="0" fontId="48" fillId="0" borderId="0" xfId="0" applyFont="1"/>
    <xf numFmtId="0" fontId="0" fillId="0" borderId="0" xfId="0" applyAlignment="1">
      <alignment horizontal="right"/>
    </xf>
    <xf numFmtId="0" fontId="48" fillId="0" borderId="9" xfId="4" applyFont="1" applyBorder="1" applyAlignment="1">
      <alignment horizontal="center" vertical="center"/>
    </xf>
    <xf numFmtId="0" fontId="48" fillId="0" borderId="18" xfId="4" applyFont="1" applyBorder="1" applyAlignment="1">
      <alignment horizontal="center" vertical="center" wrapText="1"/>
    </xf>
    <xf numFmtId="0" fontId="0" fillId="0" borderId="18" xfId="4" applyFont="1" applyBorder="1"/>
    <xf numFmtId="164" fontId="0" fillId="0" borderId="18" xfId="11" applyNumberFormat="1" applyFont="1" applyBorder="1" applyAlignment="1">
      <alignment horizontal="center"/>
    </xf>
    <xf numFmtId="0" fontId="0" fillId="0" borderId="19" xfId="4" applyFont="1" applyBorder="1"/>
    <xf numFmtId="164" fontId="0" fillId="0" borderId="19" xfId="11" applyNumberFormat="1" applyFont="1" applyBorder="1" applyAlignment="1">
      <alignment horizontal="center"/>
    </xf>
    <xf numFmtId="0" fontId="0" fillId="0" borderId="10" xfId="4" applyFont="1" applyBorder="1"/>
    <xf numFmtId="164" fontId="0" fillId="0" borderId="10" xfId="11" applyNumberFormat="1" applyFont="1" applyBorder="1" applyAlignment="1">
      <alignment horizontal="center"/>
    </xf>
    <xf numFmtId="0" fontId="49" fillId="0" borderId="0" xfId="0" applyFont="1"/>
    <xf numFmtId="3" fontId="0" fillId="0" borderId="18" xfId="11" applyNumberFormat="1" applyFont="1" applyBorder="1" applyAlignment="1">
      <alignment horizontal="center"/>
    </xf>
    <xf numFmtId="3" fontId="0" fillId="0" borderId="19" xfId="11" applyNumberFormat="1" applyFont="1" applyBorder="1" applyAlignment="1">
      <alignment horizontal="center"/>
    </xf>
    <xf numFmtId="3" fontId="0" fillId="0" borderId="10" xfId="11" applyNumberFormat="1" applyFont="1" applyBorder="1" applyAlignment="1">
      <alignment horizontal="center"/>
    </xf>
    <xf numFmtId="3" fontId="49" fillId="0" borderId="18" xfId="11" applyNumberFormat="1" applyFont="1" applyBorder="1" applyAlignment="1">
      <alignment horizontal="center"/>
    </xf>
    <xf numFmtId="3" fontId="49" fillId="0" borderId="19" xfId="11" applyNumberFormat="1" applyFont="1" applyBorder="1" applyAlignment="1">
      <alignment horizontal="center"/>
    </xf>
    <xf numFmtId="3" fontId="49" fillId="0" borderId="10" xfId="11" applyNumberFormat="1" applyFont="1" applyBorder="1" applyAlignment="1">
      <alignment horizontal="center"/>
    </xf>
    <xf numFmtId="0" fontId="47" fillId="0" borderId="18" xfId="4" applyFont="1" applyBorder="1" applyAlignment="1">
      <alignment horizontal="center" vertical="center" wrapText="1"/>
    </xf>
    <xf numFmtId="3" fontId="47" fillId="0" borderId="10" xfId="11" applyNumberFormat="1" applyFont="1" applyBorder="1" applyAlignment="1">
      <alignment horizontal="center"/>
    </xf>
    <xf numFmtId="0" fontId="0" fillId="34" borderId="0" xfId="0" applyFill="1"/>
    <xf numFmtId="167" fontId="0" fillId="0" borderId="0" xfId="0" applyNumberFormat="1"/>
    <xf numFmtId="0" fontId="46" fillId="0" borderId="0" xfId="0" applyFont="1"/>
    <xf numFmtId="0" fontId="52" fillId="2" borderId="0" xfId="0" applyFont="1" applyFill="1"/>
    <xf numFmtId="0" fontId="53" fillId="0" borderId="0" xfId="0" applyFont="1" applyFill="1" applyBorder="1" applyAlignment="1">
      <alignment horizontal="right" vertical="center" wrapText="1"/>
    </xf>
    <xf numFmtId="0" fontId="53" fillId="0" borderId="0" xfId="0" applyFont="1" applyFill="1" applyBorder="1" applyAlignment="1">
      <alignment horizontal="right" vertical="center"/>
    </xf>
    <xf numFmtId="0" fontId="52" fillId="0" borderId="0" xfId="0" applyFont="1"/>
    <xf numFmtId="0" fontId="53" fillId="2" borderId="0" xfId="0" applyFont="1" applyFill="1" applyAlignment="1">
      <alignment vertical="center"/>
    </xf>
    <xf numFmtId="0" fontId="53" fillId="2" borderId="0" xfId="0" applyFont="1" applyFill="1" applyAlignment="1"/>
    <xf numFmtId="0" fontId="53" fillId="2" borderId="0" xfId="0" applyFont="1" applyFill="1" applyAlignment="1">
      <alignment horizontal="center" vertical="center"/>
    </xf>
    <xf numFmtId="0" fontId="53" fillId="2" borderId="0" xfId="0" applyFont="1" applyFill="1" applyAlignment="1">
      <alignment horizontal="center" vertical="center" wrapText="1"/>
    </xf>
    <xf numFmtId="0" fontId="53" fillId="2" borderId="0" xfId="0" applyFont="1" applyFill="1" applyBorder="1" applyAlignment="1">
      <alignment horizontal="center" vertical="center"/>
    </xf>
    <xf numFmtId="0" fontId="52" fillId="0" borderId="0" xfId="0" applyFont="1" applyBorder="1"/>
    <xf numFmtId="0" fontId="54" fillId="0" borderId="0" xfId="0" applyFont="1" applyFill="1" applyAlignment="1" applyProtection="1">
      <alignment horizontal="center"/>
      <protection locked="0"/>
    </xf>
    <xf numFmtId="3" fontId="10" fillId="0" borderId="0" xfId="0" applyNumberFormat="1" applyFont="1" applyAlignment="1">
      <alignment horizontal="center"/>
    </xf>
    <xf numFmtId="3" fontId="10" fillId="0" borderId="0" xfId="0" applyNumberFormat="1" applyFont="1" applyAlignment="1">
      <alignment horizontal="center" vertical="center" wrapText="1"/>
    </xf>
    <xf numFmtId="3" fontId="10" fillId="0" borderId="0" xfId="0" applyNumberFormat="1" applyFont="1" applyAlignment="1">
      <alignment horizontal="center" wrapText="1"/>
    </xf>
    <xf numFmtId="3" fontId="9" fillId="0" borderId="0" xfId="0" applyNumberFormat="1" applyFont="1" applyAlignment="1">
      <alignment horizontal="center"/>
    </xf>
    <xf numFmtId="3" fontId="9" fillId="0" borderId="0" xfId="0" applyNumberFormat="1" applyFont="1" applyAlignment="1">
      <alignment horizontal="center" wrapText="1"/>
    </xf>
    <xf numFmtId="167" fontId="10" fillId="0" borderId="0" xfId="1" applyNumberFormat="1" applyFont="1"/>
    <xf numFmtId="0" fontId="52" fillId="0" borderId="0" xfId="0" applyFont="1" applyAlignment="1">
      <alignment wrapText="1"/>
    </xf>
    <xf numFmtId="0" fontId="52" fillId="0" borderId="0" xfId="0" applyFont="1" applyAlignment="1"/>
    <xf numFmtId="9" fontId="52" fillId="0" borderId="0" xfId="1" applyFont="1"/>
    <xf numFmtId="0" fontId="52" fillId="0" borderId="0" xfId="0" applyFont="1" applyFill="1"/>
    <xf numFmtId="0" fontId="0" fillId="0" borderId="0" xfId="0" applyNumberFormat="1"/>
    <xf numFmtId="0" fontId="59" fillId="0" borderId="0" xfId="0" applyFont="1"/>
    <xf numFmtId="0" fontId="56" fillId="0" borderId="0" xfId="0" applyFont="1"/>
    <xf numFmtId="1" fontId="0" fillId="0" borderId="0" xfId="0" applyNumberFormat="1"/>
    <xf numFmtId="0" fontId="30" fillId="0" borderId="0" xfId="0" applyNumberFormat="1" applyFont="1" applyBorder="1" applyAlignment="1">
      <alignment horizontal="center" vertical="center"/>
    </xf>
    <xf numFmtId="166" fontId="0" fillId="0" borderId="0" xfId="0" applyNumberFormat="1"/>
    <xf numFmtId="167" fontId="0" fillId="0" borderId="0" xfId="1" applyNumberFormat="1" applyFont="1" applyBorder="1"/>
    <xf numFmtId="0" fontId="9" fillId="0" borderId="0" xfId="0" applyFont="1" applyAlignment="1">
      <alignment horizontal="left" wrapText="1"/>
    </xf>
    <xf numFmtId="0" fontId="0" fillId="0" borderId="0" xfId="0" applyFill="1" applyBorder="1" applyAlignment="1"/>
    <xf numFmtId="0" fontId="9" fillId="0" borderId="0" xfId="0" applyFont="1" applyFill="1"/>
    <xf numFmtId="0" fontId="5" fillId="0" borderId="0" xfId="0" applyFont="1"/>
    <xf numFmtId="0" fontId="10" fillId="0" borderId="0" xfId="0" applyFont="1" applyAlignment="1"/>
    <xf numFmtId="0" fontId="33" fillId="0" borderId="0" xfId="0" applyFont="1"/>
    <xf numFmtId="3" fontId="33" fillId="0" borderId="0" xfId="0" applyNumberFormat="1" applyFont="1"/>
    <xf numFmtId="0" fontId="0" fillId="0" borderId="0" xfId="0" applyFont="1"/>
    <xf numFmtId="171" fontId="0" fillId="2" borderId="0" xfId="0" applyNumberFormat="1" applyFont="1" applyFill="1" applyBorder="1" applyAlignment="1" applyProtection="1">
      <alignment horizontal="center"/>
      <protection hidden="1"/>
    </xf>
    <xf numFmtId="0" fontId="10" fillId="0" borderId="0" xfId="0" applyFont="1" applyAlignment="1">
      <alignment horizontal="left" vertical="center" wrapText="1"/>
    </xf>
    <xf numFmtId="0" fontId="46" fillId="2" borderId="0" xfId="0" applyNumberFormat="1" applyFont="1" applyFill="1" applyBorder="1" applyAlignment="1" applyProtection="1">
      <protection hidden="1"/>
    </xf>
    <xf numFmtId="9" fontId="0" fillId="0" borderId="0" xfId="0" applyNumberFormat="1" applyAlignment="1">
      <alignment horizontal="center"/>
    </xf>
    <xf numFmtId="3" fontId="43" fillId="30" borderId="0" xfId="0" applyNumberFormat="1" applyFont="1" applyFill="1"/>
    <xf numFmtId="164" fontId="0" fillId="0" borderId="0" xfId="0" applyNumberFormat="1"/>
    <xf numFmtId="0" fontId="68" fillId="0" borderId="0" xfId="0" applyFont="1"/>
    <xf numFmtId="0" fontId="52" fillId="0" borderId="0" xfId="0" applyFont="1" applyAlignment="1">
      <alignment horizontal="center" vertical="center" wrapText="1"/>
    </xf>
    <xf numFmtId="4" fontId="0" fillId="0" borderId="0" xfId="0" applyNumberFormat="1"/>
    <xf numFmtId="3" fontId="0" fillId="0" borderId="0" xfId="0" quotePrefix="1" applyNumberFormat="1"/>
    <xf numFmtId="3" fontId="25" fillId="16" borderId="0" xfId="0" applyNumberFormat="1" applyFont="1" applyFill="1"/>
    <xf numFmtId="0" fontId="51" fillId="32" borderId="0" xfId="12" applyFill="1"/>
    <xf numFmtId="0" fontId="51" fillId="35" borderId="0" xfId="12" applyFill="1"/>
    <xf numFmtId="0" fontId="0" fillId="35" borderId="0" xfId="0" applyFill="1"/>
    <xf numFmtId="3" fontId="69" fillId="0" borderId="0" xfId="0" applyNumberFormat="1" applyFont="1"/>
    <xf numFmtId="0" fontId="56" fillId="0" borderId="0" xfId="0" applyFont="1" applyAlignment="1">
      <alignment wrapText="1"/>
    </xf>
    <xf numFmtId="0" fontId="70" fillId="0" borderId="0" xfId="0" applyFont="1" applyFill="1"/>
    <xf numFmtId="0" fontId="20" fillId="0" borderId="0" xfId="0" applyFont="1" applyFill="1"/>
    <xf numFmtId="0" fontId="70" fillId="0" borderId="0" xfId="0" applyFont="1" applyFill="1" applyAlignment="1">
      <alignment vertical="center"/>
    </xf>
    <xf numFmtId="0" fontId="70" fillId="0" borderId="35" xfId="0" applyFont="1" applyFill="1" applyBorder="1" applyAlignment="1">
      <alignment horizontal="center" vertical="center" wrapText="1"/>
    </xf>
    <xf numFmtId="0" fontId="20" fillId="0" borderId="47" xfId="0" applyFont="1" applyFill="1" applyBorder="1" applyAlignment="1">
      <alignment vertical="center"/>
    </xf>
    <xf numFmtId="0" fontId="20" fillId="0" borderId="32" xfId="0" applyFont="1" applyFill="1" applyBorder="1" applyAlignment="1">
      <alignment vertical="center"/>
    </xf>
    <xf numFmtId="0" fontId="20" fillId="0" borderId="32" xfId="0" applyFont="1" applyFill="1" applyBorder="1" applyAlignment="1">
      <alignment horizontal="right" vertical="center"/>
    </xf>
    <xf numFmtId="0" fontId="20" fillId="0" borderId="46" xfId="0" applyFont="1" applyFill="1" applyBorder="1" applyAlignment="1">
      <alignment vertical="center"/>
    </xf>
    <xf numFmtId="0" fontId="20" fillId="0" borderId="35" xfId="0" applyFont="1" applyFill="1" applyBorder="1" applyAlignment="1">
      <alignment vertical="center"/>
    </xf>
    <xf numFmtId="0" fontId="20" fillId="0" borderId="35" xfId="0" applyFont="1" applyFill="1" applyBorder="1" applyAlignment="1">
      <alignment horizontal="right" vertical="center"/>
    </xf>
    <xf numFmtId="3" fontId="0" fillId="30" borderId="0" xfId="0" applyNumberFormat="1" applyFill="1"/>
    <xf numFmtId="0" fontId="0" fillId="30" borderId="0" xfId="0" applyFill="1"/>
    <xf numFmtId="0" fontId="68" fillId="0" borderId="0" xfId="0" applyFont="1" applyFill="1"/>
    <xf numFmtId="2" fontId="44" fillId="0" borderId="0" xfId="0" applyNumberFormat="1" applyFont="1" applyFill="1"/>
    <xf numFmtId="0" fontId="68" fillId="0" borderId="0" xfId="0" applyFont="1" applyBorder="1"/>
    <xf numFmtId="3" fontId="69" fillId="0" borderId="0" xfId="0" applyNumberFormat="1" applyFont="1" applyAlignment="1">
      <alignment wrapText="1"/>
    </xf>
    <xf numFmtId="3" fontId="73" fillId="0" borderId="0" xfId="0" applyNumberFormat="1" applyFont="1" applyAlignment="1">
      <alignment wrapText="1"/>
    </xf>
    <xf numFmtId="3" fontId="73" fillId="0" borderId="0" xfId="0" applyNumberFormat="1" applyFont="1"/>
    <xf numFmtId="3" fontId="74" fillId="0" borderId="0" xfId="0" applyNumberFormat="1" applyFont="1" applyAlignment="1">
      <alignment wrapText="1"/>
    </xf>
    <xf numFmtId="3" fontId="74" fillId="0" borderId="0" xfId="0" applyNumberFormat="1" applyFont="1"/>
    <xf numFmtId="3" fontId="2" fillId="0" borderId="0" xfId="0" applyNumberFormat="1" applyFont="1"/>
    <xf numFmtId="3" fontId="2" fillId="0" borderId="0" xfId="0" applyNumberFormat="1" applyFont="1" applyAlignment="1">
      <alignment wrapText="1"/>
    </xf>
    <xf numFmtId="3" fontId="2" fillId="30" borderId="0" xfId="0" applyNumberFormat="1" applyFont="1" applyFill="1"/>
    <xf numFmtId="3" fontId="32" fillId="0" borderId="0" xfId="0" applyNumberFormat="1" applyFont="1" applyAlignment="1">
      <alignment wrapText="1"/>
    </xf>
    <xf numFmtId="167" fontId="69" fillId="0" borderId="0" xfId="1" applyNumberFormat="1" applyFont="1"/>
    <xf numFmtId="167" fontId="73" fillId="0" borderId="0" xfId="1" applyNumberFormat="1" applyFont="1"/>
    <xf numFmtId="167" fontId="74" fillId="0" borderId="0" xfId="1" applyNumberFormat="1" applyFont="1"/>
    <xf numFmtId="0" fontId="60" fillId="0" borderId="0" xfId="0" applyFont="1" applyAlignment="1">
      <alignment wrapText="1"/>
    </xf>
    <xf numFmtId="0" fontId="0" fillId="12" borderId="0" xfId="0" applyFill="1"/>
    <xf numFmtId="172" fontId="0" fillId="0" borderId="0" xfId="11" applyNumberFormat="1" applyFont="1"/>
    <xf numFmtId="0" fontId="2" fillId="0" borderId="0" xfId="0" applyFont="1" applyAlignment="1">
      <alignment vertical="center"/>
    </xf>
    <xf numFmtId="0" fontId="0" fillId="36" borderId="0" xfId="0" applyFill="1"/>
    <xf numFmtId="0" fontId="78" fillId="0" borderId="0" xfId="0" applyFont="1"/>
    <xf numFmtId="0" fontId="80" fillId="0" borderId="0" xfId="4" applyFont="1"/>
    <xf numFmtId="0" fontId="81" fillId="0" borderId="0" xfId="0" applyFont="1"/>
    <xf numFmtId="0" fontId="82" fillId="0" borderId="0" xfId="4" applyFont="1"/>
    <xf numFmtId="0" fontId="83" fillId="0" borderId="0" xfId="4" applyFont="1" applyAlignment="1">
      <alignment horizontal="center" vertical="center" wrapText="1"/>
    </xf>
    <xf numFmtId="0" fontId="84" fillId="0" borderId="0" xfId="4" applyFont="1"/>
    <xf numFmtId="3" fontId="84" fillId="0" borderId="0" xfId="4" applyNumberFormat="1" applyFont="1"/>
    <xf numFmtId="0" fontId="83" fillId="0" borderId="0" xfId="4" applyFont="1"/>
    <xf numFmtId="3" fontId="83" fillId="0" borderId="0" xfId="4" applyNumberFormat="1" applyFont="1"/>
    <xf numFmtId="1" fontId="0" fillId="0" borderId="0" xfId="1" applyNumberFormat="1" applyFont="1"/>
    <xf numFmtId="9" fontId="1" fillId="0" borderId="0" xfId="1" applyFont="1"/>
    <xf numFmtId="0" fontId="1" fillId="0" borderId="0" xfId="0" applyFont="1"/>
    <xf numFmtId="9" fontId="5" fillId="0" borderId="0" xfId="1" applyFont="1"/>
    <xf numFmtId="0" fontId="0" fillId="25" borderId="0" xfId="0" applyFill="1"/>
    <xf numFmtId="0" fontId="51" fillId="25" borderId="0" xfId="12" applyFill="1"/>
    <xf numFmtId="0" fontId="0" fillId="0" borderId="0" xfId="0" applyAlignment="1">
      <alignment vertical="center" wrapText="1"/>
    </xf>
    <xf numFmtId="0" fontId="48" fillId="0" borderId="0" xfId="4" applyFont="1" applyBorder="1" applyAlignment="1">
      <alignment horizontal="left"/>
    </xf>
    <xf numFmtId="3" fontId="48" fillId="0" borderId="0" xfId="11" applyNumberFormat="1" applyFont="1" applyBorder="1" applyAlignment="1">
      <alignment horizontal="center"/>
    </xf>
    <xf numFmtId="164" fontId="48" fillId="0" borderId="0" xfId="11" applyNumberFormat="1" applyFont="1" applyBorder="1" applyAlignment="1">
      <alignment horizontal="center"/>
    </xf>
    <xf numFmtId="3" fontId="47" fillId="0" borderId="0" xfId="11" applyNumberFormat="1" applyFont="1" applyBorder="1" applyAlignment="1">
      <alignment horizontal="center"/>
    </xf>
    <xf numFmtId="0" fontId="9" fillId="0" borderId="10" xfId="4" applyFont="1" applyBorder="1" applyAlignment="1">
      <alignment horizontal="left"/>
    </xf>
    <xf numFmtId="3" fontId="9" fillId="0" borderId="10" xfId="11" applyNumberFormat="1" applyFont="1" applyBorder="1" applyAlignment="1">
      <alignment horizontal="center"/>
    </xf>
    <xf numFmtId="164" fontId="9" fillId="0" borderId="10" xfId="11" applyNumberFormat="1" applyFont="1" applyBorder="1" applyAlignment="1">
      <alignment horizontal="center"/>
    </xf>
    <xf numFmtId="0" fontId="0" fillId="0" borderId="0" xfId="0" applyAlignment="1">
      <alignment horizontal="center" wrapText="1"/>
    </xf>
    <xf numFmtId="0" fontId="89" fillId="0" borderId="0" xfId="0" applyFont="1"/>
    <xf numFmtId="2" fontId="10" fillId="14" borderId="0" xfId="0" applyNumberFormat="1" applyFont="1" applyFill="1"/>
    <xf numFmtId="2" fontId="10" fillId="0" borderId="0" xfId="0" applyNumberFormat="1" applyFont="1" applyAlignment="1">
      <alignment horizontal="center" wrapText="1"/>
    </xf>
    <xf numFmtId="2" fontId="10" fillId="0" borderId="0" xfId="0" applyNumberFormat="1" applyFont="1"/>
    <xf numFmtId="2" fontId="43" fillId="30" borderId="0" xfId="0" applyNumberFormat="1" applyFont="1" applyFill="1"/>
    <xf numFmtId="2" fontId="10" fillId="0" borderId="0" xfId="0" applyNumberFormat="1" applyFont="1" applyAlignment="1">
      <alignment wrapText="1"/>
    </xf>
    <xf numFmtId="0" fontId="0" fillId="0" borderId="0" xfId="0" applyNumberFormat="1" applyBorder="1"/>
    <xf numFmtId="0" fontId="0" fillId="4" borderId="0" xfId="0" applyFill="1" applyBorder="1" applyAlignment="1">
      <alignment wrapText="1"/>
    </xf>
    <xf numFmtId="0" fontId="0" fillId="4" borderId="0" xfId="0" applyFill="1"/>
    <xf numFmtId="0" fontId="56" fillId="0" borderId="0" xfId="0" applyFont="1" applyBorder="1"/>
    <xf numFmtId="0" fontId="68" fillId="2" borderId="0" xfId="0" applyFont="1" applyFill="1" applyProtection="1">
      <protection hidden="1"/>
    </xf>
    <xf numFmtId="0" fontId="0" fillId="0" borderId="0" xfId="0" applyProtection="1">
      <protection hidden="1"/>
    </xf>
    <xf numFmtId="0" fontId="91" fillId="37" borderId="0" xfId="0" applyFont="1" applyFill="1" applyProtection="1">
      <protection hidden="1"/>
    </xf>
    <xf numFmtId="0" fontId="75" fillId="37" borderId="0" xfId="0" applyFont="1" applyFill="1" applyProtection="1">
      <protection hidden="1"/>
    </xf>
    <xf numFmtId="0" fontId="93" fillId="0" borderId="0" xfId="0" applyFont="1" applyProtection="1">
      <protection hidden="1"/>
    </xf>
    <xf numFmtId="0" fontId="95" fillId="2" borderId="0" xfId="0" applyFont="1" applyFill="1" applyAlignment="1" applyProtection="1">
      <alignment horizontal="left" wrapText="1"/>
      <protection hidden="1"/>
    </xf>
    <xf numFmtId="0" fontId="85" fillId="2" borderId="0" xfId="0" applyFont="1" applyFill="1" applyAlignment="1" applyProtection="1">
      <alignment horizontal="left" vertical="center" wrapText="1"/>
      <protection hidden="1"/>
    </xf>
    <xf numFmtId="0" fontId="91" fillId="37" borderId="0" xfId="0" applyFont="1" applyFill="1" applyAlignment="1" applyProtection="1">
      <protection hidden="1"/>
    </xf>
    <xf numFmtId="0" fontId="52" fillId="2" borderId="0" xfId="0" applyFont="1" applyFill="1" applyAlignment="1" applyProtection="1">
      <alignment horizontal="left" vertical="center" wrapText="1"/>
      <protection hidden="1"/>
    </xf>
    <xf numFmtId="0" fontId="68" fillId="2" borderId="0" xfId="0" applyFont="1" applyFill="1" applyAlignment="1" applyProtection="1">
      <alignment horizontal="left" vertical="center" wrapText="1"/>
      <protection hidden="1"/>
    </xf>
    <xf numFmtId="0" fontId="97" fillId="2" borderId="0" xfId="0" applyFont="1" applyFill="1" applyAlignment="1" applyProtection="1">
      <alignment horizontal="right" vertical="center"/>
      <protection hidden="1"/>
    </xf>
    <xf numFmtId="0" fontId="55" fillId="2" borderId="0" xfId="0" applyFont="1" applyFill="1" applyAlignment="1" applyProtection="1">
      <alignment horizontal="left"/>
      <protection hidden="1"/>
    </xf>
    <xf numFmtId="0" fontId="91" fillId="2" borderId="0" xfId="0" applyFont="1" applyFill="1" applyAlignment="1" applyProtection="1">
      <alignment horizontal="left"/>
      <protection hidden="1"/>
    </xf>
    <xf numFmtId="0" fontId="92" fillId="2" borderId="0" xfId="0" applyFont="1" applyFill="1" applyAlignment="1" applyProtection="1">
      <alignment horizontal="right"/>
      <protection hidden="1"/>
    </xf>
    <xf numFmtId="0" fontId="96" fillId="0" borderId="0" xfId="0" applyFont="1" applyAlignment="1" applyProtection="1">
      <alignment horizontal="left" vertical="center" readingOrder="1"/>
      <protection hidden="1"/>
    </xf>
    <xf numFmtId="0" fontId="52" fillId="2" borderId="0" xfId="0" applyFont="1" applyFill="1" applyProtection="1">
      <protection hidden="1"/>
    </xf>
    <xf numFmtId="0" fontId="68" fillId="0" borderId="0" xfId="0" applyFont="1" applyProtection="1">
      <protection hidden="1"/>
    </xf>
    <xf numFmtId="0" fontId="99" fillId="0" borderId="0" xfId="0" applyFont="1" applyAlignment="1"/>
    <xf numFmtId="0" fontId="52" fillId="0" borderId="0" xfId="0" applyFont="1" applyProtection="1">
      <protection hidden="1"/>
    </xf>
    <xf numFmtId="0" fontId="52" fillId="0" borderId="0" xfId="0" applyFont="1" applyAlignment="1" applyProtection="1">
      <alignment vertical="top" wrapText="1"/>
      <protection hidden="1"/>
    </xf>
    <xf numFmtId="0" fontId="52" fillId="2" borderId="0" xfId="0" applyFont="1" applyFill="1" applyAlignment="1" applyProtection="1">
      <alignment vertical="center"/>
      <protection hidden="1"/>
    </xf>
    <xf numFmtId="0" fontId="56" fillId="0" borderId="0" xfId="0" applyFont="1" applyFill="1"/>
    <xf numFmtId="3" fontId="35" fillId="0" borderId="0" xfId="0" quotePrefix="1" applyNumberFormat="1" applyFont="1"/>
    <xf numFmtId="167" fontId="35" fillId="0" borderId="0" xfId="1" applyNumberFormat="1" applyFont="1"/>
    <xf numFmtId="0" fontId="103" fillId="2" borderId="0" xfId="0" applyFont="1" applyFill="1" applyProtection="1">
      <protection hidden="1"/>
    </xf>
    <xf numFmtId="0" fontId="103" fillId="2" borderId="0" xfId="0" applyFont="1" applyFill="1" applyAlignment="1" applyProtection="1">
      <alignment vertical="center"/>
      <protection hidden="1"/>
    </xf>
    <xf numFmtId="0" fontId="68" fillId="0" borderId="0" xfId="0" applyFont="1" applyAlignment="1" applyProtection="1">
      <alignment vertical="center"/>
      <protection hidden="1"/>
    </xf>
    <xf numFmtId="0" fontId="0" fillId="0" borderId="0" xfId="0" applyAlignment="1" applyProtection="1">
      <alignment vertical="center"/>
      <protection hidden="1"/>
    </xf>
    <xf numFmtId="0" fontId="0" fillId="0" borderId="0" xfId="0" applyAlignment="1">
      <alignment horizontal="center"/>
    </xf>
    <xf numFmtId="167" fontId="12" fillId="0" borderId="0" xfId="1" applyNumberFormat="1" applyFont="1"/>
    <xf numFmtId="0" fontId="11" fillId="0" borderId="0" xfId="0" applyFont="1"/>
    <xf numFmtId="0" fontId="51" fillId="24" borderId="0" xfId="12" applyFill="1"/>
    <xf numFmtId="9" fontId="41" fillId="0" borderId="0" xfId="1" applyFont="1"/>
    <xf numFmtId="0" fontId="21" fillId="0" borderId="0" xfId="14" applyFont="1" applyFill="1" applyBorder="1" applyAlignment="1">
      <alignment wrapText="1"/>
    </xf>
    <xf numFmtId="3" fontId="41" fillId="0" borderId="0" xfId="0" quotePrefix="1" applyNumberFormat="1" applyFont="1"/>
    <xf numFmtId="3" fontId="41" fillId="0" borderId="0" xfId="0" applyNumberFormat="1" applyFont="1"/>
    <xf numFmtId="0" fontId="0" fillId="24" borderId="0" xfId="0" applyFill="1" applyAlignment="1"/>
    <xf numFmtId="0" fontId="21" fillId="0" borderId="11" xfId="13" applyFont="1" applyFill="1" applyBorder="1" applyAlignment="1"/>
    <xf numFmtId="0" fontId="21" fillId="0" borderId="11" xfId="14" applyFont="1" applyFill="1" applyBorder="1" applyAlignment="1"/>
    <xf numFmtId="0" fontId="0" fillId="24" borderId="0" xfId="0" applyFill="1" applyBorder="1" applyAlignment="1"/>
    <xf numFmtId="0" fontId="21" fillId="0" borderId="11" xfId="13" applyFont="1" applyFill="1" applyBorder="1" applyAlignment="1">
      <alignment horizontal="right"/>
    </xf>
    <xf numFmtId="9" fontId="0" fillId="0" borderId="0" xfId="1" applyFont="1" applyBorder="1" applyAlignment="1"/>
    <xf numFmtId="0" fontId="21" fillId="15" borderId="0" xfId="9" applyFont="1" applyFill="1" applyBorder="1" applyAlignment="1">
      <alignment horizontal="center"/>
    </xf>
    <xf numFmtId="0" fontId="21" fillId="0" borderId="0" xfId="10" applyFont="1" applyFill="1" applyBorder="1" applyAlignment="1">
      <alignment horizontal="center"/>
    </xf>
    <xf numFmtId="0" fontId="21" fillId="0" borderId="0" xfId="10" applyFont="1" applyFill="1" applyBorder="1" applyAlignment="1"/>
    <xf numFmtId="0" fontId="21" fillId="0" borderId="0" xfId="13" applyFont="1" applyFill="1" applyBorder="1" applyAlignment="1"/>
    <xf numFmtId="0" fontId="21" fillId="0" borderId="0" xfId="14" applyFont="1" applyFill="1" applyBorder="1" applyAlignment="1"/>
    <xf numFmtId="0" fontId="21" fillId="0" borderId="0" xfId="14" applyFont="1" applyFill="1" applyBorder="1" applyAlignment="1">
      <alignment horizontal="right"/>
    </xf>
    <xf numFmtId="9" fontId="0" fillId="0" borderId="0" xfId="1" applyFont="1" applyAlignment="1"/>
    <xf numFmtId="0" fontId="21" fillId="0" borderId="0" xfId="3" quotePrefix="1" applyFont="1" applyFill="1" applyBorder="1" applyAlignment="1">
      <alignment horizontal="center"/>
    </xf>
    <xf numFmtId="0" fontId="21" fillId="15" borderId="0" xfId="3" quotePrefix="1" applyFont="1" applyFill="1" applyBorder="1" applyAlignment="1">
      <alignment horizontal="center"/>
    </xf>
    <xf numFmtId="0" fontId="21" fillId="0" borderId="11" xfId="3" applyFont="1" applyFill="1" applyBorder="1" applyAlignment="1"/>
    <xf numFmtId="167" fontId="0" fillId="0" borderId="0" xfId="1" applyNumberFormat="1" applyFont="1" applyAlignment="1"/>
    <xf numFmtId="0" fontId="25" fillId="0" borderId="0" xfId="0" applyFont="1" applyFill="1" applyBorder="1"/>
    <xf numFmtId="164" fontId="5" fillId="0" borderId="19" xfId="11" applyNumberFormat="1" applyFont="1" applyBorder="1" applyAlignment="1">
      <alignment horizontal="center"/>
    </xf>
    <xf numFmtId="3" fontId="5" fillId="0" borderId="19" xfId="11" applyNumberFormat="1" applyFont="1" applyBorder="1" applyAlignment="1">
      <alignment horizontal="center"/>
    </xf>
    <xf numFmtId="0" fontId="52" fillId="2" borderId="0" xfId="0" applyFont="1" applyFill="1" applyAlignment="1" applyProtection="1">
      <alignment horizontal="left" vertical="center"/>
      <protection hidden="1"/>
    </xf>
    <xf numFmtId="0" fontId="0" fillId="0" borderId="0" xfId="0" applyAlignment="1" applyProtection="1">
      <alignment horizontal="center"/>
      <protection hidden="1"/>
    </xf>
    <xf numFmtId="0" fontId="52" fillId="0" borderId="0" xfId="0" applyFont="1" applyAlignment="1">
      <alignment vertical="center"/>
    </xf>
    <xf numFmtId="0" fontId="92" fillId="37" borderId="0" xfId="0" applyFont="1" applyFill="1" applyAlignment="1" applyProtection="1">
      <protection hidden="1"/>
    </xf>
    <xf numFmtId="0" fontId="52" fillId="0" borderId="0" xfId="0" applyFont="1" applyAlignment="1" applyProtection="1">
      <alignment vertical="top"/>
      <protection hidden="1"/>
    </xf>
    <xf numFmtId="3" fontId="51" fillId="38" borderId="0" xfId="12" applyNumberFormat="1" applyFill="1"/>
    <xf numFmtId="3" fontId="37" fillId="38" borderId="0" xfId="0" applyNumberFormat="1" applyFont="1" applyFill="1"/>
    <xf numFmtId="0" fontId="55" fillId="2" borderId="0" xfId="0" applyFont="1" applyFill="1" applyAlignment="1" applyProtection="1">
      <alignment vertical="center"/>
      <protection hidden="1"/>
    </xf>
    <xf numFmtId="0" fontId="55" fillId="2" borderId="0" xfId="0" quotePrefix="1" applyFont="1" applyFill="1" applyAlignment="1" applyProtection="1">
      <alignment vertical="center"/>
      <protection hidden="1"/>
    </xf>
    <xf numFmtId="0" fontId="0" fillId="0" borderId="0" xfId="0" applyAlignment="1">
      <alignment horizontal="left" vertical="center"/>
    </xf>
    <xf numFmtId="0" fontId="0" fillId="0" borderId="0" xfId="0" applyAlignment="1" applyProtection="1">
      <protection hidden="1"/>
    </xf>
    <xf numFmtId="0" fontId="91" fillId="37" borderId="0" xfId="0" applyFont="1" applyFill="1" applyAlignment="1" applyProtection="1">
      <alignment vertical="center"/>
      <protection hidden="1"/>
    </xf>
    <xf numFmtId="0" fontId="124" fillId="0" borderId="0" xfId="0" applyFont="1"/>
    <xf numFmtId="0" fontId="68" fillId="2" borderId="0" xfId="0" applyFont="1" applyFill="1" applyBorder="1" applyProtection="1">
      <protection hidden="1"/>
    </xf>
    <xf numFmtId="0" fontId="0" fillId="0" borderId="0" xfId="0" applyBorder="1" applyAlignment="1">
      <alignment vertical="top" wrapText="1"/>
    </xf>
    <xf numFmtId="0" fontId="8" fillId="0" borderId="0" xfId="0" applyFont="1"/>
    <xf numFmtId="49" fontId="14" fillId="39" borderId="9" xfId="0" applyNumberFormat="1" applyFont="1" applyFill="1" applyBorder="1" applyAlignment="1">
      <alignment horizontal="center" vertical="center" wrapText="1"/>
    </xf>
    <xf numFmtId="9" fontId="9" fillId="0" borderId="0" xfId="1" applyFont="1"/>
    <xf numFmtId="0" fontId="52" fillId="0" borderId="0" xfId="0" applyFont="1" applyAlignment="1">
      <alignment horizontal="left" vertical="center"/>
    </xf>
    <xf numFmtId="10" fontId="0" fillId="0" borderId="0" xfId="1" applyNumberFormat="1" applyFont="1" applyBorder="1"/>
    <xf numFmtId="0" fontId="52" fillId="0" borderId="0" xfId="0" applyFont="1" applyBorder="1" applyProtection="1">
      <protection hidden="1"/>
    </xf>
    <xf numFmtId="0" fontId="52" fillId="2" borderId="0" xfId="0" applyFont="1" applyFill="1" applyBorder="1" applyProtection="1">
      <protection hidden="1"/>
    </xf>
    <xf numFmtId="0" fontId="52" fillId="0" borderId="0" xfId="0" applyFont="1" applyBorder="1" applyAlignment="1" applyProtection="1">
      <alignment vertical="center" wrapText="1"/>
      <protection hidden="1"/>
    </xf>
    <xf numFmtId="0" fontId="52" fillId="0" borderId="0" xfId="0" applyFont="1" applyAlignment="1" applyProtection="1">
      <alignment horizontal="left" indent="2"/>
      <protection hidden="1"/>
    </xf>
    <xf numFmtId="0" fontId="127" fillId="0" borderId="0" xfId="0" applyFont="1" applyBorder="1"/>
    <xf numFmtId="0" fontId="1" fillId="0" borderId="0" xfId="0" applyFont="1" applyBorder="1" applyAlignment="1">
      <alignment wrapText="1"/>
    </xf>
    <xf numFmtId="0" fontId="100" fillId="0" borderId="0" xfId="0" applyFont="1" applyFill="1"/>
    <xf numFmtId="0" fontId="52" fillId="2" borderId="0" xfId="0" applyFont="1" applyFill="1" applyAlignment="1" applyProtection="1">
      <alignment horizontal="justify" vertical="center" wrapText="1"/>
      <protection hidden="1"/>
    </xf>
    <xf numFmtId="0" fontId="52" fillId="2" borderId="0" xfId="0" applyFont="1" applyFill="1" applyAlignment="1" applyProtection="1">
      <alignment horizontal="left" vertical="center" wrapText="1"/>
      <protection hidden="1"/>
    </xf>
    <xf numFmtId="0" fontId="91" fillId="37" borderId="0" xfId="0" applyFont="1" applyFill="1" applyAlignment="1" applyProtection="1">
      <alignment horizontal="left"/>
      <protection hidden="1"/>
    </xf>
    <xf numFmtId="0" fontId="92" fillId="37" borderId="0" xfId="0" applyFont="1" applyFill="1" applyAlignment="1" applyProtection="1">
      <alignment horizontal="right"/>
      <protection hidden="1"/>
    </xf>
    <xf numFmtId="0" fontId="52" fillId="0" borderId="0" xfId="0" applyFont="1" applyAlignment="1" applyProtection="1">
      <alignment horizontal="left" vertical="center" wrapText="1"/>
      <protection hidden="1"/>
    </xf>
    <xf numFmtId="0" fontId="92" fillId="37" borderId="0" xfId="0" applyFont="1" applyFill="1" applyAlignment="1" applyProtection="1">
      <alignment horizontal="right" vertical="center"/>
      <protection hidden="1"/>
    </xf>
    <xf numFmtId="0" fontId="92" fillId="37" borderId="0" xfId="0" applyFont="1" applyFill="1" applyAlignment="1" applyProtection="1">
      <alignment horizontal="center"/>
      <protection hidden="1"/>
    </xf>
    <xf numFmtId="0" fontId="52" fillId="0" borderId="0" xfId="0" applyFont="1" applyAlignment="1" applyProtection="1">
      <alignment horizontal="left" vertical="top" wrapText="1"/>
      <protection hidden="1"/>
    </xf>
    <xf numFmtId="0" fontId="56" fillId="0" borderId="24" xfId="0" applyFont="1" applyBorder="1" applyAlignment="1" applyProtection="1">
      <protection hidden="1"/>
    </xf>
    <xf numFmtId="0" fontId="0" fillId="0" borderId="25" xfId="0" applyBorder="1" applyProtection="1">
      <protection hidden="1"/>
    </xf>
    <xf numFmtId="0" fontId="46" fillId="0" borderId="0" xfId="0" applyFont="1" applyProtection="1">
      <protection hidden="1"/>
    </xf>
    <xf numFmtId="167" fontId="52" fillId="0" borderId="0" xfId="1" applyNumberFormat="1" applyFont="1" applyAlignment="1" applyProtection="1">
      <protection hidden="1"/>
    </xf>
    <xf numFmtId="0" fontId="4" fillId="0" borderId="0" xfId="0" applyFont="1" applyFill="1" applyAlignment="1" applyProtection="1">
      <alignment horizontal="center" vertical="center"/>
      <protection hidden="1"/>
    </xf>
    <xf numFmtId="0" fontId="86" fillId="0" borderId="0" xfId="0" applyFont="1" applyFill="1" applyAlignment="1" applyProtection="1">
      <alignment horizontal="center"/>
      <protection hidden="1"/>
    </xf>
    <xf numFmtId="0" fontId="56" fillId="0" borderId="0" xfId="0" applyFont="1" applyProtection="1">
      <protection hidden="1"/>
    </xf>
    <xf numFmtId="9" fontId="56" fillId="0" borderId="0" xfId="0" applyNumberFormat="1" applyFont="1" applyProtection="1">
      <protection hidden="1"/>
    </xf>
    <xf numFmtId="0" fontId="63" fillId="0" borderId="0" xfId="0" applyFont="1" applyProtection="1">
      <protection hidden="1"/>
    </xf>
    <xf numFmtId="0" fontId="63" fillId="2" borderId="0" xfId="12" applyFont="1" applyFill="1" applyAlignment="1" applyProtection="1">
      <protection hidden="1"/>
    </xf>
    <xf numFmtId="0" fontId="55" fillId="0" borderId="0" xfId="0" applyFont="1" applyProtection="1">
      <protection hidden="1"/>
    </xf>
    <xf numFmtId="0" fontId="63" fillId="0" borderId="0" xfId="12" applyFont="1" applyProtection="1">
      <protection hidden="1"/>
    </xf>
    <xf numFmtId="0" fontId="88" fillId="2" borderId="0" xfId="12" applyFont="1" applyFill="1" applyProtection="1">
      <protection hidden="1"/>
    </xf>
    <xf numFmtId="0" fontId="65" fillId="2" borderId="0" xfId="0" applyFont="1" applyFill="1" applyProtection="1">
      <protection hidden="1"/>
    </xf>
    <xf numFmtId="0" fontId="50" fillId="0" borderId="0" xfId="0" applyFont="1" applyAlignment="1" applyProtection="1">
      <alignment horizontal="left" vertical="center"/>
      <protection hidden="1"/>
    </xf>
    <xf numFmtId="0" fontId="50" fillId="0" borderId="0" xfId="0" applyFont="1" applyProtection="1">
      <protection hidden="1"/>
    </xf>
    <xf numFmtId="49" fontId="87" fillId="2" borderId="0" xfId="0" applyNumberFormat="1" applyFont="1" applyFill="1" applyAlignment="1" applyProtection="1">
      <alignment horizontal="left" vertical="center"/>
      <protection hidden="1"/>
    </xf>
    <xf numFmtId="3" fontId="56" fillId="0" borderId="0" xfId="0" applyNumberFormat="1" applyFont="1" applyProtection="1">
      <protection hidden="1"/>
    </xf>
    <xf numFmtId="0" fontId="58" fillId="0" borderId="0" xfId="0" applyFont="1" applyFill="1" applyAlignment="1" applyProtection="1">
      <alignment horizontal="center" vertical="center"/>
      <protection hidden="1"/>
    </xf>
    <xf numFmtId="0" fontId="54" fillId="0" borderId="0" xfId="0" applyFont="1" applyFill="1" applyAlignment="1" applyProtection="1">
      <alignment horizontal="center"/>
      <protection hidden="1"/>
    </xf>
    <xf numFmtId="0" fontId="52" fillId="0" borderId="25" xfId="0" applyFont="1" applyBorder="1" applyProtection="1">
      <protection hidden="1"/>
    </xf>
    <xf numFmtId="0" fontId="54" fillId="0" borderId="0" xfId="0" applyFont="1" applyProtection="1">
      <protection hidden="1"/>
    </xf>
    <xf numFmtId="0" fontId="51" fillId="0" borderId="0" xfId="12" applyProtection="1">
      <protection hidden="1"/>
    </xf>
    <xf numFmtId="0" fontId="52" fillId="0" borderId="0" xfId="0" applyFont="1" applyAlignment="1" applyProtection="1">
      <alignment wrapText="1"/>
      <protection hidden="1"/>
    </xf>
    <xf numFmtId="0" fontId="52" fillId="0" borderId="0" xfId="0" applyFont="1" applyFill="1" applyAlignment="1" applyProtection="1">
      <alignment horizontal="left"/>
      <protection hidden="1"/>
    </xf>
    <xf numFmtId="0" fontId="52" fillId="0" borderId="0" xfId="0" applyFont="1" applyFill="1" applyProtection="1">
      <protection hidden="1"/>
    </xf>
    <xf numFmtId="0" fontId="52" fillId="18" borderId="0" xfId="0" applyFont="1" applyFill="1" applyAlignment="1" applyProtection="1">
      <alignment horizontal="left"/>
      <protection hidden="1"/>
    </xf>
    <xf numFmtId="0" fontId="52" fillId="0" borderId="0" xfId="0" applyFont="1" applyAlignment="1" applyProtection="1">
      <protection hidden="1"/>
    </xf>
    <xf numFmtId="0" fontId="59" fillId="0" borderId="0" xfId="0" applyFont="1" applyFill="1" applyProtection="1">
      <protection hidden="1"/>
    </xf>
    <xf numFmtId="3" fontId="59" fillId="0" borderId="0" xfId="0" applyNumberFormat="1" applyFont="1" applyFill="1" applyAlignment="1" applyProtection="1">
      <protection hidden="1"/>
    </xf>
    <xf numFmtId="3" fontId="52" fillId="0" borderId="0" xfId="0" applyNumberFormat="1" applyFont="1" applyAlignment="1" applyProtection="1">
      <protection hidden="1"/>
    </xf>
    <xf numFmtId="167" fontId="59" fillId="0" borderId="0" xfId="1" applyNumberFormat="1" applyFont="1" applyFill="1" applyProtection="1">
      <protection hidden="1"/>
    </xf>
    <xf numFmtId="9" fontId="52" fillId="0" borderId="0" xfId="1" applyFont="1" applyProtection="1">
      <protection hidden="1"/>
    </xf>
    <xf numFmtId="167" fontId="59" fillId="0" borderId="0" xfId="1" applyNumberFormat="1" applyFont="1" applyFill="1" applyAlignment="1" applyProtection="1">
      <protection hidden="1"/>
    </xf>
    <xf numFmtId="0" fontId="54" fillId="2" borderId="0" xfId="0" applyFont="1" applyFill="1" applyProtection="1">
      <protection hidden="1"/>
    </xf>
    <xf numFmtId="0" fontId="59" fillId="0" borderId="0" xfId="0" applyFont="1" applyProtection="1">
      <protection hidden="1"/>
    </xf>
    <xf numFmtId="0" fontId="53" fillId="0" borderId="0" xfId="0" applyFont="1" applyFill="1" applyBorder="1" applyAlignment="1" applyProtection="1">
      <alignment horizontal="right" vertical="center" wrapText="1"/>
      <protection hidden="1"/>
    </xf>
    <xf numFmtId="0" fontId="53" fillId="0" borderId="0" xfId="0" applyFont="1" applyFill="1" applyBorder="1" applyAlignment="1" applyProtection="1">
      <alignment horizontal="right" vertical="center"/>
      <protection hidden="1"/>
    </xf>
    <xf numFmtId="0" fontId="53" fillId="2" borderId="0" xfId="0" applyFont="1" applyFill="1" applyAlignment="1" applyProtection="1">
      <alignment vertical="center"/>
      <protection hidden="1"/>
    </xf>
    <xf numFmtId="0" fontId="53" fillId="2" borderId="0" xfId="0" applyFont="1" applyFill="1" applyAlignment="1" applyProtection="1">
      <protection hidden="1"/>
    </xf>
    <xf numFmtId="0" fontId="53" fillId="2" borderId="0" xfId="0" applyFont="1" applyFill="1" applyAlignment="1" applyProtection="1">
      <alignment horizontal="center" vertical="center"/>
      <protection hidden="1"/>
    </xf>
    <xf numFmtId="0" fontId="53" fillId="2" borderId="0" xfId="0" applyFont="1" applyFill="1" applyAlignment="1" applyProtection="1">
      <alignment horizontal="center" vertical="center" wrapText="1"/>
      <protection hidden="1"/>
    </xf>
    <xf numFmtId="0" fontId="53" fillId="2" borderId="0" xfId="0" applyFont="1" applyFill="1" applyBorder="1" applyAlignment="1" applyProtection="1">
      <alignment horizontal="center" vertical="center"/>
      <protection hidden="1"/>
    </xf>
    <xf numFmtId="0" fontId="65" fillId="0" borderId="0" xfId="0" applyFont="1" applyAlignment="1" applyProtection="1">
      <alignment horizontal="left" vertical="center"/>
      <protection hidden="1"/>
    </xf>
    <xf numFmtId="0" fontId="5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123" fillId="0" borderId="0" xfId="12" applyFont="1" applyProtection="1">
      <protection hidden="1"/>
    </xf>
    <xf numFmtId="0" fontId="88" fillId="0" borderId="0" xfId="12" applyFont="1" applyProtection="1">
      <protection hidden="1"/>
    </xf>
    <xf numFmtId="0" fontId="79" fillId="0" borderId="0" xfId="0" applyFont="1" applyProtection="1">
      <protection hidden="1"/>
    </xf>
    <xf numFmtId="0" fontId="62" fillId="0" borderId="0" xfId="0" applyFont="1" applyFill="1" applyBorder="1" applyAlignment="1" applyProtection="1">
      <alignment horizontal="left"/>
      <protection hidden="1"/>
    </xf>
    <xf numFmtId="0" fontId="30" fillId="0" borderId="0" xfId="0" applyNumberFormat="1" applyFont="1" applyBorder="1" applyAlignment="1" applyProtection="1">
      <alignment horizontal="center" vertical="center"/>
      <protection hidden="1"/>
    </xf>
    <xf numFmtId="0" fontId="0" fillId="0" borderId="49" xfId="0" applyBorder="1" applyProtection="1">
      <protection hidden="1"/>
    </xf>
    <xf numFmtId="0" fontId="56" fillId="0" borderId="55" xfId="0" applyFont="1" applyBorder="1" applyProtection="1">
      <protection hidden="1"/>
    </xf>
    <xf numFmtId="0" fontId="56" fillId="0" borderId="50" xfId="0" applyFont="1" applyBorder="1" applyProtection="1">
      <protection hidden="1"/>
    </xf>
    <xf numFmtId="0" fontId="0" fillId="0" borderId="51" xfId="0" applyBorder="1" applyProtection="1">
      <protection hidden="1"/>
    </xf>
    <xf numFmtId="0" fontId="56" fillId="0" borderId="56" xfId="0" applyFont="1" applyBorder="1" applyProtection="1">
      <protection hidden="1"/>
    </xf>
    <xf numFmtId="0" fontId="56" fillId="0" borderId="52" xfId="0" applyFont="1" applyBorder="1" applyProtection="1">
      <protection hidden="1"/>
    </xf>
    <xf numFmtId="0" fontId="63" fillId="0" borderId="51" xfId="0" applyFont="1" applyFill="1" applyBorder="1" applyProtection="1">
      <protection hidden="1"/>
    </xf>
    <xf numFmtId="0" fontId="63" fillId="0" borderId="52" xfId="0" quotePrefix="1" applyFont="1" applyFill="1" applyBorder="1" applyAlignment="1" applyProtection="1">
      <alignment horizontal="right"/>
      <protection hidden="1"/>
    </xf>
    <xf numFmtId="0" fontId="63" fillId="0" borderId="23" xfId="0" applyFont="1" applyFill="1" applyBorder="1" applyProtection="1">
      <protection hidden="1"/>
    </xf>
    <xf numFmtId="0" fontId="63" fillId="0" borderId="25" xfId="0" applyFont="1" applyFill="1" applyBorder="1" applyAlignment="1" applyProtection="1">
      <alignment horizontal="right"/>
      <protection hidden="1"/>
    </xf>
    <xf numFmtId="0" fontId="63" fillId="0" borderId="25" xfId="0" quotePrefix="1" applyFont="1" applyFill="1" applyBorder="1" applyAlignment="1" applyProtection="1">
      <alignment horizontal="right"/>
      <protection hidden="1"/>
    </xf>
    <xf numFmtId="0" fontId="65" fillId="0" borderId="0" xfId="0" applyFont="1" applyFill="1" applyAlignment="1" applyProtection="1">
      <alignment horizontal="center"/>
      <protection hidden="1"/>
    </xf>
    <xf numFmtId="0" fontId="124" fillId="0" borderId="0" xfId="0" applyFont="1" applyProtection="1">
      <protection hidden="1"/>
    </xf>
    <xf numFmtId="167" fontId="56" fillId="0" borderId="0" xfId="1" applyNumberFormat="1" applyFont="1" applyAlignment="1" applyProtection="1">
      <protection hidden="1"/>
    </xf>
    <xf numFmtId="0" fontId="57" fillId="0" borderId="0" xfId="0" applyFont="1" applyAlignment="1" applyProtection="1">
      <alignment vertical="top"/>
      <protection hidden="1"/>
    </xf>
    <xf numFmtId="0" fontId="56" fillId="23" borderId="0" xfId="0" applyFont="1" applyFill="1" applyProtection="1">
      <protection hidden="1"/>
    </xf>
    <xf numFmtId="0" fontId="89" fillId="0" borderId="0" xfId="0" applyFont="1" applyProtection="1">
      <protection hidden="1"/>
    </xf>
    <xf numFmtId="0" fontId="87" fillId="0" borderId="0" xfId="0" applyFont="1" applyProtection="1">
      <protection hidden="1"/>
    </xf>
    <xf numFmtId="0" fontId="65" fillId="0" borderId="0" xfId="0" applyFont="1" applyProtection="1">
      <protection hidden="1"/>
    </xf>
    <xf numFmtId="0" fontId="46" fillId="0" borderId="0" xfId="0" applyFont="1" applyFill="1" applyBorder="1" applyAlignment="1" applyProtection="1">
      <protection hidden="1"/>
    </xf>
    <xf numFmtId="0" fontId="46" fillId="0" borderId="0" xfId="0" applyFont="1" applyFill="1" applyProtection="1">
      <protection hidden="1"/>
    </xf>
    <xf numFmtId="9" fontId="60" fillId="23" borderId="0" xfId="1" applyNumberFormat="1" applyFont="1" applyFill="1" applyAlignment="1" applyProtection="1">
      <alignment vertical="top"/>
      <protection hidden="1"/>
    </xf>
    <xf numFmtId="0" fontId="0" fillId="0" borderId="0" xfId="0" applyFill="1" applyProtection="1">
      <protection hidden="1"/>
    </xf>
    <xf numFmtId="0" fontId="0" fillId="0" borderId="0" xfId="0" applyFill="1" applyBorder="1" applyAlignment="1" applyProtection="1">
      <protection hidden="1"/>
    </xf>
    <xf numFmtId="9" fontId="60" fillId="23" borderId="0" xfId="1" applyNumberFormat="1" applyFont="1" applyFill="1" applyAlignment="1" applyProtection="1">
      <protection hidden="1"/>
    </xf>
    <xf numFmtId="167" fontId="60" fillId="23" borderId="0" xfId="1" applyNumberFormat="1" applyFont="1" applyFill="1" applyAlignment="1" applyProtection="1">
      <alignment vertical="top"/>
      <protection hidden="1"/>
    </xf>
    <xf numFmtId="167" fontId="60" fillId="23" borderId="0" xfId="1" applyNumberFormat="1" applyFont="1" applyFill="1" applyAlignment="1" applyProtection="1">
      <protection hidden="1"/>
    </xf>
    <xf numFmtId="0" fontId="123" fillId="0" borderId="0" xfId="12" applyFont="1" applyAlignment="1" applyProtection="1">
      <alignment horizontal="left" vertical="center"/>
      <protection hidden="1"/>
    </xf>
    <xf numFmtId="0" fontId="51" fillId="0" borderId="0" xfId="12" applyAlignment="1" applyProtection="1">
      <alignment horizontal="left" vertical="center"/>
      <protection hidden="1"/>
    </xf>
    <xf numFmtId="0" fontId="30" fillId="0" borderId="0" xfId="0" applyFont="1" applyAlignment="1" applyProtection="1">
      <protection hidden="1"/>
    </xf>
    <xf numFmtId="0" fontId="5" fillId="0" borderId="0" xfId="0" applyFont="1" applyProtection="1">
      <protection hidden="1"/>
    </xf>
    <xf numFmtId="0" fontId="56" fillId="0" borderId="22" xfId="0" applyFont="1" applyBorder="1" applyProtection="1">
      <protection hidden="1"/>
    </xf>
    <xf numFmtId="0" fontId="56" fillId="0" borderId="23" xfId="0" applyFont="1" applyBorder="1" applyProtection="1">
      <protection hidden="1"/>
    </xf>
    <xf numFmtId="0" fontId="56" fillId="0" borderId="24" xfId="0" applyFont="1" applyBorder="1" applyProtection="1">
      <protection hidden="1"/>
    </xf>
    <xf numFmtId="0" fontId="56" fillId="0" borderId="25" xfId="0" applyFont="1" applyBorder="1" applyProtection="1">
      <protection hidden="1"/>
    </xf>
    <xf numFmtId="0" fontId="56" fillId="0" borderId="22" xfId="0" applyFont="1" applyBorder="1" applyAlignment="1" applyProtection="1">
      <alignment horizontal="center"/>
      <protection hidden="1"/>
    </xf>
    <xf numFmtId="0" fontId="77" fillId="0" borderId="70" xfId="0" applyFont="1" applyFill="1" applyBorder="1" applyAlignment="1" applyProtection="1">
      <alignment horizontal="left"/>
      <protection hidden="1"/>
    </xf>
    <xf numFmtId="0" fontId="77" fillId="0" borderId="71" xfId="0" applyFont="1" applyFill="1" applyBorder="1" applyAlignment="1" applyProtection="1">
      <alignment horizontal="left"/>
      <protection hidden="1"/>
    </xf>
    <xf numFmtId="0" fontId="77" fillId="0" borderId="72" xfId="0" applyFont="1" applyFill="1" applyBorder="1" applyAlignment="1" applyProtection="1">
      <alignment horizontal="left"/>
      <protection hidden="1"/>
    </xf>
    <xf numFmtId="0" fontId="0" fillId="0" borderId="0" xfId="0" applyFont="1" applyProtection="1">
      <protection hidden="1"/>
    </xf>
    <xf numFmtId="0" fontId="0" fillId="0" borderId="28" xfId="0" applyBorder="1" applyProtection="1">
      <protection hidden="1"/>
    </xf>
    <xf numFmtId="0" fontId="0" fillId="0" borderId="29" xfId="0" applyBorder="1" applyProtection="1">
      <protection hidden="1"/>
    </xf>
    <xf numFmtId="0" fontId="0" fillId="0" borderId="30" xfId="0" applyBorder="1" applyProtection="1">
      <protection hidden="1"/>
    </xf>
    <xf numFmtId="0" fontId="0" fillId="2" borderId="31" xfId="0" applyFont="1" applyFill="1" applyBorder="1" applyProtection="1">
      <protection hidden="1"/>
    </xf>
    <xf numFmtId="0" fontId="0" fillId="2" borderId="0" xfId="0" applyFont="1" applyFill="1" applyBorder="1" applyProtection="1">
      <protection hidden="1"/>
    </xf>
    <xf numFmtId="0" fontId="67" fillId="2" borderId="0" xfId="0" applyFont="1" applyFill="1" applyBorder="1" applyProtection="1">
      <protection hidden="1"/>
    </xf>
    <xf numFmtId="0" fontId="0" fillId="0" borderId="0" xfId="0" applyFont="1" applyBorder="1" applyProtection="1">
      <protection hidden="1"/>
    </xf>
    <xf numFmtId="0" fontId="0" fillId="0" borderId="32" xfId="0" applyFont="1" applyBorder="1" applyProtection="1">
      <protection hidden="1"/>
    </xf>
    <xf numFmtId="0" fontId="0" fillId="0" borderId="31" xfId="0" applyFont="1" applyBorder="1" applyProtection="1">
      <protection hidden="1"/>
    </xf>
    <xf numFmtId="1" fontId="46" fillId="2" borderId="0" xfId="0" applyNumberFormat="1" applyFont="1" applyFill="1" applyBorder="1" applyAlignment="1" applyProtection="1">
      <alignment horizontal="center"/>
      <protection hidden="1"/>
    </xf>
    <xf numFmtId="0" fontId="0" fillId="0" borderId="33" xfId="0" applyBorder="1" applyProtection="1">
      <protection hidden="1"/>
    </xf>
    <xf numFmtId="0" fontId="0" fillId="0" borderId="34" xfId="0" applyBorder="1" applyProtection="1">
      <protection hidden="1"/>
    </xf>
    <xf numFmtId="0" fontId="0" fillId="0" borderId="35" xfId="0" applyBorder="1" applyProtection="1">
      <protection hidden="1"/>
    </xf>
    <xf numFmtId="0" fontId="56" fillId="5" borderId="22" xfId="0" applyFont="1" applyFill="1" applyBorder="1" applyAlignment="1" applyProtection="1">
      <alignment horizontal="center" vertical="center" wrapText="1"/>
      <protection hidden="1"/>
    </xf>
    <xf numFmtId="0" fontId="56" fillId="18" borderId="22" xfId="0" applyFont="1" applyFill="1" applyBorder="1" applyAlignment="1" applyProtection="1">
      <alignment vertical="center" wrapText="1"/>
      <protection hidden="1"/>
    </xf>
    <xf numFmtId="9" fontId="56" fillId="23" borderId="60" xfId="0" applyNumberFormat="1" applyFont="1" applyFill="1" applyBorder="1" applyAlignment="1" applyProtection="1">
      <alignment vertical="center"/>
      <protection hidden="1"/>
    </xf>
    <xf numFmtId="9" fontId="56" fillId="23" borderId="36" xfId="0" applyNumberFormat="1" applyFont="1" applyFill="1" applyBorder="1" applyAlignment="1" applyProtection="1">
      <alignment vertical="center"/>
      <protection hidden="1"/>
    </xf>
    <xf numFmtId="0" fontId="56" fillId="18" borderId="22" xfId="0" applyFont="1" applyFill="1" applyBorder="1" applyAlignment="1" applyProtection="1">
      <alignment horizontal="center" vertical="center" wrapText="1"/>
      <protection hidden="1"/>
    </xf>
    <xf numFmtId="9" fontId="56" fillId="23" borderId="60" xfId="0" applyNumberFormat="1" applyFont="1" applyFill="1" applyBorder="1" applyAlignment="1" applyProtection="1">
      <alignment horizontal="center" vertical="center"/>
      <protection hidden="1"/>
    </xf>
    <xf numFmtId="9" fontId="56" fillId="23" borderId="36" xfId="0" applyNumberFormat="1" applyFont="1" applyFill="1" applyBorder="1" applyAlignment="1" applyProtection="1">
      <alignment horizontal="center" vertical="center"/>
      <protection hidden="1"/>
    </xf>
    <xf numFmtId="9" fontId="56" fillId="23" borderId="60" xfId="1" applyFont="1" applyFill="1" applyBorder="1" applyAlignment="1" applyProtection="1">
      <alignment vertical="center"/>
      <protection hidden="1"/>
    </xf>
    <xf numFmtId="9" fontId="56" fillId="23" borderId="36" xfId="1" applyFont="1" applyFill="1" applyBorder="1" applyAlignment="1" applyProtection="1">
      <alignment vertical="center"/>
      <protection hidden="1"/>
    </xf>
    <xf numFmtId="0" fontId="56" fillId="0" borderId="0" xfId="0" applyFont="1" applyAlignment="1" applyProtection="1">
      <protection hidden="1"/>
    </xf>
    <xf numFmtId="0" fontId="56" fillId="0" borderId="0" xfId="0" applyFont="1" applyAlignment="1" applyProtection="1">
      <alignment vertical="center" wrapText="1"/>
      <protection hidden="1"/>
    </xf>
    <xf numFmtId="3" fontId="56" fillId="0" borderId="0" xfId="0" applyNumberFormat="1" applyFont="1" applyAlignment="1" applyProtection="1">
      <protection hidden="1"/>
    </xf>
    <xf numFmtId="0" fontId="0" fillId="0" borderId="0" xfId="0" applyBorder="1" applyProtection="1">
      <protection hidden="1"/>
    </xf>
    <xf numFmtId="0" fontId="63" fillId="0" borderId="23" xfId="0" applyFont="1" applyBorder="1" applyAlignment="1" applyProtection="1">
      <protection hidden="1"/>
    </xf>
    <xf numFmtId="0" fontId="63" fillId="0" borderId="24" xfId="0" applyFont="1" applyBorder="1" applyProtection="1">
      <protection hidden="1"/>
    </xf>
    <xf numFmtId="0" fontId="46" fillId="0" borderId="0" xfId="0" applyFont="1" applyAlignment="1" applyProtection="1">
      <protection hidden="1"/>
    </xf>
    <xf numFmtId="0" fontId="56" fillId="0" borderId="0" xfId="0" applyFont="1" applyAlignment="1" applyProtection="1">
      <alignment vertical="center"/>
      <protection hidden="1"/>
    </xf>
    <xf numFmtId="3" fontId="56" fillId="0" borderId="24" xfId="0" applyNumberFormat="1" applyFont="1" applyBorder="1" applyAlignment="1" applyProtection="1">
      <protection hidden="1"/>
    </xf>
    <xf numFmtId="0" fontId="57" fillId="0" borderId="55" xfId="0" applyFont="1" applyFill="1" applyBorder="1" applyAlignment="1" applyProtection="1">
      <alignment vertical="top"/>
      <protection hidden="1"/>
    </xf>
    <xf numFmtId="0" fontId="56" fillId="0" borderId="0" xfId="0" applyFont="1" applyFill="1" applyBorder="1" applyProtection="1">
      <protection hidden="1"/>
    </xf>
    <xf numFmtId="3" fontId="56" fillId="0" borderId="0" xfId="0" applyNumberFormat="1" applyFont="1" applyFill="1" applyBorder="1" applyAlignment="1" applyProtection="1">
      <alignment horizontal="right"/>
      <protection hidden="1"/>
    </xf>
    <xf numFmtId="167" fontId="56" fillId="0" borderId="0" xfId="1" applyNumberFormat="1" applyFont="1" applyFill="1" applyBorder="1" applyAlignment="1" applyProtection="1">
      <alignment horizontal="center"/>
      <protection hidden="1"/>
    </xf>
    <xf numFmtId="9" fontId="56" fillId="0" borderId="0" xfId="1" applyFont="1" applyFill="1" applyBorder="1" applyAlignment="1" applyProtection="1">
      <alignment horizontal="center"/>
      <protection hidden="1"/>
    </xf>
    <xf numFmtId="3" fontId="46" fillId="0" borderId="0" xfId="0" applyNumberFormat="1" applyFont="1" applyAlignment="1" applyProtection="1">
      <protection hidden="1"/>
    </xf>
    <xf numFmtId="164" fontId="46" fillId="0" borderId="0" xfId="0" applyNumberFormat="1" applyFont="1" applyAlignment="1" applyProtection="1">
      <protection hidden="1"/>
    </xf>
    <xf numFmtId="0" fontId="52" fillId="2" borderId="0" xfId="0" applyFont="1" applyFill="1" applyAlignment="1" applyProtection="1">
      <protection hidden="1"/>
    </xf>
    <xf numFmtId="0" fontId="65" fillId="0" borderId="23" xfId="0" applyFont="1" applyBorder="1" applyAlignment="1" applyProtection="1">
      <alignment vertical="center"/>
      <protection hidden="1"/>
    </xf>
    <xf numFmtId="9" fontId="56" fillId="23" borderId="24" xfId="1" applyFont="1" applyFill="1" applyBorder="1" applyAlignment="1" applyProtection="1">
      <protection hidden="1"/>
    </xf>
    <xf numFmtId="0" fontId="56" fillId="0" borderId="25" xfId="0" applyFont="1" applyBorder="1" applyAlignment="1" applyProtection="1">
      <protection hidden="1"/>
    </xf>
    <xf numFmtId="0" fontId="65" fillId="0" borderId="66" xfId="0" applyFont="1" applyBorder="1" applyAlignment="1" applyProtection="1">
      <alignment vertical="center"/>
      <protection hidden="1"/>
    </xf>
    <xf numFmtId="9" fontId="56" fillId="23" borderId="68" xfId="1" applyFont="1" applyFill="1" applyBorder="1" applyAlignment="1" applyProtection="1">
      <protection hidden="1"/>
    </xf>
    <xf numFmtId="0" fontId="56" fillId="0" borderId="67" xfId="0" applyFont="1" applyBorder="1" applyAlignment="1" applyProtection="1">
      <protection hidden="1"/>
    </xf>
    <xf numFmtId="0" fontId="56" fillId="0" borderId="66" xfId="0" applyFont="1" applyBorder="1" applyProtection="1">
      <protection hidden="1"/>
    </xf>
    <xf numFmtId="9" fontId="56" fillId="23" borderId="68" xfId="1" applyFont="1" applyFill="1" applyBorder="1" applyProtection="1">
      <protection hidden="1"/>
    </xf>
    <xf numFmtId="0" fontId="56" fillId="0" borderId="67" xfId="0" applyFont="1" applyBorder="1" applyProtection="1">
      <protection hidden="1"/>
    </xf>
    <xf numFmtId="0" fontId="56" fillId="0" borderId="51" xfId="0" applyFont="1" applyBorder="1" applyProtection="1">
      <protection hidden="1"/>
    </xf>
    <xf numFmtId="9" fontId="56" fillId="23" borderId="24" xfId="1" applyFont="1" applyFill="1" applyBorder="1" applyProtection="1">
      <protection hidden="1"/>
    </xf>
    <xf numFmtId="0" fontId="50" fillId="0" borderId="0" xfId="0" applyFont="1" applyBorder="1" applyProtection="1">
      <protection hidden="1"/>
    </xf>
    <xf numFmtId="0" fontId="56" fillId="0" borderId="0" xfId="0" applyFont="1" applyBorder="1" applyProtection="1">
      <protection hidden="1"/>
    </xf>
    <xf numFmtId="3" fontId="50" fillId="0" borderId="0" xfId="1" applyNumberFormat="1" applyFont="1" applyBorder="1" applyAlignment="1" applyProtection="1">
      <protection hidden="1"/>
    </xf>
    <xf numFmtId="3" fontId="50" fillId="0" borderId="0" xfId="1" applyNumberFormat="1" applyFont="1" applyBorder="1" applyProtection="1">
      <protection hidden="1"/>
    </xf>
    <xf numFmtId="0" fontId="46" fillId="0" borderId="0" xfId="0" applyFont="1" applyBorder="1" applyProtection="1">
      <protection hidden="1"/>
    </xf>
    <xf numFmtId="0" fontId="77" fillId="0" borderId="0" xfId="0" applyFont="1" applyFill="1" applyBorder="1" applyAlignment="1" applyProtection="1">
      <alignment horizontal="center"/>
      <protection hidden="1"/>
    </xf>
    <xf numFmtId="0" fontId="68" fillId="0" borderId="0" xfId="0" applyFont="1" applyFill="1" applyProtection="1">
      <protection hidden="1"/>
    </xf>
    <xf numFmtId="0" fontId="56" fillId="0" borderId="0" xfId="0" applyFont="1" applyAlignment="1" applyProtection="1">
      <alignment horizontal="center" vertical="center" wrapText="1"/>
      <protection hidden="1"/>
    </xf>
    <xf numFmtId="0" fontId="56" fillId="5" borderId="37" xfId="0" applyFont="1" applyFill="1" applyBorder="1" applyAlignment="1" applyProtection="1">
      <protection hidden="1"/>
    </xf>
    <xf numFmtId="0" fontId="56" fillId="5" borderId="40" xfId="0" applyFont="1" applyFill="1" applyBorder="1" applyAlignment="1" applyProtection="1">
      <protection hidden="1"/>
    </xf>
    <xf numFmtId="0" fontId="56" fillId="5" borderId="38" xfId="0" applyFont="1" applyFill="1" applyBorder="1" applyAlignment="1" applyProtection="1">
      <protection hidden="1"/>
    </xf>
    <xf numFmtId="0" fontId="56" fillId="18" borderId="37" xfId="0" applyFont="1" applyFill="1" applyBorder="1" applyProtection="1">
      <protection hidden="1"/>
    </xf>
    <xf numFmtId="0" fontId="56" fillId="18" borderId="40" xfId="0" applyFont="1" applyFill="1" applyBorder="1" applyProtection="1">
      <protection hidden="1"/>
    </xf>
    <xf numFmtId="0" fontId="56" fillId="18" borderId="38" xfId="0" applyFont="1" applyFill="1" applyBorder="1" applyProtection="1">
      <protection hidden="1"/>
    </xf>
    <xf numFmtId="0" fontId="77" fillId="0" borderId="0" xfId="0" applyFont="1" applyProtection="1">
      <protection hidden="1"/>
    </xf>
    <xf numFmtId="0" fontId="56" fillId="0" borderId="0" xfId="0" applyFont="1" applyAlignment="1" applyProtection="1">
      <alignment wrapText="1"/>
      <protection hidden="1"/>
    </xf>
    <xf numFmtId="0" fontId="68" fillId="0" borderId="0" xfId="0" applyFont="1" applyBorder="1" applyProtection="1">
      <protection hidden="1"/>
    </xf>
    <xf numFmtId="0" fontId="60" fillId="0" borderId="0" xfId="0" applyFont="1" applyAlignment="1" applyProtection="1">
      <alignment wrapText="1"/>
      <protection hidden="1"/>
    </xf>
    <xf numFmtId="0" fontId="56" fillId="0" borderId="36" xfId="0" applyFont="1" applyBorder="1" applyProtection="1">
      <protection hidden="1"/>
    </xf>
    <xf numFmtId="0" fontId="75" fillId="0" borderId="0" xfId="0" applyFont="1" applyProtection="1">
      <protection hidden="1"/>
    </xf>
    <xf numFmtId="0" fontId="76" fillId="0" borderId="0" xfId="0" applyFont="1" applyBorder="1" applyAlignment="1" applyProtection="1">
      <alignment horizontal="right"/>
      <protection hidden="1"/>
    </xf>
    <xf numFmtId="3" fontId="50" fillId="0" borderId="0" xfId="0" applyNumberFormat="1" applyFont="1" applyBorder="1" applyAlignment="1" applyProtection="1">
      <protection hidden="1"/>
    </xf>
    <xf numFmtId="3" fontId="5" fillId="0" borderId="0" xfId="0" applyNumberFormat="1" applyFont="1" applyAlignment="1" applyProtection="1">
      <protection hidden="1"/>
    </xf>
    <xf numFmtId="3" fontId="63" fillId="0" borderId="0" xfId="0" applyNumberFormat="1" applyFont="1" applyBorder="1" applyAlignment="1" applyProtection="1">
      <protection hidden="1"/>
    </xf>
    <xf numFmtId="0" fontId="68" fillId="0" borderId="0" xfId="0" applyFont="1" applyProtection="1">
      <protection locked="0"/>
    </xf>
    <xf numFmtId="0" fontId="68" fillId="2" borderId="0" xfId="0" applyFont="1" applyFill="1" applyProtection="1">
      <protection locked="0"/>
    </xf>
    <xf numFmtId="0" fontId="52" fillId="0" borderId="0" xfId="0" applyFont="1" applyProtection="1">
      <protection locked="0"/>
    </xf>
    <xf numFmtId="0" fontId="52" fillId="2" borderId="0" xfId="0" applyFont="1" applyFill="1" applyProtection="1">
      <protection locked="0"/>
    </xf>
    <xf numFmtId="0" fontId="102" fillId="0" borderId="0" xfId="0" applyFont="1" applyBorder="1" applyAlignment="1" applyProtection="1">
      <alignment horizontal="left"/>
      <protection locked="0"/>
    </xf>
    <xf numFmtId="0" fontId="56" fillId="0" borderId="0" xfId="0" applyFont="1" applyProtection="1">
      <protection locked="0"/>
    </xf>
    <xf numFmtId="0" fontId="56" fillId="2" borderId="0" xfId="0" applyFont="1" applyFill="1" applyProtection="1">
      <protection locked="0"/>
    </xf>
    <xf numFmtId="0" fontId="124" fillId="0" borderId="0" xfId="0" applyFont="1" applyProtection="1">
      <protection locked="0"/>
    </xf>
    <xf numFmtId="0" fontId="0" fillId="0" borderId="0" xfId="0" applyProtection="1">
      <protection locked="0"/>
    </xf>
    <xf numFmtId="0" fontId="78" fillId="0" borderId="0" xfId="0" applyFont="1" applyProtection="1">
      <protection hidden="1"/>
    </xf>
    <xf numFmtId="9" fontId="63" fillId="23" borderId="22" xfId="1" applyNumberFormat="1" applyFont="1" applyFill="1" applyBorder="1" applyProtection="1">
      <protection hidden="1"/>
    </xf>
    <xf numFmtId="9" fontId="50" fillId="0" borderId="0" xfId="1" applyNumberFormat="1" applyFont="1" applyProtection="1">
      <protection hidden="1"/>
    </xf>
    <xf numFmtId="0" fontId="56" fillId="0" borderId="0" xfId="0" applyFont="1" applyFill="1" applyProtection="1">
      <protection hidden="1"/>
    </xf>
    <xf numFmtId="0" fontId="78" fillId="0" borderId="0" xfId="0" applyFont="1" applyProtection="1">
      <protection locked="0"/>
    </xf>
    <xf numFmtId="0" fontId="56" fillId="0" borderId="0" xfId="0" applyFont="1" applyBorder="1" applyAlignment="1" applyProtection="1">
      <alignment vertical="center" wrapText="1"/>
      <protection hidden="1"/>
    </xf>
    <xf numFmtId="0" fontId="90" fillId="0" borderId="23" xfId="0" applyFont="1" applyBorder="1" applyAlignment="1" applyProtection="1">
      <protection hidden="1"/>
    </xf>
    <xf numFmtId="0" fontId="0" fillId="0" borderId="24" xfId="0" applyBorder="1" applyProtection="1">
      <protection hidden="1"/>
    </xf>
    <xf numFmtId="0" fontId="52" fillId="0" borderId="0" xfId="0" applyFont="1" applyAlignment="1" applyProtection="1">
      <alignment vertical="center"/>
      <protection hidden="1"/>
    </xf>
    <xf numFmtId="0" fontId="54" fillId="0" borderId="28" xfId="0" applyFont="1" applyBorder="1" applyAlignment="1" applyProtection="1">
      <alignment horizontal="center"/>
      <protection hidden="1"/>
    </xf>
    <xf numFmtId="0" fontId="52" fillId="0" borderId="29" xfId="0" applyFont="1" applyBorder="1" applyAlignment="1" applyProtection="1">
      <alignment horizontal="center"/>
      <protection hidden="1"/>
    </xf>
    <xf numFmtId="0" fontId="52" fillId="0" borderId="30" xfId="0" applyFont="1" applyBorder="1" applyAlignment="1" applyProtection="1">
      <alignment horizontal="center"/>
      <protection hidden="1"/>
    </xf>
    <xf numFmtId="0" fontId="125" fillId="0" borderId="0" xfId="0" applyFont="1" applyProtection="1">
      <protection hidden="1"/>
    </xf>
    <xf numFmtId="0" fontId="55" fillId="0" borderId="0" xfId="0" applyFont="1" applyAlignment="1" applyProtection="1">
      <protection hidden="1"/>
    </xf>
    <xf numFmtId="0" fontId="77" fillId="0" borderId="0" xfId="0" applyFont="1" applyAlignment="1" applyProtection="1">
      <protection hidden="1"/>
    </xf>
    <xf numFmtId="0" fontId="77" fillId="0" borderId="0" xfId="0" applyFont="1" applyAlignment="1" applyProtection="1">
      <alignment horizontal="left"/>
      <protection hidden="1"/>
    </xf>
    <xf numFmtId="0" fontId="128" fillId="0" borderId="0" xfId="0" applyFont="1" applyBorder="1" applyAlignment="1" applyProtection="1">
      <alignment horizontal="left"/>
      <protection locked="0"/>
    </xf>
    <xf numFmtId="0" fontId="55" fillId="0" borderId="0" xfId="0" applyFont="1" applyProtection="1">
      <protection locked="0"/>
    </xf>
    <xf numFmtId="0" fontId="55" fillId="2" borderId="0" xfId="0" applyFont="1" applyFill="1"/>
    <xf numFmtId="0" fontId="55" fillId="0" borderId="0" xfId="0" applyFont="1"/>
    <xf numFmtId="0" fontId="9" fillId="0" borderId="0" xfId="0" applyNumberFormat="1" applyFont="1" applyBorder="1" applyAlignment="1" applyProtection="1">
      <alignment horizontal="center" vertical="center"/>
      <protection hidden="1"/>
    </xf>
    <xf numFmtId="0" fontId="9" fillId="0" borderId="0" xfId="0" applyNumberFormat="1" applyFont="1" applyBorder="1" applyAlignment="1">
      <alignment horizontal="center" vertical="center"/>
    </xf>
    <xf numFmtId="0" fontId="3" fillId="0" borderId="0" xfId="0" applyFont="1" applyFill="1" applyAlignment="1" applyProtection="1">
      <alignment vertical="center"/>
      <protection hidden="1"/>
    </xf>
    <xf numFmtId="0" fontId="104" fillId="0" borderId="0" xfId="0" applyFont="1" applyFill="1" applyAlignment="1" applyProtection="1">
      <alignment vertical="center"/>
      <protection hidden="1"/>
    </xf>
    <xf numFmtId="0" fontId="3" fillId="0" borderId="0" xfId="0" applyFont="1" applyFill="1" applyAlignment="1" applyProtection="1">
      <protection hidden="1"/>
    </xf>
    <xf numFmtId="0" fontId="0" fillId="0" borderId="0" xfId="0" applyProtection="1"/>
    <xf numFmtId="0" fontId="129" fillId="0" borderId="0" xfId="0" applyFont="1" applyProtection="1">
      <protection hidden="1"/>
    </xf>
    <xf numFmtId="0" fontId="23" fillId="0" borderId="0" xfId="0" applyFont="1" applyBorder="1"/>
    <xf numFmtId="0" fontId="51" fillId="0" borderId="0" xfId="12" applyBorder="1"/>
    <xf numFmtId="0" fontId="0" fillId="20" borderId="0" xfId="0" applyFill="1" applyBorder="1"/>
    <xf numFmtId="0" fontId="0" fillId="19" borderId="0" xfId="0" applyFill="1" applyBorder="1"/>
    <xf numFmtId="3" fontId="130" fillId="16" borderId="0" xfId="12" applyNumberFormat="1" applyFont="1" applyFill="1"/>
    <xf numFmtId="0" fontId="65" fillId="0" borderId="0" xfId="0" applyFont="1" applyAlignment="1" applyProtection="1">
      <alignment vertical="center"/>
      <protection hidden="1"/>
    </xf>
    <xf numFmtId="0" fontId="131" fillId="0" borderId="0" xfId="0" applyFont="1"/>
    <xf numFmtId="0" fontId="3" fillId="0" borderId="0" xfId="0" applyFont="1" applyFill="1" applyBorder="1" applyAlignment="1">
      <alignment vertical="center"/>
    </xf>
    <xf numFmtId="3" fontId="10" fillId="0" borderId="0" xfId="0" applyNumberFormat="1" applyFont="1" applyAlignment="1"/>
    <xf numFmtId="0" fontId="1" fillId="0" borderId="0" xfId="0" applyFont="1" applyProtection="1">
      <protection hidden="1"/>
    </xf>
    <xf numFmtId="0" fontId="100" fillId="0" borderId="0" xfId="0" applyFont="1" applyProtection="1">
      <protection hidden="1"/>
    </xf>
    <xf numFmtId="0" fontId="35" fillId="0" borderId="0" xfId="1" applyNumberFormat="1" applyFont="1"/>
    <xf numFmtId="0" fontId="10" fillId="0" borderId="0" xfId="0" applyNumberFormat="1" applyFont="1"/>
    <xf numFmtId="0" fontId="23" fillId="0" borderId="0" xfId="0" applyFont="1" applyProtection="1">
      <protection hidden="1"/>
    </xf>
    <xf numFmtId="3" fontId="132" fillId="0" borderId="0" xfId="0" applyNumberFormat="1" applyFont="1" applyAlignment="1">
      <alignment horizontal="center"/>
    </xf>
    <xf numFmtId="3" fontId="132" fillId="0" borderId="0" xfId="0" applyNumberFormat="1" applyFont="1" applyAlignment="1">
      <alignment horizontal="center" wrapText="1"/>
    </xf>
    <xf numFmtId="164" fontId="132" fillId="0" borderId="0" xfId="0" applyNumberFormat="1" applyFont="1"/>
    <xf numFmtId="3" fontId="133" fillId="0" borderId="0" xfId="0" applyNumberFormat="1" applyFont="1"/>
    <xf numFmtId="0" fontId="133" fillId="0" borderId="0" xfId="0" applyNumberFormat="1" applyFont="1" applyBorder="1" applyAlignment="1">
      <alignment horizontal="center" vertical="center" wrapText="1"/>
    </xf>
    <xf numFmtId="164" fontId="133" fillId="0" borderId="0" xfId="0" applyNumberFormat="1" applyFont="1"/>
    <xf numFmtId="3" fontId="51" fillId="16" borderId="0" xfId="12" applyNumberFormat="1" applyFill="1"/>
    <xf numFmtId="0" fontId="51" fillId="20" borderId="0" xfId="12" applyFill="1" applyBorder="1"/>
    <xf numFmtId="0" fontId="51" fillId="19" borderId="0" xfId="12" applyFill="1" applyBorder="1"/>
    <xf numFmtId="3" fontId="0" fillId="0" borderId="0" xfId="0" applyNumberFormat="1" applyFill="1"/>
    <xf numFmtId="3" fontId="0" fillId="41" borderId="0" xfId="0" applyNumberFormat="1" applyFill="1"/>
    <xf numFmtId="3" fontId="0" fillId="0" borderId="0" xfId="1" applyNumberFormat="1" applyFont="1"/>
    <xf numFmtId="0" fontId="36" fillId="0" borderId="0" xfId="0" applyNumberFormat="1" applyFont="1" applyFill="1" applyBorder="1" applyAlignment="1" applyProtection="1">
      <protection locked="0"/>
    </xf>
    <xf numFmtId="174" fontId="36" fillId="0" borderId="0" xfId="0" applyNumberFormat="1" applyFont="1" applyFill="1" applyBorder="1" applyAlignment="1" applyProtection="1">
      <protection locked="0"/>
    </xf>
    <xf numFmtId="3" fontId="0" fillId="0" borderId="0" xfId="0" applyNumberFormat="1" applyFill="1" applyAlignment="1">
      <alignment wrapText="1"/>
    </xf>
    <xf numFmtId="3" fontId="23" fillId="0" borderId="0" xfId="0" applyNumberFormat="1" applyFont="1" applyFill="1"/>
    <xf numFmtId="164" fontId="36" fillId="0" borderId="0" xfId="0" applyNumberFormat="1" applyFont="1" applyFill="1" applyBorder="1"/>
    <xf numFmtId="3" fontId="5" fillId="33" borderId="0" xfId="0" applyNumberFormat="1" applyFont="1" applyFill="1"/>
    <xf numFmtId="1" fontId="11" fillId="0" borderId="0" xfId="0" applyNumberFormat="1" applyFont="1" applyAlignment="1">
      <alignment horizontal="center"/>
    </xf>
    <xf numFmtId="3" fontId="11" fillId="0" borderId="0" xfId="0" applyNumberFormat="1" applyFont="1" applyAlignment="1">
      <alignment horizontal="center"/>
    </xf>
    <xf numFmtId="1" fontId="0" fillId="0" borderId="0" xfId="0" applyNumberFormat="1" applyAlignment="1">
      <alignment wrapText="1"/>
    </xf>
    <xf numFmtId="1" fontId="0" fillId="33" borderId="0" xfId="0" applyNumberFormat="1" applyFill="1"/>
    <xf numFmtId="3" fontId="10" fillId="33" borderId="0" xfId="0" applyNumberFormat="1" applyFont="1" applyFill="1"/>
    <xf numFmtId="3" fontId="10" fillId="33" borderId="0" xfId="0" applyNumberFormat="1" applyFont="1" applyFill="1" applyAlignment="1">
      <alignment wrapText="1"/>
    </xf>
    <xf numFmtId="3" fontId="1" fillId="0" borderId="0" xfId="0" applyNumberFormat="1" applyFont="1" applyAlignment="1" applyProtection="1">
      <protection hidden="1"/>
    </xf>
    <xf numFmtId="3" fontId="0" fillId="33" borderId="0" xfId="0" applyNumberFormat="1" applyFill="1"/>
    <xf numFmtId="0" fontId="134" fillId="0" borderId="0" xfId="0" applyFont="1" applyProtection="1">
      <protection hidden="1"/>
    </xf>
    <xf numFmtId="3" fontId="23" fillId="0" borderId="0" xfId="0" applyNumberFormat="1" applyFont="1"/>
    <xf numFmtId="3" fontId="48" fillId="0" borderId="0" xfId="0" applyNumberFormat="1" applyFont="1"/>
    <xf numFmtId="3" fontId="135" fillId="0" borderId="0" xfId="0" applyNumberFormat="1" applyFont="1" applyFill="1"/>
    <xf numFmtId="3" fontId="69" fillId="33" borderId="0" xfId="0" applyNumberFormat="1" applyFont="1" applyFill="1"/>
    <xf numFmtId="3" fontId="32" fillId="33" borderId="0" xfId="0" applyNumberFormat="1" applyFont="1" applyFill="1"/>
    <xf numFmtId="3" fontId="73" fillId="33" borderId="0" xfId="0" applyNumberFormat="1" applyFont="1" applyFill="1"/>
    <xf numFmtId="3" fontId="2" fillId="33" borderId="0" xfId="0" applyNumberFormat="1" applyFont="1" applyFill="1"/>
    <xf numFmtId="3" fontId="74" fillId="33" borderId="0" xfId="0" applyNumberFormat="1" applyFont="1" applyFill="1"/>
    <xf numFmtId="0" fontId="136" fillId="0" borderId="0" xfId="0" applyFont="1" applyProtection="1">
      <protection hidden="1"/>
    </xf>
    <xf numFmtId="0" fontId="75" fillId="0" borderId="0" xfId="0" applyFont="1" applyBorder="1" applyProtection="1">
      <protection hidden="1"/>
    </xf>
    <xf numFmtId="3" fontId="9" fillId="33" borderId="0" xfId="0" applyNumberFormat="1" applyFont="1" applyFill="1"/>
    <xf numFmtId="3" fontId="51" fillId="14" borderId="0" xfId="12" applyNumberFormat="1" applyFill="1"/>
    <xf numFmtId="164" fontId="9" fillId="42" borderId="0" xfId="16" applyNumberFormat="1" applyFont="1" applyFill="1" applyBorder="1" applyAlignment="1">
      <alignment horizontal="center"/>
    </xf>
    <xf numFmtId="0" fontId="5" fillId="0" borderId="0" xfId="0" applyFont="1" applyAlignment="1">
      <alignment wrapText="1"/>
    </xf>
    <xf numFmtId="0" fontId="137" fillId="30" borderId="0" xfId="0" applyFont="1" applyFill="1"/>
    <xf numFmtId="0" fontId="55" fillId="0" borderId="0" xfId="0" applyFont="1" applyFill="1" applyProtection="1">
      <protection hidden="1"/>
    </xf>
    <xf numFmtId="0" fontId="0" fillId="33" borderId="0" xfId="0" applyFill="1" applyBorder="1"/>
    <xf numFmtId="3" fontId="0" fillId="33" borderId="0" xfId="0" applyNumberFormat="1" applyFill="1" applyBorder="1"/>
    <xf numFmtId="0" fontId="138" fillId="0" borderId="0" xfId="0" applyFont="1" applyProtection="1">
      <protection hidden="1"/>
    </xf>
    <xf numFmtId="0" fontId="52" fillId="2" borderId="0" xfId="0" applyFont="1" applyFill="1" applyAlignment="1" applyProtection="1">
      <alignment vertical="top" wrapText="1"/>
      <protection hidden="1"/>
    </xf>
    <xf numFmtId="0" fontId="25" fillId="20" borderId="0" xfId="0" quotePrefix="1" applyFont="1" applyFill="1" applyBorder="1"/>
    <xf numFmtId="0" fontId="1" fillId="19" borderId="0" xfId="0" applyFont="1" applyFill="1" applyProtection="1">
      <protection hidden="1"/>
    </xf>
    <xf numFmtId="164" fontId="10" fillId="0" borderId="0" xfId="0" applyNumberFormat="1" applyFont="1" applyAlignment="1"/>
    <xf numFmtId="165" fontId="36" fillId="0" borderId="0" xfId="0" applyNumberFormat="1" applyFont="1" applyAlignment="1"/>
    <xf numFmtId="0" fontId="50" fillId="0" borderId="0" xfId="0" applyFont="1" applyAlignment="1" applyProtection="1">
      <protection hidden="1"/>
    </xf>
    <xf numFmtId="4" fontId="10" fillId="0" borderId="0" xfId="0" applyNumberFormat="1" applyFont="1"/>
    <xf numFmtId="0" fontId="51" fillId="36" borderId="0" xfId="12" applyFill="1"/>
    <xf numFmtId="0" fontId="140" fillId="0" borderId="0" xfId="0" applyFont="1"/>
    <xf numFmtId="0" fontId="140" fillId="0" borderId="0" xfId="0" applyFont="1" applyAlignment="1">
      <alignment wrapText="1"/>
    </xf>
    <xf numFmtId="1" fontId="140" fillId="0" borderId="0" xfId="0" applyNumberFormat="1" applyFont="1"/>
    <xf numFmtId="3" fontId="36" fillId="0" borderId="0" xfId="0" applyNumberFormat="1" applyFont="1"/>
    <xf numFmtId="3" fontId="36" fillId="33" borderId="0" xfId="0" applyNumberFormat="1" applyFont="1" applyFill="1"/>
    <xf numFmtId="3" fontId="35" fillId="33" borderId="0" xfId="0" applyNumberFormat="1" applyFont="1" applyFill="1"/>
    <xf numFmtId="3" fontId="37" fillId="0" borderId="0" xfId="0" applyNumberFormat="1" applyFont="1" applyFill="1"/>
    <xf numFmtId="3" fontId="69" fillId="0" borderId="0" xfId="0" applyNumberFormat="1" applyFont="1" applyAlignment="1">
      <alignment horizontal="center"/>
    </xf>
    <xf numFmtId="3" fontId="73" fillId="0" borderId="0" xfId="0" applyNumberFormat="1" applyFont="1" applyAlignment="1">
      <alignment horizontal="center"/>
    </xf>
    <xf numFmtId="3" fontId="74" fillId="0" borderId="0" xfId="0" applyNumberFormat="1" applyFont="1" applyAlignment="1">
      <alignment horizontal="center"/>
    </xf>
    <xf numFmtId="0" fontId="92" fillId="37" borderId="0" xfId="0" applyFont="1" applyFill="1" applyAlignment="1" applyProtection="1">
      <alignment horizontal="right"/>
      <protection hidden="1"/>
    </xf>
    <xf numFmtId="0" fontId="52" fillId="0" borderId="0" xfId="0" applyFont="1" applyAlignment="1" applyProtection="1">
      <alignment horizontal="left" vertical="center" wrapText="1"/>
      <protection hidden="1"/>
    </xf>
    <xf numFmtId="0" fontId="50" fillId="0" borderId="57" xfId="0" applyFont="1" applyFill="1" applyBorder="1" applyAlignment="1" applyProtection="1">
      <protection hidden="1"/>
    </xf>
    <xf numFmtId="0" fontId="56" fillId="0" borderId="0" xfId="0" applyFont="1" applyFill="1" applyAlignment="1" applyProtection="1">
      <alignment vertical="center" wrapText="1"/>
      <protection hidden="1"/>
    </xf>
    <xf numFmtId="0" fontId="60" fillId="0" borderId="36" xfId="0" applyFont="1" applyFill="1" applyBorder="1" applyAlignment="1" applyProtection="1">
      <alignment horizontal="center" vertical="center" wrapText="1"/>
      <protection hidden="1"/>
    </xf>
    <xf numFmtId="0" fontId="51" fillId="0" borderId="0" xfId="12"/>
    <xf numFmtId="0" fontId="92" fillId="37" borderId="0" xfId="0" applyFont="1" applyFill="1" applyAlignment="1" applyProtection="1">
      <alignment horizontal="right"/>
      <protection hidden="1"/>
    </xf>
    <xf numFmtId="0" fontId="52" fillId="2" borderId="0" xfId="0" applyFont="1" applyFill="1" applyAlignment="1" applyProtection="1">
      <alignment horizontal="left" vertical="top" wrapText="1"/>
      <protection hidden="1"/>
    </xf>
    <xf numFmtId="3" fontId="21" fillId="33" borderId="12" xfId="2" applyNumberFormat="1" applyFont="1" applyFill="1" applyBorder="1" applyAlignment="1">
      <alignment horizontal="right"/>
    </xf>
    <xf numFmtId="3" fontId="21" fillId="33" borderId="11" xfId="2" applyNumberFormat="1" applyFont="1" applyFill="1" applyBorder="1" applyAlignment="1">
      <alignment horizontal="right"/>
    </xf>
    <xf numFmtId="0" fontId="0" fillId="2" borderId="0" xfId="0" applyFill="1" applyBorder="1"/>
    <xf numFmtId="0" fontId="3" fillId="2" borderId="0" xfId="0" applyFont="1" applyFill="1" applyBorder="1" applyAlignment="1">
      <alignment vertical="center"/>
    </xf>
    <xf numFmtId="0" fontId="3" fillId="2" borderId="0" xfId="0" applyFont="1" applyFill="1" applyBorder="1" applyAlignment="1"/>
    <xf numFmtId="0" fontId="51" fillId="33" borderId="0" xfId="12" applyFill="1"/>
    <xf numFmtId="1" fontId="0" fillId="25" borderId="0" xfId="0" applyNumberFormat="1" applyFill="1"/>
    <xf numFmtId="0" fontId="0" fillId="23" borderId="0" xfId="0" applyFill="1" applyAlignment="1">
      <alignment wrapText="1"/>
    </xf>
    <xf numFmtId="1" fontId="0" fillId="23" borderId="0" xfId="0" applyNumberFormat="1" applyFill="1"/>
    <xf numFmtId="0" fontId="0" fillId="32" borderId="0" xfId="0" applyFill="1" applyAlignment="1">
      <alignment wrapText="1"/>
    </xf>
    <xf numFmtId="3" fontId="0" fillId="32" borderId="0" xfId="0" applyNumberFormat="1" applyFill="1"/>
    <xf numFmtId="3" fontId="133" fillId="32" borderId="0" xfId="0" applyNumberFormat="1" applyFont="1" applyFill="1"/>
    <xf numFmtId="0" fontId="133" fillId="32" borderId="0" xfId="0" applyNumberFormat="1" applyFont="1" applyFill="1" applyBorder="1" applyAlignment="1">
      <alignment horizontal="center" vertical="center" wrapText="1"/>
    </xf>
    <xf numFmtId="9" fontId="2" fillId="0" borderId="0" xfId="1" applyFont="1"/>
    <xf numFmtId="3" fontId="32" fillId="0" borderId="0" xfId="0" applyNumberFormat="1" applyFont="1"/>
    <xf numFmtId="0" fontId="36" fillId="32" borderId="9" xfId="15" applyFont="1" applyFill="1" applyAlignment="1">
      <alignment horizontal="center"/>
    </xf>
    <xf numFmtId="3" fontId="36" fillId="32" borderId="9" xfId="0" applyNumberFormat="1" applyFont="1" applyFill="1" applyBorder="1"/>
    <xf numFmtId="3" fontId="36" fillId="32" borderId="9" xfId="0" applyNumberFormat="1" applyFont="1" applyFill="1" applyBorder="1" applyAlignment="1"/>
    <xf numFmtId="3" fontId="36" fillId="32" borderId="9" xfId="0" applyNumberFormat="1" applyFont="1" applyFill="1" applyBorder="1" applyAlignment="1">
      <alignment wrapText="1"/>
    </xf>
    <xf numFmtId="9" fontId="9" fillId="0" borderId="0" xfId="1" applyFont="1" applyAlignment="1">
      <alignment horizontal="center"/>
    </xf>
    <xf numFmtId="0" fontId="0" fillId="32" borderId="9" xfId="0" applyFill="1" applyBorder="1" applyAlignment="1">
      <alignment horizontal="center"/>
    </xf>
    <xf numFmtId="3" fontId="0" fillId="32" borderId="9" xfId="0" applyNumberFormat="1" applyFill="1" applyBorder="1"/>
    <xf numFmtId="0" fontId="2" fillId="43" borderId="9" xfId="0" applyFont="1" applyFill="1" applyBorder="1" applyAlignment="1">
      <alignment horizontal="center"/>
    </xf>
    <xf numFmtId="3" fontId="2" fillId="43" borderId="9" xfId="0" applyNumberFormat="1" applyFont="1" applyFill="1" applyBorder="1"/>
    <xf numFmtId="0" fontId="141" fillId="43" borderId="9" xfId="15" applyFont="1" applyFill="1" applyAlignment="1">
      <alignment horizontal="center"/>
    </xf>
    <xf numFmtId="3" fontId="141" fillId="43" borderId="9" xfId="0" applyNumberFormat="1" applyFont="1" applyFill="1" applyBorder="1"/>
    <xf numFmtId="3" fontId="141" fillId="43" borderId="9" xfId="0" applyNumberFormat="1" applyFont="1" applyFill="1" applyBorder="1" applyAlignment="1">
      <alignment wrapText="1"/>
    </xf>
    <xf numFmtId="3" fontId="141" fillId="43" borderId="9" xfId="0" applyNumberFormat="1" applyFont="1" applyFill="1" applyBorder="1" applyAlignment="1"/>
    <xf numFmtId="0" fontId="0" fillId="32" borderId="0" xfId="0" applyFill="1" applyBorder="1"/>
    <xf numFmtId="0" fontId="51" fillId="21" borderId="0" xfId="12" applyFill="1"/>
    <xf numFmtId="167" fontId="10" fillId="0" borderId="0" xfId="0" applyNumberFormat="1" applyFont="1"/>
    <xf numFmtId="167" fontId="29" fillId="0" borderId="0" xfId="0" applyNumberFormat="1" applyFont="1" applyFill="1" applyBorder="1"/>
    <xf numFmtId="0" fontId="0" fillId="32" borderId="0" xfId="0" applyFill="1" applyBorder="1" applyAlignment="1">
      <alignment wrapText="1"/>
    </xf>
    <xf numFmtId="0" fontId="127" fillId="0" borderId="0" xfId="0" applyFont="1"/>
    <xf numFmtId="0" fontId="0" fillId="32" borderId="0" xfId="0" applyFill="1" applyAlignment="1"/>
    <xf numFmtId="3" fontId="0" fillId="32" borderId="0" xfId="0" applyNumberFormat="1" applyFill="1" applyAlignment="1">
      <alignment wrapText="1"/>
    </xf>
    <xf numFmtId="2" fontId="0" fillId="0" borderId="0" xfId="1" applyNumberFormat="1" applyFont="1"/>
    <xf numFmtId="0" fontId="142" fillId="0" borderId="0" xfId="0" applyFont="1" applyAlignment="1">
      <alignment vertical="center" wrapText="1"/>
    </xf>
    <xf numFmtId="0" fontId="142" fillId="0" borderId="0" xfId="0" applyFont="1" applyAlignment="1">
      <alignment wrapText="1"/>
    </xf>
    <xf numFmtId="0" fontId="142" fillId="0" borderId="0" xfId="0" applyFont="1"/>
    <xf numFmtId="3" fontId="5" fillId="32" borderId="0" xfId="0" applyNumberFormat="1" applyFont="1" applyFill="1"/>
    <xf numFmtId="3" fontId="143" fillId="0" borderId="0" xfId="0" applyNumberFormat="1" applyFont="1"/>
    <xf numFmtId="3" fontId="143" fillId="32" borderId="0" xfId="0" applyNumberFormat="1" applyFont="1" applyFill="1"/>
    <xf numFmtId="0" fontId="44" fillId="32" borderId="0" xfId="0" applyFont="1" applyFill="1" applyAlignment="1">
      <alignment wrapText="1"/>
    </xf>
    <xf numFmtId="0" fontId="44" fillId="32" borderId="0" xfId="0" applyFont="1" applyFill="1"/>
    <xf numFmtId="0" fontId="45" fillId="32" borderId="0" xfId="0" applyFont="1" applyFill="1"/>
    <xf numFmtId="1" fontId="44" fillId="32" borderId="0" xfId="0" applyNumberFormat="1" applyFont="1" applyFill="1"/>
    <xf numFmtId="167" fontId="0" fillId="32" borderId="0" xfId="1" applyNumberFormat="1" applyFont="1" applyFill="1"/>
    <xf numFmtId="1" fontId="0" fillId="32" borderId="0" xfId="0" applyNumberFormat="1" applyFill="1"/>
    <xf numFmtId="0" fontId="0" fillId="32" borderId="0" xfId="0" quotePrefix="1" applyFill="1" applyAlignment="1">
      <alignment horizontal="center"/>
    </xf>
    <xf numFmtId="0" fontId="144" fillId="0" borderId="0" xfId="0" applyFont="1" applyFill="1"/>
    <xf numFmtId="0" fontId="12" fillId="26" borderId="0" xfId="0" applyFont="1" applyFill="1"/>
    <xf numFmtId="3" fontId="145" fillId="11" borderId="0" xfId="0" applyNumberFormat="1" applyFont="1" applyFill="1"/>
    <xf numFmtId="3" fontId="146" fillId="38" borderId="0" xfId="0" applyNumberFormat="1" applyFont="1" applyFill="1"/>
    <xf numFmtId="0" fontId="63" fillId="0" borderId="23" xfId="0" applyFont="1" applyBorder="1" applyAlignment="1" applyProtection="1">
      <alignment horizontal="left"/>
      <protection hidden="1"/>
    </xf>
    <xf numFmtId="0" fontId="63" fillId="0" borderId="25" xfId="0" applyFont="1" applyBorder="1" applyAlignment="1" applyProtection="1">
      <alignment horizontal="left"/>
      <protection hidden="1"/>
    </xf>
    <xf numFmtId="0" fontId="0" fillId="35" borderId="0" xfId="0" applyFill="1" applyAlignment="1">
      <alignment wrapText="1"/>
    </xf>
    <xf numFmtId="3" fontId="0" fillId="35" borderId="0" xfId="0" applyNumberFormat="1" applyFill="1"/>
    <xf numFmtId="1" fontId="0" fillId="35" borderId="0" xfId="1" applyNumberFormat="1" applyFont="1" applyFill="1"/>
    <xf numFmtId="1" fontId="0" fillId="35" borderId="0" xfId="0" applyNumberFormat="1" applyFill="1"/>
    <xf numFmtId="0" fontId="147" fillId="35" borderId="0" xfId="0" applyFont="1" applyFill="1" applyAlignment="1">
      <alignment vertical="center"/>
    </xf>
    <xf numFmtId="3" fontId="147" fillId="35" borderId="0" xfId="0" applyNumberFormat="1" applyFont="1" applyFill="1" applyAlignment="1">
      <alignment vertical="center"/>
    </xf>
    <xf numFmtId="172" fontId="0" fillId="35" borderId="0" xfId="11" applyNumberFormat="1" applyFont="1" applyFill="1" applyBorder="1"/>
    <xf numFmtId="3" fontId="0" fillId="35" borderId="0" xfId="0" applyNumberFormat="1" applyFill="1" applyBorder="1"/>
    <xf numFmtId="167" fontId="0" fillId="35" borderId="0" xfId="1" applyNumberFormat="1" applyFont="1" applyFill="1"/>
    <xf numFmtId="9" fontId="0" fillId="35" borderId="0" xfId="1" applyFont="1" applyFill="1"/>
    <xf numFmtId="0" fontId="0" fillId="35" borderId="0" xfId="0" applyFont="1" applyFill="1"/>
    <xf numFmtId="0" fontId="2" fillId="35" borderId="0" xfId="0" applyFont="1" applyFill="1"/>
    <xf numFmtId="0" fontId="0" fillId="35" borderId="0" xfId="0" applyFill="1" applyAlignment="1">
      <alignment horizontal="center"/>
    </xf>
    <xf numFmtId="3" fontId="0" fillId="35" borderId="0" xfId="0" applyNumberFormat="1" applyFill="1" applyAlignment="1">
      <alignment horizontal="center"/>
    </xf>
    <xf numFmtId="172" fontId="0" fillId="35" borderId="0" xfId="11" applyNumberFormat="1" applyFont="1" applyFill="1"/>
    <xf numFmtId="0" fontId="21" fillId="44" borderId="76" xfId="13" applyFont="1" applyFill="1" applyBorder="1" applyAlignment="1">
      <alignment horizontal="center"/>
    </xf>
    <xf numFmtId="0" fontId="21" fillId="44" borderId="13" xfId="13" applyFont="1" applyFill="1" applyBorder="1" applyAlignment="1">
      <alignment horizontal="center" wrapText="1"/>
    </xf>
    <xf numFmtId="0" fontId="119" fillId="44" borderId="77" xfId="13" applyFont="1" applyFill="1" applyBorder="1" applyAlignment="1">
      <alignment horizontal="center"/>
    </xf>
    <xf numFmtId="1" fontId="1" fillId="0" borderId="0" xfId="0" applyNumberFormat="1" applyFont="1"/>
    <xf numFmtId="0" fontId="120" fillId="2" borderId="0" xfId="0" applyFont="1" applyFill="1" applyAlignment="1" applyProtection="1">
      <alignment vertical="top"/>
      <protection hidden="1"/>
    </xf>
    <xf numFmtId="3" fontId="5" fillId="45" borderId="0" xfId="0" applyNumberFormat="1" applyFont="1" applyFill="1"/>
    <xf numFmtId="167" fontId="0" fillId="45" borderId="0" xfId="0" applyNumberFormat="1" applyFill="1"/>
    <xf numFmtId="0" fontId="41" fillId="0" borderId="0" xfId="0" applyFont="1" applyBorder="1" applyAlignment="1">
      <alignment wrapText="1"/>
    </xf>
    <xf numFmtId="0" fontId="41" fillId="0" borderId="0" xfId="0" applyFont="1" applyBorder="1"/>
    <xf numFmtId="0" fontId="41" fillId="0" borderId="0" xfId="0" applyFont="1" applyBorder="1" applyAlignment="1">
      <alignment horizontal="center"/>
    </xf>
    <xf numFmtId="0" fontId="41" fillId="0" borderId="0" xfId="0" applyFont="1" applyFill="1" applyBorder="1"/>
    <xf numFmtId="0" fontId="21" fillId="32" borderId="0" xfId="5" applyFont="1" applyFill="1" applyBorder="1" applyAlignment="1">
      <alignment horizontal="center" wrapText="1"/>
    </xf>
    <xf numFmtId="0" fontId="21" fillId="32" borderId="0" xfId="5" applyFont="1" applyFill="1" applyBorder="1" applyAlignment="1">
      <alignment horizontal="right"/>
    </xf>
    <xf numFmtId="0" fontId="64" fillId="32" borderId="0" xfId="0" applyFont="1" applyFill="1" applyBorder="1" applyAlignment="1">
      <alignment wrapText="1"/>
    </xf>
    <xf numFmtId="0" fontId="64" fillId="32" borderId="0" xfId="0" applyFont="1" applyFill="1" applyBorder="1"/>
    <xf numFmtId="0" fontId="141" fillId="0" borderId="0" xfId="4" applyFont="1" applyBorder="1"/>
    <xf numFmtId="0" fontId="148" fillId="0" borderId="0" xfId="0" applyFont="1"/>
    <xf numFmtId="0" fontId="141" fillId="0" borderId="0" xfId="4" applyFont="1" applyFill="1" applyBorder="1"/>
    <xf numFmtId="3" fontId="36" fillId="32" borderId="82" xfId="4" applyNumberFormat="1" applyFont="1" applyFill="1" applyBorder="1"/>
    <xf numFmtId="3" fontId="36" fillId="32" borderId="0" xfId="1" applyNumberFormat="1" applyFont="1" applyFill="1"/>
    <xf numFmtId="3" fontId="36" fillId="32" borderId="0" xfId="4" applyNumberFormat="1" applyFont="1" applyFill="1" applyBorder="1"/>
    <xf numFmtId="1" fontId="148" fillId="32" borderId="0" xfId="0" applyNumberFormat="1" applyFont="1" applyFill="1"/>
    <xf numFmtId="3" fontId="148" fillId="32" borderId="0" xfId="0" applyNumberFormat="1" applyFont="1" applyFill="1"/>
    <xf numFmtId="3" fontId="36" fillId="32" borderId="0" xfId="1" applyNumberFormat="1" applyFont="1" applyFill="1" applyBorder="1"/>
    <xf numFmtId="0" fontId="5" fillId="32" borderId="0" xfId="0" applyFont="1" applyFill="1" applyAlignment="1">
      <alignment wrapText="1"/>
    </xf>
    <xf numFmtId="0" fontId="5" fillId="32" borderId="0" xfId="0" applyFont="1" applyFill="1"/>
    <xf numFmtId="2" fontId="5" fillId="32" borderId="0" xfId="0" applyNumberFormat="1" applyFont="1" applyFill="1"/>
    <xf numFmtId="0" fontId="5" fillId="32" borderId="82" xfId="0" applyFont="1" applyFill="1" applyBorder="1"/>
    <xf numFmtId="0" fontId="25" fillId="46" borderId="0" xfId="0" applyFont="1" applyFill="1"/>
    <xf numFmtId="0" fontId="51" fillId="46" borderId="0" xfId="12" applyFill="1"/>
    <xf numFmtId="0" fontId="149" fillId="23" borderId="0" xfId="0" applyFont="1" applyFill="1" applyProtection="1">
      <protection hidden="1"/>
    </xf>
    <xf numFmtId="0" fontId="150" fillId="23" borderId="0" xfId="0" applyFont="1" applyFill="1" applyProtection="1">
      <protection hidden="1"/>
    </xf>
    <xf numFmtId="0" fontId="41" fillId="23" borderId="0" xfId="0" applyFont="1" applyFill="1"/>
    <xf numFmtId="0" fontId="92" fillId="37" borderId="0" xfId="0" applyFont="1" applyFill="1" applyAlignment="1" applyProtection="1">
      <alignment horizontal="right"/>
      <protection hidden="1"/>
    </xf>
    <xf numFmtId="0" fontId="91" fillId="37" borderId="0" xfId="0" applyFont="1" applyFill="1" applyAlignment="1" applyProtection="1">
      <alignment horizontal="left"/>
      <protection hidden="1"/>
    </xf>
    <xf numFmtId="0" fontId="2" fillId="0" borderId="0" xfId="0" applyFont="1" applyProtection="1"/>
    <xf numFmtId="0" fontId="65" fillId="0" borderId="0" xfId="0" applyFont="1" applyProtection="1">
      <protection locked="0"/>
    </xf>
    <xf numFmtId="0" fontId="86" fillId="0" borderId="0" xfId="0" applyFont="1" applyProtection="1">
      <protection locked="0"/>
    </xf>
    <xf numFmtId="0" fontId="92" fillId="37" borderId="0" xfId="0" applyFont="1" applyFill="1" applyAlignment="1" applyProtection="1">
      <alignment horizontal="left"/>
      <protection hidden="1"/>
    </xf>
    <xf numFmtId="0" fontId="92" fillId="37" borderId="0" xfId="0" applyFont="1" applyFill="1" applyAlignment="1" applyProtection="1">
      <alignment horizontal="right"/>
      <protection hidden="1"/>
    </xf>
    <xf numFmtId="0" fontId="91" fillId="37" borderId="0" xfId="0" applyFont="1" applyFill="1" applyAlignment="1" applyProtection="1">
      <alignment horizontal="left"/>
      <protection hidden="1"/>
    </xf>
    <xf numFmtId="0" fontId="52" fillId="2" borderId="0" xfId="0" applyFont="1" applyFill="1" applyAlignment="1" applyProtection="1">
      <alignment horizontal="left" vertical="top" wrapText="1"/>
      <protection hidden="1"/>
    </xf>
    <xf numFmtId="0" fontId="0" fillId="0" borderId="0" xfId="0" applyAlignment="1" applyProtection="1">
      <alignment horizontal="center"/>
      <protection hidden="1"/>
    </xf>
    <xf numFmtId="0" fontId="92" fillId="37" borderId="0" xfId="0" applyFont="1" applyFill="1" applyAlignment="1" applyProtection="1">
      <alignment horizontal="right"/>
      <protection hidden="1"/>
    </xf>
    <xf numFmtId="0" fontId="52" fillId="0" borderId="0" xfId="0" applyFont="1" applyAlignment="1" applyProtection="1">
      <alignment horizontal="left" vertical="center" wrapText="1"/>
      <protection hidden="1"/>
    </xf>
    <xf numFmtId="0" fontId="91" fillId="37" borderId="0" xfId="0" applyFont="1" applyFill="1" applyAlignment="1" applyProtection="1">
      <alignment horizontal="left"/>
      <protection hidden="1"/>
    </xf>
    <xf numFmtId="0" fontId="52" fillId="2" borderId="0" xfId="0" applyFont="1" applyFill="1" applyAlignment="1" applyProtection="1">
      <alignment horizontal="left" vertical="center" wrapText="1"/>
      <protection hidden="1"/>
    </xf>
    <xf numFmtId="0" fontId="92" fillId="37" borderId="0" xfId="0" applyFont="1" applyFill="1" applyAlignment="1" applyProtection="1">
      <alignment horizontal="right" vertical="center"/>
      <protection hidden="1"/>
    </xf>
    <xf numFmtId="0" fontId="63" fillId="0" borderId="0" xfId="0" applyFont="1" applyBorder="1" applyProtection="1">
      <protection hidden="1"/>
    </xf>
    <xf numFmtId="0" fontId="106" fillId="0" borderId="0" xfId="0" applyFont="1" applyAlignment="1" applyProtection="1">
      <alignment horizontal="center"/>
      <protection hidden="1"/>
    </xf>
    <xf numFmtId="0" fontId="107" fillId="0" borderId="0" xfId="0" applyFont="1" applyAlignment="1" applyProtection="1">
      <alignment horizontal="center"/>
      <protection hidden="1"/>
    </xf>
    <xf numFmtId="0" fontId="108" fillId="0" borderId="0" xfId="0" applyFont="1" applyAlignment="1" applyProtection="1">
      <alignment horizontal="center"/>
      <protection hidden="1"/>
    </xf>
    <xf numFmtId="0" fontId="109" fillId="0" borderId="0" xfId="0" applyFont="1" applyAlignment="1" applyProtection="1">
      <alignment horizontal="center"/>
      <protection hidden="1"/>
    </xf>
    <xf numFmtId="0" fontId="110" fillId="0" borderId="0" xfId="0" applyFont="1" applyAlignment="1" applyProtection="1">
      <alignment horizontal="center"/>
      <protection hidden="1"/>
    </xf>
    <xf numFmtId="0" fontId="111" fillId="0" borderId="0" xfId="0" applyFont="1" applyAlignment="1" applyProtection="1">
      <alignment horizontal="center"/>
      <protection hidden="1"/>
    </xf>
    <xf numFmtId="0" fontId="112" fillId="0" borderId="0" xfId="0" applyFont="1" applyAlignment="1" applyProtection="1">
      <alignment horizontal="center"/>
      <protection hidden="1"/>
    </xf>
    <xf numFmtId="0" fontId="113" fillId="0" borderId="0" xfId="0" applyFont="1" applyAlignment="1" applyProtection="1">
      <alignment horizontal="center"/>
      <protection hidden="1"/>
    </xf>
    <xf numFmtId="0" fontId="114" fillId="0" borderId="0" xfId="0" applyFont="1" applyAlignment="1" applyProtection="1">
      <alignment horizontal="center"/>
      <protection hidden="1"/>
    </xf>
    <xf numFmtId="0" fontId="115" fillId="0" borderId="0" xfId="0" applyFont="1" applyAlignment="1" applyProtection="1">
      <alignment horizontal="center"/>
      <protection hidden="1"/>
    </xf>
    <xf numFmtId="0" fontId="116" fillId="0" borderId="0" xfId="0" applyFont="1" applyAlignment="1" applyProtection="1">
      <alignment horizontal="center"/>
      <protection hidden="1"/>
    </xf>
    <xf numFmtId="0" fontId="117" fillId="0" borderId="0" xfId="0" applyFont="1" applyFill="1" applyAlignment="1" applyProtection="1">
      <alignment horizontal="center"/>
      <protection hidden="1"/>
    </xf>
    <xf numFmtId="0" fontId="118" fillId="0" borderId="0" xfId="0" applyFont="1" applyAlignment="1" applyProtection="1">
      <alignment horizontal="center"/>
      <protection hidden="1"/>
    </xf>
    <xf numFmtId="0" fontId="56" fillId="0" borderId="0" xfId="0" applyFont="1" applyBorder="1" applyAlignment="1" applyProtection="1">
      <alignment horizontal="center"/>
      <protection hidden="1"/>
    </xf>
    <xf numFmtId="2" fontId="0" fillId="35" borderId="0" xfId="0" applyNumberFormat="1" applyFill="1"/>
    <xf numFmtId="0" fontId="63" fillId="0" borderId="0" xfId="0" applyFont="1" applyAlignment="1" applyProtection="1">
      <protection hidden="1"/>
    </xf>
    <xf numFmtId="0" fontId="56" fillId="0" borderId="56" xfId="0" applyFont="1" applyBorder="1" applyAlignment="1" applyProtection="1">
      <alignment vertical="center"/>
      <protection hidden="1"/>
    </xf>
    <xf numFmtId="0" fontId="56" fillId="0" borderId="0" xfId="0" applyFont="1" applyBorder="1" applyAlignment="1" applyProtection="1">
      <alignment wrapText="1"/>
      <protection hidden="1"/>
    </xf>
    <xf numFmtId="0" fontId="56" fillId="0" borderId="0" xfId="0" applyFont="1" applyBorder="1" applyAlignment="1" applyProtection="1">
      <protection hidden="1"/>
    </xf>
    <xf numFmtId="0" fontId="152" fillId="0" borderId="0" xfId="0" applyFont="1" applyAlignment="1" applyProtection="1">
      <alignment horizontal="center"/>
      <protection hidden="1"/>
    </xf>
    <xf numFmtId="0" fontId="56" fillId="0" borderId="0" xfId="0" applyFont="1" applyBorder="1" applyAlignment="1" applyProtection="1">
      <alignment horizontal="left"/>
      <protection hidden="1"/>
    </xf>
    <xf numFmtId="1" fontId="56" fillId="0" borderId="0" xfId="0" applyNumberFormat="1" applyFont="1" applyBorder="1" applyAlignment="1" applyProtection="1">
      <alignment horizontal="center"/>
      <protection hidden="1"/>
    </xf>
    <xf numFmtId="176" fontId="10" fillId="0" borderId="0" xfId="0" applyNumberFormat="1" applyFont="1"/>
    <xf numFmtId="177" fontId="133" fillId="32" borderId="0" xfId="0" applyNumberFormat="1" applyFont="1" applyFill="1"/>
    <xf numFmtId="177" fontId="12" fillId="32" borderId="0" xfId="4" applyNumberFormat="1" applyFont="1" applyFill="1"/>
    <xf numFmtId="0" fontId="60" fillId="0" borderId="0" xfId="0" applyFont="1" applyBorder="1" applyAlignment="1" applyProtection="1">
      <alignment horizontal="left"/>
      <protection locked="0" hidden="1"/>
    </xf>
    <xf numFmtId="3" fontId="60" fillId="0" borderId="0" xfId="0" applyNumberFormat="1" applyFont="1" applyBorder="1" applyAlignment="1" applyProtection="1">
      <alignment horizontal="right"/>
      <protection hidden="1"/>
    </xf>
    <xf numFmtId="0" fontId="52" fillId="0" borderId="0" xfId="0" applyFont="1" applyAlignment="1" applyProtection="1">
      <alignment vertical="center" wrapText="1"/>
      <protection hidden="1"/>
    </xf>
    <xf numFmtId="0" fontId="153" fillId="23" borderId="0" xfId="0" applyFont="1" applyFill="1"/>
    <xf numFmtId="0" fontId="51" fillId="0" borderId="0" xfId="12" applyAlignment="1" applyProtection="1">
      <alignment wrapText="1"/>
      <protection hidden="1"/>
    </xf>
    <xf numFmtId="0" fontId="57" fillId="0" borderId="0" xfId="0" applyFont="1" applyFill="1" applyBorder="1" applyAlignment="1" applyProtection="1">
      <alignment vertical="top"/>
      <protection hidden="1"/>
    </xf>
    <xf numFmtId="0" fontId="54" fillId="0" borderId="0" xfId="0" applyFont="1" applyAlignment="1" applyProtection="1">
      <alignment vertical="top"/>
      <protection hidden="1"/>
    </xf>
    <xf numFmtId="0" fontId="0" fillId="0" borderId="0" xfId="0" applyAlignment="1" applyProtection="1">
      <alignment vertical="top"/>
      <protection hidden="1"/>
    </xf>
    <xf numFmtId="0" fontId="63" fillId="0" borderId="56" xfId="0" applyFont="1" applyBorder="1" applyProtection="1">
      <protection hidden="1"/>
    </xf>
    <xf numFmtId="0" fontId="56" fillId="0" borderId="23" xfId="0" applyFont="1" applyBorder="1" applyAlignment="1" applyProtection="1">
      <alignment vertical="center"/>
      <protection hidden="1"/>
    </xf>
    <xf numFmtId="0" fontId="56" fillId="0" borderId="24" xfId="0" applyFont="1" applyBorder="1" applyAlignment="1" applyProtection="1">
      <alignment vertical="center"/>
      <protection hidden="1"/>
    </xf>
    <xf numFmtId="0" fontId="0" fillId="0" borderId="24" xfId="0" applyBorder="1"/>
    <xf numFmtId="0" fontId="0" fillId="0" borderId="25" xfId="0" applyBorder="1"/>
    <xf numFmtId="0" fontId="52" fillId="0" borderId="0" xfId="0" applyFont="1" applyAlignment="1" applyProtection="1">
      <alignment horizontal="center" vertical="center" wrapText="1"/>
      <protection hidden="1"/>
    </xf>
    <xf numFmtId="0" fontId="4" fillId="0" borderId="0" xfId="0" applyFont="1" applyFill="1" applyAlignment="1" applyProtection="1">
      <alignment vertical="center"/>
      <protection hidden="1"/>
    </xf>
    <xf numFmtId="0" fontId="3" fillId="0" borderId="0" xfId="0" applyFont="1" applyFill="1" applyBorder="1" applyAlignment="1">
      <alignment horizontal="center" vertical="center"/>
    </xf>
    <xf numFmtId="0" fontId="3" fillId="0" borderId="0" xfId="0" applyFont="1" applyFill="1" applyBorder="1" applyAlignment="1">
      <alignment vertical="center" wrapText="1"/>
    </xf>
    <xf numFmtId="0" fontId="54" fillId="0" borderId="0" xfId="0" applyFont="1" applyAlignment="1" applyProtection="1">
      <alignment wrapText="1"/>
      <protection hidden="1"/>
    </xf>
    <xf numFmtId="167" fontId="56" fillId="23" borderId="23" xfId="1" applyNumberFormat="1" applyFont="1" applyFill="1" applyBorder="1" applyAlignment="1" applyProtection="1">
      <alignment horizontal="center"/>
      <protection hidden="1"/>
    </xf>
    <xf numFmtId="167" fontId="56" fillId="23" borderId="25" xfId="1" applyNumberFormat="1" applyFont="1" applyFill="1" applyBorder="1" applyAlignment="1" applyProtection="1">
      <alignment horizontal="center"/>
      <protection hidden="1"/>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xf numFmtId="0" fontId="4" fillId="4" borderId="0" xfId="0" applyFont="1" applyFill="1" applyAlignment="1" applyProtection="1">
      <alignment horizontal="center" vertical="center"/>
      <protection hidden="1"/>
    </xf>
    <xf numFmtId="0" fontId="54" fillId="5" borderId="70" xfId="0" applyFont="1" applyFill="1" applyBorder="1" applyAlignment="1" applyProtection="1">
      <alignment horizontal="center"/>
      <protection locked="0"/>
    </xf>
    <xf numFmtId="0" fontId="54" fillId="5" borderId="71" xfId="0" applyFont="1" applyFill="1" applyBorder="1" applyAlignment="1" applyProtection="1">
      <alignment horizontal="center"/>
      <protection locked="0"/>
    </xf>
    <xf numFmtId="0" fontId="54" fillId="5" borderId="72" xfId="0" applyFont="1" applyFill="1" applyBorder="1" applyAlignment="1" applyProtection="1">
      <alignment horizontal="center"/>
      <protection locked="0"/>
    </xf>
    <xf numFmtId="0" fontId="65" fillId="18" borderId="70" xfId="0" applyFont="1" applyFill="1" applyBorder="1" applyAlignment="1" applyProtection="1">
      <alignment horizontal="center"/>
      <protection locked="0"/>
    </xf>
    <xf numFmtId="0" fontId="65" fillId="18" borderId="71" xfId="0" applyFont="1" applyFill="1" applyBorder="1" applyAlignment="1" applyProtection="1">
      <alignment horizontal="center"/>
      <protection locked="0"/>
    </xf>
    <xf numFmtId="0" fontId="65" fillId="18" borderId="72" xfId="0" applyFont="1" applyFill="1" applyBorder="1" applyAlignment="1" applyProtection="1">
      <alignment horizontal="center"/>
      <protection locked="0"/>
    </xf>
    <xf numFmtId="0" fontId="56" fillId="0" borderId="23" xfId="0" applyFont="1" applyBorder="1" applyAlignment="1" applyProtection="1">
      <alignment horizontal="center" vertical="center" wrapText="1"/>
      <protection hidden="1"/>
    </xf>
    <xf numFmtId="0" fontId="56" fillId="0" borderId="24" xfId="0" applyFont="1" applyBorder="1" applyAlignment="1" applyProtection="1">
      <alignment horizontal="center" vertical="center" wrapText="1"/>
      <protection hidden="1"/>
    </xf>
    <xf numFmtId="0" fontId="56" fillId="0" borderId="25" xfId="0" applyFont="1" applyBorder="1" applyAlignment="1" applyProtection="1">
      <alignment horizontal="center" vertical="center" wrapText="1"/>
      <protection hidden="1"/>
    </xf>
    <xf numFmtId="3" fontId="56" fillId="0" borderId="51" xfId="0" applyNumberFormat="1" applyFont="1" applyBorder="1" applyAlignment="1" applyProtection="1">
      <alignment horizontal="right"/>
      <protection hidden="1"/>
    </xf>
    <xf numFmtId="3" fontId="56" fillId="0" borderId="52" xfId="0" applyNumberFormat="1" applyFont="1" applyBorder="1" applyAlignment="1" applyProtection="1">
      <alignment horizontal="right"/>
      <protection hidden="1"/>
    </xf>
    <xf numFmtId="3" fontId="56" fillId="0" borderId="23" xfId="0" applyNumberFormat="1" applyFont="1" applyBorder="1" applyAlignment="1" applyProtection="1">
      <alignment horizontal="right"/>
      <protection hidden="1"/>
    </xf>
    <xf numFmtId="3" fontId="56" fillId="0" borderId="25" xfId="0" applyNumberFormat="1" applyFont="1" applyBorder="1" applyAlignment="1" applyProtection="1">
      <alignment horizontal="right"/>
      <protection hidden="1"/>
    </xf>
    <xf numFmtId="0" fontId="77" fillId="0" borderId="70" xfId="0" applyFont="1" applyFill="1" applyBorder="1" applyAlignment="1" applyProtection="1">
      <alignment horizontal="center"/>
      <protection hidden="1"/>
    </xf>
    <xf numFmtId="0" fontId="77" fillId="0" borderId="71" xfId="0" applyFont="1" applyFill="1" applyBorder="1" applyAlignment="1" applyProtection="1">
      <alignment horizontal="center"/>
      <protection hidden="1"/>
    </xf>
    <xf numFmtId="0" fontId="77" fillId="0" borderId="72" xfId="0" applyFont="1" applyFill="1" applyBorder="1" applyAlignment="1" applyProtection="1">
      <alignment horizontal="center"/>
      <protection hidden="1"/>
    </xf>
    <xf numFmtId="0" fontId="56" fillId="0" borderId="23" xfId="0" applyFont="1" applyFill="1" applyBorder="1" applyAlignment="1" applyProtection="1">
      <alignment horizontal="center" vertical="center" wrapText="1"/>
      <protection hidden="1"/>
    </xf>
    <xf numFmtId="0" fontId="56" fillId="0" borderId="25" xfId="0" applyFont="1" applyFill="1" applyBorder="1" applyAlignment="1" applyProtection="1">
      <alignment horizontal="center" vertical="center" wrapText="1"/>
      <protection hidden="1"/>
    </xf>
    <xf numFmtId="0" fontId="65" fillId="5" borderId="0" xfId="0" applyFont="1" applyFill="1" applyBorder="1" applyAlignment="1" applyProtection="1">
      <alignment horizontal="center"/>
    </xf>
    <xf numFmtId="0" fontId="56" fillId="0" borderId="24" xfId="0" applyFont="1" applyFill="1" applyBorder="1" applyAlignment="1" applyProtection="1">
      <alignment horizontal="center" vertical="center" wrapText="1"/>
      <protection hidden="1"/>
    </xf>
    <xf numFmtId="0" fontId="65" fillId="18" borderId="0" xfId="0" applyFont="1" applyFill="1" applyBorder="1" applyAlignment="1" applyProtection="1">
      <alignment horizontal="center"/>
    </xf>
    <xf numFmtId="10" fontId="56" fillId="23" borderId="57" xfId="1" applyNumberFormat="1" applyFont="1" applyFill="1" applyBorder="1" applyAlignment="1" applyProtection="1">
      <alignment horizontal="center"/>
      <protection hidden="1"/>
    </xf>
    <xf numFmtId="10" fontId="56" fillId="23" borderId="0" xfId="1" applyNumberFormat="1" applyFont="1" applyFill="1" applyBorder="1" applyAlignment="1" applyProtection="1">
      <alignment horizontal="center"/>
      <protection hidden="1"/>
    </xf>
    <xf numFmtId="167" fontId="56" fillId="23" borderId="57" xfId="1" applyNumberFormat="1" applyFont="1" applyFill="1" applyBorder="1" applyAlignment="1" applyProtection="1">
      <alignment horizontal="center"/>
      <protection hidden="1"/>
    </xf>
    <xf numFmtId="167" fontId="56" fillId="23" borderId="0" xfId="1" applyNumberFormat="1" applyFont="1" applyFill="1" applyBorder="1" applyAlignment="1" applyProtection="1">
      <alignment horizontal="center"/>
      <protection hidden="1"/>
    </xf>
    <xf numFmtId="167" fontId="56" fillId="23" borderId="49" xfId="1" applyNumberFormat="1" applyFont="1" applyFill="1" applyBorder="1" applyAlignment="1" applyProtection="1">
      <alignment horizontal="center"/>
      <protection hidden="1"/>
    </xf>
    <xf numFmtId="167" fontId="56" fillId="23" borderId="55" xfId="1" applyNumberFormat="1" applyFont="1" applyFill="1" applyBorder="1" applyAlignment="1" applyProtection="1">
      <alignment horizontal="center"/>
      <protection hidden="1"/>
    </xf>
    <xf numFmtId="167" fontId="56" fillId="23" borderId="50" xfId="1" applyNumberFormat="1" applyFont="1" applyFill="1" applyBorder="1" applyAlignment="1" applyProtection="1">
      <alignment horizontal="center"/>
      <protection hidden="1"/>
    </xf>
    <xf numFmtId="167" fontId="56" fillId="23" borderId="62" xfId="1" applyNumberFormat="1" applyFont="1" applyFill="1" applyBorder="1" applyAlignment="1" applyProtection="1">
      <alignment horizontal="center"/>
      <protection hidden="1"/>
    </xf>
    <xf numFmtId="3" fontId="56" fillId="0" borderId="61" xfId="0" applyNumberFormat="1" applyFont="1" applyBorder="1" applyAlignment="1" applyProtection="1">
      <alignment horizontal="right"/>
      <protection hidden="1"/>
    </xf>
    <xf numFmtId="0" fontId="58" fillId="4" borderId="0" xfId="0" applyFont="1" applyFill="1" applyAlignment="1" applyProtection="1">
      <alignment horizontal="center" vertical="center"/>
      <protection hidden="1"/>
    </xf>
    <xf numFmtId="167" fontId="56" fillId="23" borderId="51" xfId="1" applyNumberFormat="1" applyFont="1" applyFill="1" applyBorder="1" applyAlignment="1" applyProtection="1">
      <alignment horizontal="center"/>
      <protection hidden="1"/>
    </xf>
    <xf numFmtId="167" fontId="56" fillId="23" borderId="56" xfId="1" applyNumberFormat="1" applyFont="1" applyFill="1" applyBorder="1" applyAlignment="1" applyProtection="1">
      <alignment horizontal="center"/>
      <protection hidden="1"/>
    </xf>
    <xf numFmtId="10" fontId="56" fillId="23" borderId="51" xfId="1" applyNumberFormat="1" applyFont="1" applyFill="1" applyBorder="1" applyAlignment="1" applyProtection="1">
      <alignment horizontal="center"/>
      <protection hidden="1"/>
    </xf>
    <xf numFmtId="10" fontId="56" fillId="23" borderId="56" xfId="1" applyNumberFormat="1" applyFont="1" applyFill="1" applyBorder="1" applyAlignment="1" applyProtection="1">
      <alignment horizontal="center"/>
      <protection hidden="1"/>
    </xf>
    <xf numFmtId="10" fontId="56" fillId="23" borderId="78" xfId="1" applyNumberFormat="1" applyFont="1" applyFill="1" applyBorder="1" applyAlignment="1" applyProtection="1">
      <alignment horizontal="center"/>
      <protection hidden="1"/>
    </xf>
    <xf numFmtId="167" fontId="56" fillId="23" borderId="52" xfId="1" applyNumberFormat="1" applyFont="1" applyFill="1" applyBorder="1" applyAlignment="1" applyProtection="1">
      <alignment horizontal="center"/>
      <protection hidden="1"/>
    </xf>
    <xf numFmtId="0" fontId="65" fillId="0" borderId="57" xfId="0" applyFont="1" applyBorder="1" applyAlignment="1" applyProtection="1">
      <alignment horizontal="center" vertical="center"/>
      <protection hidden="1"/>
    </xf>
    <xf numFmtId="0" fontId="65" fillId="0" borderId="0" xfId="0" applyFont="1" applyBorder="1" applyAlignment="1" applyProtection="1">
      <alignment horizontal="center" vertical="center"/>
      <protection hidden="1"/>
    </xf>
    <xf numFmtId="0" fontId="65" fillId="0" borderId="62" xfId="0" applyFont="1" applyBorder="1" applyAlignment="1" applyProtection="1">
      <alignment horizontal="center" vertical="center"/>
      <protection hidden="1"/>
    </xf>
    <xf numFmtId="0" fontId="65" fillId="0" borderId="51" xfId="0" applyFont="1" applyBorder="1" applyAlignment="1" applyProtection="1">
      <alignment horizontal="center" vertical="center"/>
      <protection hidden="1"/>
    </xf>
    <xf numFmtId="0" fontId="65" fillId="0" borderId="56" xfId="0" applyFont="1" applyBorder="1" applyAlignment="1" applyProtection="1">
      <alignment horizontal="center" vertical="center"/>
      <protection hidden="1"/>
    </xf>
    <xf numFmtId="0" fontId="65" fillId="0" borderId="52" xfId="0" applyFont="1" applyBorder="1" applyAlignment="1" applyProtection="1">
      <alignment horizontal="center" vertical="center"/>
      <protection hidden="1"/>
    </xf>
    <xf numFmtId="0" fontId="65" fillId="0" borderId="23" xfId="0" applyFont="1" applyBorder="1" applyAlignment="1" applyProtection="1">
      <alignment horizontal="center" vertical="center"/>
      <protection hidden="1"/>
    </xf>
    <xf numFmtId="0" fontId="65" fillId="0" borderId="25" xfId="0" applyFont="1" applyBorder="1" applyAlignment="1" applyProtection="1">
      <alignment horizontal="center" vertical="center"/>
      <protection hidden="1"/>
    </xf>
    <xf numFmtId="0" fontId="65" fillId="5" borderId="70" xfId="0" applyFont="1" applyFill="1" applyBorder="1" applyAlignment="1" applyProtection="1">
      <alignment horizontal="center"/>
      <protection locked="0"/>
    </xf>
    <xf numFmtId="0" fontId="65" fillId="5" borderId="71" xfId="0" applyFont="1" applyFill="1" applyBorder="1" applyAlignment="1" applyProtection="1">
      <alignment horizontal="center"/>
      <protection locked="0"/>
    </xf>
    <xf numFmtId="0" fontId="65" fillId="5" borderId="72" xfId="0" applyFont="1" applyFill="1" applyBorder="1" applyAlignment="1" applyProtection="1">
      <alignment horizontal="center"/>
      <protection locked="0"/>
    </xf>
    <xf numFmtId="0" fontId="65" fillId="0" borderId="49" xfId="0" applyFont="1" applyBorder="1" applyAlignment="1" applyProtection="1">
      <alignment horizontal="center" vertical="center"/>
      <protection hidden="1"/>
    </xf>
    <xf numFmtId="0" fontId="65" fillId="0" borderId="55" xfId="0" applyFont="1" applyBorder="1" applyAlignment="1" applyProtection="1">
      <alignment horizontal="center" vertical="center"/>
      <protection hidden="1"/>
    </xf>
    <xf numFmtId="0" fontId="65" fillId="0" borderId="50" xfId="0" applyFont="1" applyBorder="1" applyAlignment="1" applyProtection="1">
      <alignment horizontal="center" vertical="center"/>
      <protection hidden="1"/>
    </xf>
    <xf numFmtId="0" fontId="65" fillId="0" borderId="63" xfId="0" applyFont="1" applyBorder="1" applyAlignment="1" applyProtection="1">
      <alignment horizontal="center" vertical="center"/>
      <protection hidden="1"/>
    </xf>
    <xf numFmtId="0" fontId="65" fillId="0" borderId="64" xfId="0" applyFont="1" applyBorder="1" applyAlignment="1" applyProtection="1">
      <alignment horizontal="center" vertical="center"/>
      <protection hidden="1"/>
    </xf>
    <xf numFmtId="0" fontId="65" fillId="0" borderId="65" xfId="0" applyFont="1" applyBorder="1" applyAlignment="1" applyProtection="1">
      <alignment horizontal="center" vertical="center"/>
      <protection hidden="1"/>
    </xf>
    <xf numFmtId="0" fontId="65" fillId="0" borderId="66" xfId="0" applyFont="1" applyBorder="1" applyAlignment="1" applyProtection="1">
      <alignment horizontal="center" vertical="center"/>
      <protection hidden="1"/>
    </xf>
    <xf numFmtId="0" fontId="65" fillId="0" borderId="67" xfId="0" applyFont="1" applyBorder="1" applyAlignment="1" applyProtection="1">
      <alignment horizontal="center" vertical="center"/>
      <protection hidden="1"/>
    </xf>
    <xf numFmtId="0" fontId="56" fillId="0" borderId="23" xfId="0" applyFont="1" applyBorder="1" applyAlignment="1" applyProtection="1">
      <alignment horizontal="center" wrapText="1"/>
      <protection hidden="1"/>
    </xf>
    <xf numFmtId="0" fontId="56" fillId="0" borderId="24" xfId="0" applyFont="1" applyBorder="1" applyAlignment="1" applyProtection="1">
      <alignment horizontal="center" wrapText="1"/>
      <protection hidden="1"/>
    </xf>
    <xf numFmtId="0" fontId="56" fillId="0" borderId="25" xfId="0" applyFont="1" applyBorder="1" applyAlignment="1" applyProtection="1">
      <alignment horizontal="center" wrapText="1"/>
      <protection hidden="1"/>
    </xf>
    <xf numFmtId="0" fontId="52" fillId="0" borderId="0" xfId="0" applyFont="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0" fontId="92" fillId="37" borderId="0" xfId="0" applyFont="1" applyFill="1" applyAlignment="1" applyProtection="1">
      <alignment horizontal="right"/>
      <protection hidden="1"/>
    </xf>
    <xf numFmtId="0" fontId="52" fillId="0" borderId="0" xfId="0" applyFont="1" applyAlignment="1" applyProtection="1">
      <alignment horizontal="justify" vertical="top" wrapText="1"/>
      <protection hidden="1"/>
    </xf>
    <xf numFmtId="0" fontId="52" fillId="0" borderId="31" xfId="0" applyFont="1" applyBorder="1" applyAlignment="1" applyProtection="1">
      <alignment horizontal="center"/>
      <protection hidden="1"/>
    </xf>
    <xf numFmtId="0" fontId="52" fillId="0" borderId="0" xfId="0" applyFont="1" applyBorder="1" applyAlignment="1" applyProtection="1">
      <alignment horizontal="center"/>
      <protection hidden="1"/>
    </xf>
    <xf numFmtId="0" fontId="52" fillId="0" borderId="32" xfId="0" applyFont="1" applyBorder="1" applyAlignment="1" applyProtection="1">
      <alignment horizontal="center"/>
      <protection hidden="1"/>
    </xf>
    <xf numFmtId="0" fontId="91" fillId="37" borderId="0" xfId="0" applyFont="1" applyFill="1" applyAlignment="1" applyProtection="1">
      <alignment horizontal="left"/>
      <protection hidden="1"/>
    </xf>
    <xf numFmtId="0" fontId="52" fillId="2" borderId="0" xfId="0" applyFont="1" applyFill="1" applyAlignment="1" applyProtection="1">
      <alignment horizontal="justify" vertical="top" wrapText="1"/>
      <protection hidden="1"/>
    </xf>
    <xf numFmtId="0" fontId="52" fillId="2" borderId="0" xfId="0" applyFont="1" applyFill="1" applyAlignment="1" applyProtection="1">
      <alignment horizontal="left" vertical="center" wrapText="1"/>
      <protection hidden="1"/>
    </xf>
    <xf numFmtId="0" fontId="52" fillId="0" borderId="0" xfId="0" quotePrefix="1" applyFont="1" applyBorder="1" applyAlignment="1" applyProtection="1">
      <alignment horizontal="justify" vertical="center" wrapText="1"/>
      <protection hidden="1"/>
    </xf>
    <xf numFmtId="0" fontId="52" fillId="0" borderId="0" xfId="0" applyFont="1" applyBorder="1" applyAlignment="1" applyProtection="1">
      <alignment horizontal="justify" vertical="center" wrapText="1"/>
      <protection hidden="1"/>
    </xf>
    <xf numFmtId="0" fontId="52" fillId="2" borderId="0" xfId="0" applyFont="1" applyFill="1" applyAlignment="1" applyProtection="1">
      <alignment horizontal="left" vertical="top" wrapText="1"/>
      <protection hidden="1"/>
    </xf>
    <xf numFmtId="0" fontId="52" fillId="2" borderId="0" xfId="0" applyFont="1" applyFill="1" applyAlignment="1" applyProtection="1">
      <alignment horizontal="justify" vertical="center" wrapText="1"/>
      <protection hidden="1"/>
    </xf>
    <xf numFmtId="0" fontId="92" fillId="37" borderId="0" xfId="0" applyFont="1" applyFill="1" applyAlignment="1" applyProtection="1">
      <alignment horizontal="right" vertical="center"/>
      <protection hidden="1"/>
    </xf>
    <xf numFmtId="0" fontId="77" fillId="2" borderId="0" xfId="0" applyFont="1" applyFill="1" applyAlignment="1" applyProtection="1">
      <alignment horizontal="left" vertical="center" wrapText="1"/>
      <protection hidden="1"/>
    </xf>
    <xf numFmtId="0" fontId="52" fillId="0" borderId="0" xfId="0" applyFont="1" applyAlignment="1" applyProtection="1">
      <alignment horizontal="left" wrapText="1"/>
      <protection hidden="1"/>
    </xf>
    <xf numFmtId="0" fontId="91" fillId="37" borderId="0" xfId="0" applyFont="1" applyFill="1" applyAlignment="1" applyProtection="1">
      <alignment horizontal="left" vertical="center"/>
      <protection hidden="1"/>
    </xf>
    <xf numFmtId="0" fontId="101" fillId="2" borderId="0" xfId="0" applyFont="1" applyFill="1" applyAlignment="1" applyProtection="1">
      <alignment horizontal="left" vertical="center" wrapText="1"/>
      <protection hidden="1"/>
    </xf>
    <xf numFmtId="0" fontId="100" fillId="2" borderId="0" xfId="0" applyFont="1" applyFill="1" applyAlignment="1" applyProtection="1">
      <alignment horizontal="left" vertical="center" wrapText="1"/>
      <protection hidden="1"/>
    </xf>
    <xf numFmtId="0" fontId="55" fillId="2" borderId="0" xfId="0" applyFont="1" applyFill="1" applyAlignment="1" applyProtection="1">
      <alignment horizontal="justify" vertical="center" wrapText="1"/>
      <protection hidden="1"/>
    </xf>
    <xf numFmtId="0" fontId="94" fillId="2" borderId="0" xfId="0" applyFont="1" applyFill="1" applyAlignment="1" applyProtection="1">
      <alignment horizontal="left" wrapText="1"/>
      <protection hidden="1"/>
    </xf>
    <xf numFmtId="0" fontId="52" fillId="0" borderId="33" xfId="0" applyFont="1" applyBorder="1" applyAlignment="1" applyProtection="1">
      <alignment horizontal="center"/>
      <protection hidden="1"/>
    </xf>
    <xf numFmtId="0" fontId="52" fillId="0" borderId="34" xfId="0" applyFont="1" applyBorder="1" applyAlignment="1" applyProtection="1">
      <alignment horizontal="center"/>
      <protection hidden="1"/>
    </xf>
    <xf numFmtId="0" fontId="52" fillId="0" borderId="35" xfId="0" applyFont="1" applyBorder="1" applyAlignment="1" applyProtection="1">
      <alignment horizontal="center"/>
      <protection hidden="1"/>
    </xf>
    <xf numFmtId="0" fontId="85" fillId="2" borderId="0" xfId="0" applyFont="1" applyFill="1" applyAlignment="1" applyProtection="1">
      <alignment horizontal="left" vertical="center" wrapText="1"/>
      <protection hidden="1"/>
    </xf>
    <xf numFmtId="0" fontId="52" fillId="23" borderId="0" xfId="0" applyFont="1" applyFill="1" applyAlignment="1" applyProtection="1">
      <alignment horizontal="left" vertical="center" wrapText="1"/>
      <protection hidden="1"/>
    </xf>
    <xf numFmtId="0" fontId="52" fillId="2" borderId="0" xfId="0" applyFont="1" applyFill="1" applyAlignment="1" applyProtection="1">
      <alignment horizontal="center" vertical="justify" wrapText="1"/>
      <protection hidden="1"/>
    </xf>
    <xf numFmtId="0" fontId="56" fillId="2" borderId="0" xfId="0" applyFont="1" applyFill="1" applyAlignment="1" applyProtection="1">
      <alignment horizontal="justify" vertical="center" wrapText="1"/>
      <protection hidden="1"/>
    </xf>
    <xf numFmtId="0" fontId="52" fillId="2" borderId="0" xfId="0" applyFont="1" applyFill="1" applyAlignment="1" applyProtection="1">
      <alignment horizontal="left" vertical="justify" wrapText="1"/>
      <protection hidden="1"/>
    </xf>
    <xf numFmtId="0" fontId="0" fillId="0" borderId="0" xfId="0" applyAlignment="1">
      <alignment horizontal="left" wrapText="1"/>
    </xf>
    <xf numFmtId="0" fontId="128" fillId="0" borderId="70" xfId="0" applyFont="1" applyBorder="1" applyAlignment="1" applyProtection="1">
      <alignment horizontal="left"/>
      <protection locked="0"/>
    </xf>
    <xf numFmtId="0" fontId="128" fillId="0" borderId="72" xfId="0" applyFont="1" applyBorder="1" applyAlignment="1" applyProtection="1">
      <alignment horizontal="left"/>
      <protection locked="0"/>
    </xf>
    <xf numFmtId="49" fontId="14" fillId="0" borderId="0" xfId="0" applyNumberFormat="1" applyFont="1" applyAlignment="1">
      <alignment horizontal="left" vertical="center"/>
    </xf>
    <xf numFmtId="0" fontId="0" fillId="0" borderId="0" xfId="0" applyAlignment="1">
      <alignment horizontal="center" wrapText="1"/>
    </xf>
    <xf numFmtId="0" fontId="70" fillId="0" borderId="43" xfId="0" applyFont="1" applyFill="1" applyBorder="1" applyAlignment="1">
      <alignment vertical="center"/>
    </xf>
    <xf numFmtId="0" fontId="70" fillId="0" borderId="46" xfId="0" applyFont="1" applyFill="1" applyBorder="1" applyAlignment="1">
      <alignment vertical="center"/>
    </xf>
    <xf numFmtId="0" fontId="70" fillId="0" borderId="44" xfId="0" applyFont="1" applyFill="1" applyBorder="1" applyAlignment="1">
      <alignment horizontal="center" vertical="center" wrapText="1"/>
    </xf>
    <xf numFmtId="0" fontId="70" fillId="0" borderId="45" xfId="0" applyFont="1" applyFill="1" applyBorder="1" applyAlignment="1">
      <alignment horizontal="center" vertical="center" wrapText="1"/>
    </xf>
    <xf numFmtId="0" fontId="71" fillId="0" borderId="0" xfId="0" applyFont="1" applyFill="1" applyAlignment="1">
      <alignment horizontal="left" vertical="center"/>
    </xf>
    <xf numFmtId="0" fontId="48" fillId="0" borderId="20" xfId="4" applyFont="1" applyBorder="1" applyAlignment="1">
      <alignment horizontal="center" vertical="center" wrapText="1"/>
    </xf>
    <xf numFmtId="0" fontId="48" fillId="0" borderId="21" xfId="4" applyFont="1" applyBorder="1" applyAlignment="1">
      <alignment horizontal="center" vertical="center" wrapText="1"/>
    </xf>
    <xf numFmtId="0" fontId="104" fillId="3" borderId="0" xfId="0" applyFont="1" applyFill="1" applyBorder="1" applyAlignment="1">
      <alignment horizontal="center" vertical="center"/>
    </xf>
    <xf numFmtId="0" fontId="88" fillId="0" borderId="0" xfId="12" applyFont="1" applyFill="1" applyAlignment="1" applyProtection="1">
      <alignment horizontal="center" vertical="center"/>
      <protection hidden="1"/>
    </xf>
    <xf numFmtId="0" fontId="63" fillId="2" borderId="23" xfId="12" applyFont="1" applyFill="1" applyBorder="1" applyAlignment="1" applyProtection="1">
      <alignment horizontal="left"/>
      <protection hidden="1"/>
    </xf>
    <xf numFmtId="0" fontId="63" fillId="2" borderId="24" xfId="12" applyFont="1" applyFill="1" applyBorder="1" applyAlignment="1" applyProtection="1">
      <alignment horizontal="left"/>
      <protection hidden="1"/>
    </xf>
    <xf numFmtId="0" fontId="63" fillId="2" borderId="25" xfId="12" applyFont="1" applyFill="1" applyBorder="1" applyAlignment="1" applyProtection="1">
      <alignment horizontal="left"/>
      <protection hidden="1"/>
    </xf>
    <xf numFmtId="3" fontId="56" fillId="0" borderId="23" xfId="0" applyNumberFormat="1" applyFont="1" applyFill="1" applyBorder="1" applyAlignment="1" applyProtection="1">
      <alignment horizontal="right"/>
      <protection hidden="1"/>
    </xf>
    <xf numFmtId="3" fontId="56" fillId="0" borderId="24" xfId="0" applyNumberFormat="1" applyFont="1" applyFill="1" applyBorder="1" applyAlignment="1" applyProtection="1">
      <alignment horizontal="right"/>
      <protection hidden="1"/>
    </xf>
    <xf numFmtId="3" fontId="56" fillId="0" borderId="25" xfId="0" applyNumberFormat="1" applyFont="1" applyFill="1" applyBorder="1" applyAlignment="1" applyProtection="1">
      <alignment horizontal="right"/>
      <protection hidden="1"/>
    </xf>
    <xf numFmtId="0" fontId="104" fillId="3" borderId="4" xfId="0" applyFont="1" applyFill="1" applyBorder="1" applyAlignment="1">
      <alignment horizontal="center" vertical="center"/>
    </xf>
    <xf numFmtId="0" fontId="54" fillId="0" borderId="56" xfId="0" applyFont="1" applyBorder="1" applyAlignment="1" applyProtection="1">
      <alignment horizontal="left" vertical="center" wrapText="1"/>
      <protection hidden="1"/>
    </xf>
    <xf numFmtId="10" fontId="56" fillId="23" borderId="23" xfId="1" applyNumberFormat="1" applyFont="1" applyFill="1" applyBorder="1" applyAlignment="1" applyProtection="1">
      <alignment horizontal="center"/>
      <protection hidden="1"/>
    </xf>
    <xf numFmtId="10" fontId="56" fillId="23" borderId="24" xfId="1" applyNumberFormat="1" applyFont="1" applyFill="1" applyBorder="1" applyAlignment="1" applyProtection="1">
      <alignment horizontal="center"/>
      <protection hidden="1"/>
    </xf>
    <xf numFmtId="10" fontId="56" fillId="23" borderId="25" xfId="1" applyNumberFormat="1" applyFont="1" applyFill="1" applyBorder="1" applyAlignment="1" applyProtection="1">
      <alignment horizontal="center"/>
      <protection hidden="1"/>
    </xf>
    <xf numFmtId="0" fontId="61" fillId="0" borderId="23" xfId="0" applyFont="1" applyBorder="1" applyAlignment="1" applyProtection="1">
      <alignment horizontal="center" vertical="center"/>
      <protection hidden="1"/>
    </xf>
    <xf numFmtId="0" fontId="61" fillId="0" borderId="24" xfId="0" applyFont="1" applyBorder="1" applyAlignment="1" applyProtection="1">
      <alignment horizontal="center" vertical="center"/>
      <protection hidden="1"/>
    </xf>
    <xf numFmtId="0" fontId="61" fillId="0" borderId="25" xfId="0" applyFont="1" applyBorder="1" applyAlignment="1" applyProtection="1">
      <alignment horizontal="center" vertical="center"/>
      <protection hidden="1"/>
    </xf>
    <xf numFmtId="0" fontId="61" fillId="0" borderId="51" xfId="0" applyFont="1" applyBorder="1" applyAlignment="1" applyProtection="1">
      <alignment horizontal="center" wrapText="1"/>
      <protection hidden="1"/>
    </xf>
    <xf numFmtId="0" fontId="61" fillId="0" borderId="56" xfId="0" applyFont="1" applyBorder="1" applyAlignment="1" applyProtection="1">
      <alignment horizontal="center" wrapText="1"/>
      <protection hidden="1"/>
    </xf>
    <xf numFmtId="0" fontId="61" fillId="0" borderId="52" xfId="0" applyFont="1" applyBorder="1" applyAlignment="1" applyProtection="1">
      <alignment horizontal="center" wrapText="1"/>
      <protection hidden="1"/>
    </xf>
    <xf numFmtId="0" fontId="61" fillId="0" borderId="56" xfId="0" applyFont="1" applyBorder="1" applyAlignment="1" applyProtection="1">
      <alignment horizontal="center" vertical="center"/>
      <protection hidden="1"/>
    </xf>
    <xf numFmtId="0" fontId="61" fillId="0" borderId="52" xfId="0" applyFont="1" applyBorder="1" applyAlignment="1" applyProtection="1">
      <alignment horizontal="center" vertical="center"/>
      <protection hidden="1"/>
    </xf>
    <xf numFmtId="0" fontId="61" fillId="0" borderId="25" xfId="0" applyFont="1" applyBorder="1" applyAlignment="1" applyProtection="1">
      <alignment horizontal="center" wrapText="1"/>
      <protection hidden="1"/>
    </xf>
    <xf numFmtId="3" fontId="56" fillId="0" borderId="24" xfId="0" applyNumberFormat="1" applyFont="1" applyBorder="1" applyAlignment="1" applyProtection="1">
      <alignment horizontal="right"/>
      <protection hidden="1"/>
    </xf>
    <xf numFmtId="9" fontId="56" fillId="18" borderId="23" xfId="1" applyFont="1" applyFill="1" applyBorder="1" applyAlignment="1" applyProtection="1">
      <alignment horizontal="center"/>
      <protection hidden="1"/>
    </xf>
    <xf numFmtId="9" fontId="56" fillId="18" borderId="25" xfId="1" applyFont="1" applyFill="1" applyBorder="1" applyAlignment="1" applyProtection="1">
      <alignment horizontal="center"/>
      <protection hidden="1"/>
    </xf>
    <xf numFmtId="9" fontId="56" fillId="5" borderId="23" xfId="1" applyFont="1" applyFill="1" applyBorder="1" applyAlignment="1" applyProtection="1">
      <alignment horizontal="center"/>
      <protection hidden="1"/>
    </xf>
    <xf numFmtId="9" fontId="56" fillId="5" borderId="25" xfId="1" applyFont="1" applyFill="1" applyBorder="1" applyAlignment="1" applyProtection="1">
      <alignment horizontal="center"/>
      <protection hidden="1"/>
    </xf>
    <xf numFmtId="169" fontId="56" fillId="5" borderId="23" xfId="0" applyNumberFormat="1" applyFont="1" applyFill="1" applyBorder="1" applyAlignment="1" applyProtection="1">
      <alignment horizontal="center"/>
      <protection hidden="1"/>
    </xf>
    <xf numFmtId="169" fontId="56" fillId="5" borderId="25" xfId="0" applyNumberFormat="1" applyFont="1" applyFill="1" applyBorder="1" applyAlignment="1" applyProtection="1">
      <alignment horizontal="center"/>
      <protection hidden="1"/>
    </xf>
    <xf numFmtId="169" fontId="56" fillId="18" borderId="23" xfId="0" applyNumberFormat="1" applyFont="1" applyFill="1" applyBorder="1" applyAlignment="1" applyProtection="1">
      <alignment horizontal="center"/>
      <protection hidden="1"/>
    </xf>
    <xf numFmtId="169" fontId="56" fillId="18" borderId="25" xfId="0" applyNumberFormat="1" applyFont="1" applyFill="1" applyBorder="1" applyAlignment="1" applyProtection="1">
      <alignment horizontal="center"/>
      <protection hidden="1"/>
    </xf>
    <xf numFmtId="0" fontId="60" fillId="0" borderId="22" xfId="0" applyFont="1" applyBorder="1" applyAlignment="1" applyProtection="1">
      <alignment horizontal="center" wrapText="1"/>
      <protection hidden="1"/>
    </xf>
    <xf numFmtId="0" fontId="60" fillId="0" borderId="70" xfId="0" applyFont="1" applyBorder="1" applyAlignment="1" applyProtection="1">
      <alignment horizontal="left"/>
      <protection locked="0" hidden="1"/>
    </xf>
    <xf numFmtId="0" fontId="60" fillId="0" borderId="71" xfId="0" applyFont="1" applyBorder="1" applyAlignment="1" applyProtection="1">
      <alignment horizontal="left"/>
      <protection locked="0" hidden="1"/>
    </xf>
    <xf numFmtId="0" fontId="60" fillId="0" borderId="72" xfId="0" applyFont="1" applyBorder="1" applyAlignment="1" applyProtection="1">
      <alignment horizontal="left"/>
      <protection locked="0" hidden="1"/>
    </xf>
    <xf numFmtId="3" fontId="60" fillId="0" borderId="69" xfId="0" applyNumberFormat="1" applyFont="1" applyBorder="1" applyAlignment="1" applyProtection="1">
      <alignment horizontal="right"/>
      <protection hidden="1"/>
    </xf>
    <xf numFmtId="3" fontId="60" fillId="0" borderId="27" xfId="0" applyNumberFormat="1" applyFont="1" applyBorder="1" applyAlignment="1" applyProtection="1">
      <alignment horizontal="right"/>
      <protection hidden="1"/>
    </xf>
    <xf numFmtId="3" fontId="60" fillId="0" borderId="73" xfId="0" applyNumberFormat="1" applyFont="1" applyBorder="1" applyAlignment="1" applyProtection="1">
      <alignment horizontal="right"/>
      <protection hidden="1"/>
    </xf>
    <xf numFmtId="3" fontId="60" fillId="0" borderId="26" xfId="0" applyNumberFormat="1" applyFont="1" applyBorder="1" applyAlignment="1" applyProtection="1">
      <alignment horizontal="right"/>
      <protection hidden="1"/>
    </xf>
    <xf numFmtId="0" fontId="60" fillId="0" borderId="70" xfId="0" applyFont="1" applyBorder="1" applyAlignment="1" applyProtection="1">
      <alignment horizontal="left" wrapText="1"/>
      <protection locked="0"/>
    </xf>
    <xf numFmtId="0" fontId="60" fillId="0" borderId="72" xfId="0" applyFont="1" applyBorder="1" applyAlignment="1" applyProtection="1">
      <alignment horizontal="left" wrapText="1"/>
      <protection locked="0"/>
    </xf>
    <xf numFmtId="0" fontId="60" fillId="0" borderId="70" xfId="0" applyFont="1" applyBorder="1" applyAlignment="1" applyProtection="1">
      <alignment horizontal="center" wrapText="1"/>
      <protection locked="0"/>
    </xf>
    <xf numFmtId="0" fontId="60" fillId="0" borderId="72" xfId="0" applyFont="1" applyBorder="1" applyAlignment="1" applyProtection="1">
      <alignment horizontal="center" wrapText="1"/>
      <protection locked="0"/>
    </xf>
    <xf numFmtId="0" fontId="60" fillId="23" borderId="70" xfId="0" applyFont="1" applyFill="1" applyBorder="1" applyAlignment="1" applyProtection="1">
      <alignment horizontal="left" wrapText="1"/>
      <protection locked="0"/>
    </xf>
    <xf numFmtId="0" fontId="60" fillId="23" borderId="72" xfId="0" applyFont="1" applyFill="1" applyBorder="1" applyAlignment="1" applyProtection="1">
      <alignment horizontal="left" wrapText="1"/>
      <protection locked="0"/>
    </xf>
    <xf numFmtId="10" fontId="56" fillId="23" borderId="62" xfId="1" applyNumberFormat="1" applyFont="1" applyFill="1" applyBorder="1" applyAlignment="1" applyProtection="1">
      <alignment horizontal="center"/>
      <protection hidden="1"/>
    </xf>
    <xf numFmtId="0" fontId="56" fillId="0" borderId="83" xfId="0" applyFont="1" applyFill="1" applyBorder="1" applyAlignment="1" applyProtection="1">
      <alignment horizontal="center" vertical="center" wrapText="1"/>
      <protection hidden="1"/>
    </xf>
    <xf numFmtId="10" fontId="56" fillId="23" borderId="49" xfId="1" applyNumberFormat="1" applyFont="1" applyFill="1" applyBorder="1" applyAlignment="1" applyProtection="1">
      <alignment horizontal="center"/>
      <protection hidden="1"/>
    </xf>
    <xf numFmtId="10" fontId="56" fillId="23" borderId="55" xfId="1" applyNumberFormat="1" applyFont="1" applyFill="1" applyBorder="1" applyAlignment="1" applyProtection="1">
      <alignment horizontal="center"/>
      <protection hidden="1"/>
    </xf>
    <xf numFmtId="10" fontId="56" fillId="23" borderId="50" xfId="1" applyNumberFormat="1" applyFont="1" applyFill="1" applyBorder="1" applyAlignment="1" applyProtection="1">
      <alignment horizontal="center"/>
      <protection hidden="1"/>
    </xf>
    <xf numFmtId="0" fontId="54" fillId="0" borderId="0" xfId="0" applyFont="1" applyAlignment="1" applyProtection="1">
      <alignment horizontal="left" wrapText="1"/>
      <protection hidden="1"/>
    </xf>
    <xf numFmtId="10" fontId="56" fillId="23" borderId="52" xfId="1" applyNumberFormat="1" applyFont="1" applyFill="1" applyBorder="1" applyAlignment="1" applyProtection="1">
      <alignment horizontal="center"/>
      <protection hidden="1"/>
    </xf>
    <xf numFmtId="0" fontId="63" fillId="0" borderId="0" xfId="0" applyFont="1" applyAlignment="1" applyProtection="1">
      <alignment horizontal="left"/>
      <protection hidden="1"/>
    </xf>
    <xf numFmtId="0" fontId="56" fillId="0" borderId="0" xfId="0" applyFont="1" applyAlignment="1" applyProtection="1">
      <alignment horizontal="left"/>
      <protection hidden="1"/>
    </xf>
    <xf numFmtId="167" fontId="63" fillId="0" borderId="0" xfId="0" applyNumberFormat="1" applyFont="1" applyAlignment="1" applyProtection="1">
      <protection hidden="1"/>
    </xf>
    <xf numFmtId="167" fontId="56" fillId="23" borderId="24" xfId="1" applyNumberFormat="1" applyFont="1" applyFill="1" applyBorder="1" applyAlignment="1" applyProtection="1">
      <alignment horizontal="center"/>
      <protection hidden="1"/>
    </xf>
    <xf numFmtId="167" fontId="88" fillId="0" borderId="0" xfId="0" applyNumberFormat="1" applyFont="1" applyAlignment="1" applyProtection="1">
      <protection hidden="1"/>
    </xf>
    <xf numFmtId="1" fontId="56" fillId="0" borderId="23" xfId="0" applyNumberFormat="1" applyFont="1" applyBorder="1" applyAlignment="1" applyProtection="1">
      <alignment horizontal="center"/>
      <protection hidden="1"/>
    </xf>
    <xf numFmtId="0" fontId="56" fillId="0" borderId="25" xfId="0" applyFont="1" applyBorder="1" applyAlignment="1" applyProtection="1">
      <alignment horizontal="center"/>
      <protection hidden="1"/>
    </xf>
    <xf numFmtId="0" fontId="104" fillId="3" borderId="4" xfId="0" applyFont="1" applyFill="1" applyBorder="1" applyAlignment="1">
      <alignment horizontal="center" vertical="center" wrapText="1"/>
    </xf>
    <xf numFmtId="0" fontId="104" fillId="3" borderId="0" xfId="0" applyFont="1" applyFill="1" applyBorder="1" applyAlignment="1">
      <alignment horizontal="center" vertical="center" wrapText="1"/>
    </xf>
    <xf numFmtId="0" fontId="56" fillId="0" borderId="23" xfId="0" applyFont="1" applyBorder="1" applyAlignment="1" applyProtection="1">
      <alignment horizontal="left"/>
      <protection hidden="1"/>
    </xf>
    <xf numFmtId="0" fontId="56" fillId="0" borderId="24" xfId="0" applyFont="1" applyBorder="1" applyAlignment="1" applyProtection="1">
      <alignment horizontal="left"/>
      <protection hidden="1"/>
    </xf>
    <xf numFmtId="0" fontId="56" fillId="0" borderId="25" xfId="0" applyFont="1" applyBorder="1" applyAlignment="1" applyProtection="1">
      <alignment horizontal="left"/>
      <protection hidden="1"/>
    </xf>
    <xf numFmtId="0" fontId="55" fillId="0" borderId="0" xfId="0" applyFont="1" applyAlignment="1" applyProtection="1">
      <alignment horizontal="center" vertical="center" wrapText="1"/>
      <protection hidden="1"/>
    </xf>
    <xf numFmtId="0" fontId="102" fillId="23" borderId="0" xfId="0" applyFont="1" applyFill="1" applyBorder="1" applyAlignment="1" applyProtection="1">
      <alignment horizontal="center"/>
      <protection locked="0"/>
    </xf>
    <xf numFmtId="0" fontId="102" fillId="0" borderId="70" xfId="0" applyFont="1" applyBorder="1" applyAlignment="1" applyProtection="1">
      <alignment horizontal="center"/>
      <protection locked="0"/>
    </xf>
    <xf numFmtId="0" fontId="102" fillId="0" borderId="71" xfId="0" applyFont="1" applyBorder="1" applyAlignment="1" applyProtection="1">
      <alignment horizontal="center"/>
      <protection locked="0"/>
    </xf>
    <xf numFmtId="0" fontId="102" fillId="0" borderId="72" xfId="0" applyFont="1" applyBorder="1" applyAlignment="1" applyProtection="1">
      <alignment horizontal="center"/>
      <protection locked="0"/>
    </xf>
    <xf numFmtId="3" fontId="56" fillId="0" borderId="23" xfId="0" applyNumberFormat="1" applyFont="1" applyBorder="1" applyAlignment="1" applyProtection="1">
      <alignment horizontal="center"/>
      <protection hidden="1"/>
    </xf>
    <xf numFmtId="9" fontId="56" fillId="23" borderId="23" xfId="0" applyNumberFormat="1" applyFont="1" applyFill="1" applyBorder="1" applyAlignment="1" applyProtection="1">
      <alignment horizontal="center"/>
      <protection hidden="1"/>
    </xf>
    <xf numFmtId="0" fontId="56" fillId="23" borderId="25" xfId="0" applyFont="1" applyFill="1" applyBorder="1" applyAlignment="1" applyProtection="1">
      <alignment horizontal="center"/>
      <protection hidden="1"/>
    </xf>
    <xf numFmtId="0" fontId="54" fillId="5" borderId="0" xfId="0" applyFont="1" applyFill="1" applyAlignment="1" applyProtection="1">
      <alignment horizontal="center"/>
      <protection hidden="1"/>
    </xf>
    <xf numFmtId="0" fontId="56" fillId="0" borderId="23" xfId="0" applyFont="1" applyBorder="1" applyAlignment="1" applyProtection="1">
      <alignment horizontal="center"/>
      <protection hidden="1"/>
    </xf>
    <xf numFmtId="1" fontId="56" fillId="23" borderId="23" xfId="0" applyNumberFormat="1" applyFont="1" applyFill="1" applyBorder="1" applyAlignment="1" applyProtection="1">
      <alignment horizontal="center"/>
      <protection hidden="1"/>
    </xf>
    <xf numFmtId="0" fontId="56" fillId="23" borderId="23" xfId="0" applyFont="1" applyFill="1" applyBorder="1" applyAlignment="1" applyProtection="1">
      <alignment horizontal="left"/>
      <protection hidden="1"/>
    </xf>
    <xf numFmtId="0" fontId="56" fillId="23" borderId="24" xfId="0" applyFont="1" applyFill="1" applyBorder="1" applyAlignment="1" applyProtection="1">
      <alignment horizontal="left"/>
      <protection hidden="1"/>
    </xf>
    <xf numFmtId="0" fontId="56" fillId="23" borderId="25" xfId="0" applyFont="1" applyFill="1" applyBorder="1" applyAlignment="1" applyProtection="1">
      <alignment horizontal="left"/>
      <protection hidden="1"/>
    </xf>
    <xf numFmtId="9" fontId="56" fillId="23" borderId="22" xfId="1" applyFont="1" applyFill="1" applyBorder="1" applyAlignment="1" applyProtection="1">
      <alignment horizontal="right"/>
      <protection hidden="1"/>
    </xf>
    <xf numFmtId="3" fontId="56" fillId="0" borderId="22" xfId="0" applyNumberFormat="1" applyFont="1" applyFill="1" applyBorder="1" applyAlignment="1" applyProtection="1">
      <alignment horizontal="center"/>
      <protection hidden="1"/>
    </xf>
    <xf numFmtId="3" fontId="56" fillId="0" borderId="22" xfId="0" applyNumberFormat="1" applyFont="1" applyBorder="1" applyAlignment="1" applyProtection="1">
      <alignment horizontal="center"/>
      <protection hidden="1"/>
    </xf>
    <xf numFmtId="3" fontId="56" fillId="0" borderId="24" xfId="0" applyNumberFormat="1" applyFont="1" applyBorder="1" applyAlignment="1" applyProtection="1">
      <alignment horizontal="center"/>
      <protection hidden="1"/>
    </xf>
    <xf numFmtId="3" fontId="56" fillId="0" borderId="25" xfId="0" applyNumberFormat="1" applyFont="1" applyBorder="1" applyAlignment="1" applyProtection="1">
      <alignment horizontal="center"/>
      <protection hidden="1"/>
    </xf>
    <xf numFmtId="9" fontId="56" fillId="23" borderId="23" xfId="1" applyNumberFormat="1" applyFont="1" applyFill="1" applyBorder="1" applyAlignment="1" applyProtection="1">
      <alignment horizontal="center"/>
      <protection hidden="1"/>
    </xf>
    <xf numFmtId="9" fontId="56" fillId="23" borderId="24" xfId="1" applyNumberFormat="1" applyFont="1" applyFill="1" applyBorder="1" applyAlignment="1" applyProtection="1">
      <alignment horizontal="center"/>
      <protection hidden="1"/>
    </xf>
    <xf numFmtId="9" fontId="56" fillId="23" borderId="25" xfId="1" applyNumberFormat="1" applyFont="1" applyFill="1" applyBorder="1" applyAlignment="1" applyProtection="1">
      <alignment horizontal="center"/>
      <protection hidden="1"/>
    </xf>
    <xf numFmtId="0" fontId="65" fillId="5" borderId="79" xfId="0" applyFont="1" applyFill="1" applyBorder="1" applyAlignment="1" applyProtection="1">
      <alignment horizontal="center"/>
      <protection locked="0"/>
    </xf>
    <xf numFmtId="0" fontId="65" fillId="5" borderId="80" xfId="0" applyFont="1" applyFill="1" applyBorder="1" applyAlignment="1" applyProtection="1">
      <alignment horizontal="center"/>
      <protection locked="0"/>
    </xf>
    <xf numFmtId="0" fontId="65" fillId="5" borderId="81" xfId="0" applyFont="1" applyFill="1" applyBorder="1" applyAlignment="1" applyProtection="1">
      <alignment horizontal="center"/>
      <protection locked="0"/>
    </xf>
    <xf numFmtId="0" fontId="65" fillId="18" borderId="79" xfId="0" applyFont="1" applyFill="1" applyBorder="1" applyAlignment="1" applyProtection="1">
      <alignment horizontal="center"/>
      <protection locked="0"/>
    </xf>
    <xf numFmtId="0" fontId="65" fillId="18" borderId="80" xfId="0" applyFont="1" applyFill="1" applyBorder="1" applyAlignment="1" applyProtection="1">
      <alignment horizontal="center"/>
      <protection locked="0"/>
    </xf>
    <xf numFmtId="0" fontId="65" fillId="18" borderId="81" xfId="0" applyFont="1" applyFill="1" applyBorder="1" applyAlignment="1" applyProtection="1">
      <alignment horizontal="center"/>
      <protection locked="0"/>
    </xf>
    <xf numFmtId="0" fontId="52" fillId="5" borderId="0" xfId="0" applyFont="1" applyFill="1" applyAlignment="1" applyProtection="1">
      <alignment horizontal="left"/>
      <protection hidden="1"/>
    </xf>
    <xf numFmtId="0" fontId="52" fillId="18" borderId="0" xfId="0" applyFont="1" applyFill="1" applyAlignment="1" applyProtection="1">
      <alignment horizontal="left"/>
      <protection hidden="1"/>
    </xf>
    <xf numFmtId="0" fontId="57" fillId="0" borderId="0" xfId="0" applyFont="1" applyFill="1" applyAlignment="1" applyProtection="1">
      <alignment horizontal="right"/>
      <protection hidden="1"/>
    </xf>
    <xf numFmtId="0" fontId="52" fillId="0" borderId="22" xfId="0" applyFont="1" applyBorder="1" applyAlignment="1" applyProtection="1">
      <alignment horizontal="center" vertical="center" wrapText="1"/>
      <protection hidden="1"/>
    </xf>
    <xf numFmtId="0" fontId="61" fillId="0" borderId="23" xfId="0" applyFont="1" applyBorder="1" applyAlignment="1" applyProtection="1">
      <alignment horizontal="center" vertical="center" wrapText="1"/>
      <protection hidden="1"/>
    </xf>
    <xf numFmtId="0" fontId="61" fillId="0" borderId="24" xfId="0" applyFont="1" applyBorder="1" applyAlignment="1" applyProtection="1">
      <alignment horizontal="center" vertical="center" wrapText="1"/>
      <protection hidden="1"/>
    </xf>
    <xf numFmtId="0" fontId="61" fillId="0" borderId="25" xfId="0" applyFont="1" applyBorder="1" applyAlignment="1" applyProtection="1">
      <alignment horizontal="center" vertical="center" wrapText="1"/>
      <protection hidden="1"/>
    </xf>
    <xf numFmtId="9" fontId="56" fillId="23" borderId="23" xfId="1" applyFont="1" applyFill="1" applyBorder="1" applyAlignment="1" applyProtection="1">
      <alignment horizontal="center"/>
      <protection hidden="1"/>
    </xf>
    <xf numFmtId="9" fontId="56" fillId="23" borderId="24" xfId="1" applyFont="1" applyFill="1" applyBorder="1" applyAlignment="1" applyProtection="1">
      <alignment horizontal="center"/>
      <protection hidden="1"/>
    </xf>
    <xf numFmtId="9" fontId="56" fillId="23" borderId="25" xfId="1" applyFont="1" applyFill="1" applyBorder="1" applyAlignment="1" applyProtection="1">
      <alignment horizontal="center"/>
      <protection hidden="1"/>
    </xf>
    <xf numFmtId="3" fontId="56" fillId="0" borderId="23" xfId="0" applyNumberFormat="1" applyFont="1" applyFill="1" applyBorder="1" applyAlignment="1" applyProtection="1">
      <alignment horizontal="center"/>
      <protection hidden="1"/>
    </xf>
    <xf numFmtId="3" fontId="56" fillId="0" borderId="24" xfId="0" applyNumberFormat="1" applyFont="1" applyFill="1" applyBorder="1" applyAlignment="1" applyProtection="1">
      <alignment horizontal="center"/>
      <protection hidden="1"/>
    </xf>
    <xf numFmtId="3" fontId="56" fillId="0" borderId="25" xfId="0" applyNumberFormat="1" applyFont="1" applyFill="1" applyBorder="1" applyAlignment="1" applyProtection="1">
      <alignment horizontal="center"/>
      <protection hidden="1"/>
    </xf>
    <xf numFmtId="0" fontId="52" fillId="0" borderId="23" xfId="0" applyFont="1" applyBorder="1" applyAlignment="1" applyProtection="1">
      <alignment horizontal="center" vertical="center" wrapText="1"/>
      <protection hidden="1"/>
    </xf>
    <xf numFmtId="0" fontId="52" fillId="0" borderId="24" xfId="0" applyFont="1" applyBorder="1" applyAlignment="1" applyProtection="1">
      <alignment horizontal="center" vertical="center" wrapText="1"/>
      <protection hidden="1"/>
    </xf>
    <xf numFmtId="0" fontId="52" fillId="0" borderId="25" xfId="0" applyFont="1" applyBorder="1" applyAlignment="1" applyProtection="1">
      <alignment horizontal="center" vertical="center" wrapText="1"/>
      <protection hidden="1"/>
    </xf>
    <xf numFmtId="3" fontId="56" fillId="0" borderId="0" xfId="0" applyNumberFormat="1" applyFont="1" applyFill="1" applyAlignment="1" applyProtection="1">
      <alignment horizontal="right"/>
      <protection hidden="1"/>
    </xf>
    <xf numFmtId="3" fontId="56" fillId="0" borderId="0" xfId="0" applyNumberFormat="1" applyFont="1" applyAlignment="1" applyProtection="1">
      <alignment horizontal="right"/>
      <protection hidden="1"/>
    </xf>
    <xf numFmtId="170" fontId="56" fillId="23" borderId="0" xfId="1" applyNumberFormat="1" applyFont="1" applyFill="1" applyAlignment="1" applyProtection="1">
      <alignment horizontal="right"/>
      <protection hidden="1"/>
    </xf>
    <xf numFmtId="173" fontId="105" fillId="0" borderId="0" xfId="0" applyNumberFormat="1" applyFont="1" applyAlignment="1" applyProtection="1">
      <alignment horizontal="right"/>
      <protection hidden="1"/>
    </xf>
    <xf numFmtId="0" fontId="65" fillId="6" borderId="70" xfId="0" applyFont="1" applyFill="1" applyBorder="1" applyAlignment="1" applyProtection="1">
      <alignment horizontal="center"/>
      <protection locked="0"/>
    </xf>
    <xf numFmtId="0" fontId="65" fillId="6" borderId="71" xfId="0" applyFont="1" applyFill="1" applyBorder="1" applyAlignment="1" applyProtection="1">
      <alignment horizontal="center"/>
      <protection locked="0"/>
    </xf>
    <xf numFmtId="0" fontId="65" fillId="6" borderId="72" xfId="0" applyFont="1" applyFill="1" applyBorder="1" applyAlignment="1" applyProtection="1">
      <alignment horizontal="center"/>
      <protection locked="0"/>
    </xf>
    <xf numFmtId="0" fontId="56" fillId="0" borderId="70" xfId="0" applyFont="1" applyFill="1" applyBorder="1" applyAlignment="1" applyProtection="1">
      <alignment horizontal="center"/>
      <protection locked="0"/>
    </xf>
    <xf numFmtId="0" fontId="56" fillId="0" borderId="71" xfId="0" applyFont="1" applyFill="1" applyBorder="1" applyAlignment="1" applyProtection="1">
      <alignment horizontal="center"/>
      <protection locked="0"/>
    </xf>
    <xf numFmtId="0" fontId="56" fillId="0" borderId="72" xfId="0" applyFont="1" applyFill="1" applyBorder="1" applyAlignment="1" applyProtection="1">
      <alignment horizontal="center"/>
      <protection locked="0"/>
    </xf>
    <xf numFmtId="0" fontId="63" fillId="2" borderId="0" xfId="0" applyFont="1" applyFill="1" applyAlignment="1" applyProtection="1">
      <alignment horizontal="left"/>
      <protection hidden="1"/>
    </xf>
    <xf numFmtId="0" fontId="50" fillId="0" borderId="0" xfId="0" applyFont="1" applyAlignment="1" applyProtection="1">
      <alignment horizontal="center"/>
      <protection hidden="1"/>
    </xf>
    <xf numFmtId="0" fontId="63" fillId="2" borderId="0" xfId="0" applyFont="1" applyFill="1" applyAlignment="1" applyProtection="1">
      <alignment horizontal="left" vertical="center" wrapText="1"/>
      <protection hidden="1"/>
    </xf>
    <xf numFmtId="0" fontId="50" fillId="0" borderId="0" xfId="0" applyFont="1" applyAlignment="1" applyProtection="1">
      <alignment horizontal="right"/>
      <protection hidden="1"/>
    </xf>
    <xf numFmtId="168" fontId="56" fillId="0" borderId="0" xfId="0" applyNumberFormat="1" applyFont="1" applyFill="1" applyAlignment="1" applyProtection="1">
      <alignment horizontal="right"/>
      <protection hidden="1"/>
    </xf>
    <xf numFmtId="168" fontId="56" fillId="0" borderId="0" xfId="0" applyNumberFormat="1" applyFont="1" applyAlignment="1" applyProtection="1">
      <alignment horizontal="right"/>
      <protection hidden="1"/>
    </xf>
    <xf numFmtId="167" fontId="50" fillId="0" borderId="0" xfId="1" applyNumberFormat="1" applyFont="1" applyAlignment="1" applyProtection="1">
      <alignment horizontal="center"/>
      <protection hidden="1"/>
    </xf>
    <xf numFmtId="167" fontId="50" fillId="0" borderId="0" xfId="1" applyNumberFormat="1" applyFont="1" applyFill="1" applyAlignment="1" applyProtection="1">
      <alignment horizontal="center"/>
      <protection hidden="1"/>
    </xf>
    <xf numFmtId="175" fontId="56" fillId="23" borderId="0" xfId="1" applyNumberFormat="1" applyFont="1" applyFill="1" applyAlignment="1" applyProtection="1">
      <alignment horizontal="right"/>
      <protection hidden="1"/>
    </xf>
    <xf numFmtId="167" fontId="56" fillId="23" borderId="0" xfId="1" applyNumberFormat="1" applyFont="1" applyFill="1" applyAlignment="1" applyProtection="1">
      <alignment horizontal="right"/>
      <protection hidden="1"/>
    </xf>
    <xf numFmtId="167" fontId="138" fillId="0" borderId="0" xfId="1" applyNumberFormat="1" applyFont="1" applyAlignment="1" applyProtection="1">
      <alignment horizontal="center"/>
      <protection hidden="1"/>
    </xf>
    <xf numFmtId="0" fontId="88" fillId="18" borderId="70" xfId="0" applyFont="1" applyFill="1" applyBorder="1" applyAlignment="1" applyProtection="1">
      <alignment horizontal="center"/>
      <protection locked="0"/>
    </xf>
    <xf numFmtId="0" fontId="88" fillId="18" borderId="71" xfId="0" applyFont="1" applyFill="1" applyBorder="1" applyAlignment="1" applyProtection="1">
      <alignment horizontal="center"/>
      <protection locked="0"/>
    </xf>
    <xf numFmtId="0" fontId="88" fillId="18" borderId="72" xfId="0" applyFont="1" applyFill="1" applyBorder="1" applyAlignment="1" applyProtection="1">
      <alignment horizontal="center"/>
      <protection locked="0"/>
    </xf>
    <xf numFmtId="167" fontId="56" fillId="0" borderId="0" xfId="1" applyNumberFormat="1" applyFont="1" applyFill="1" applyAlignment="1" applyProtection="1">
      <alignment horizontal="center"/>
      <protection hidden="1"/>
    </xf>
    <xf numFmtId="167" fontId="56" fillId="0" borderId="0" xfId="1" applyNumberFormat="1" applyFont="1" applyAlignment="1" applyProtection="1">
      <alignment horizontal="center"/>
      <protection hidden="1"/>
    </xf>
    <xf numFmtId="167" fontId="149" fillId="23" borderId="0" xfId="1" applyNumberFormat="1" applyFont="1" applyFill="1" applyAlignment="1" applyProtection="1">
      <alignment horizontal="right"/>
      <protection hidden="1"/>
    </xf>
    <xf numFmtId="167" fontId="50" fillId="0" borderId="0" xfId="1" applyNumberFormat="1" applyFont="1" applyAlignment="1" applyProtection="1">
      <alignment horizontal="right"/>
      <protection hidden="1"/>
    </xf>
    <xf numFmtId="9" fontId="60" fillId="23" borderId="0" xfId="1" applyNumberFormat="1" applyFont="1" applyFill="1" applyAlignment="1" applyProtection="1">
      <alignment horizontal="right" vertical="center"/>
      <protection hidden="1"/>
    </xf>
    <xf numFmtId="0" fontId="88" fillId="5" borderId="0" xfId="0" applyFont="1" applyFill="1" applyAlignment="1" applyProtection="1">
      <alignment horizontal="center"/>
      <protection hidden="1"/>
    </xf>
    <xf numFmtId="0" fontId="88" fillId="18" borderId="0" xfId="0" applyFont="1" applyFill="1" applyAlignment="1" applyProtection="1">
      <alignment horizontal="center"/>
      <protection hidden="1"/>
    </xf>
    <xf numFmtId="3" fontId="56" fillId="0" borderId="24" xfId="0" applyNumberFormat="1" applyFont="1" applyBorder="1" applyAlignment="1" applyProtection="1">
      <alignment horizontal="center" vertical="center"/>
      <protection hidden="1"/>
    </xf>
    <xf numFmtId="3" fontId="56" fillId="0" borderId="25" xfId="0" applyNumberFormat="1" applyFont="1" applyBorder="1" applyAlignment="1" applyProtection="1">
      <alignment horizontal="center" vertical="center"/>
      <protection hidden="1"/>
    </xf>
    <xf numFmtId="167" fontId="56" fillId="0" borderId="23" xfId="1" applyNumberFormat="1" applyFont="1" applyBorder="1" applyAlignment="1" applyProtection="1">
      <alignment horizontal="center" vertical="center"/>
      <protection hidden="1"/>
    </xf>
    <xf numFmtId="167" fontId="56" fillId="0" borderId="24" xfId="1" applyNumberFormat="1" applyFont="1" applyBorder="1" applyAlignment="1" applyProtection="1">
      <alignment horizontal="center" vertical="center"/>
      <protection hidden="1"/>
    </xf>
    <xf numFmtId="167" fontId="56" fillId="0" borderId="25" xfId="1" applyNumberFormat="1" applyFont="1" applyBorder="1" applyAlignment="1" applyProtection="1">
      <alignment horizontal="center" vertical="center"/>
      <protection hidden="1"/>
    </xf>
    <xf numFmtId="0" fontId="56" fillId="5" borderId="70" xfId="0" applyFont="1" applyFill="1" applyBorder="1" applyAlignment="1" applyProtection="1">
      <alignment horizontal="center"/>
      <protection locked="0"/>
    </xf>
    <xf numFmtId="0" fontId="56" fillId="5" borderId="71" xfId="0" applyFont="1" applyFill="1" applyBorder="1" applyAlignment="1" applyProtection="1">
      <alignment horizontal="center"/>
      <protection locked="0"/>
    </xf>
    <xf numFmtId="0" fontId="56" fillId="5" borderId="72" xfId="0" applyFont="1" applyFill="1" applyBorder="1" applyAlignment="1" applyProtection="1">
      <alignment horizontal="center"/>
      <protection locked="0"/>
    </xf>
    <xf numFmtId="0" fontId="56" fillId="18" borderId="70" xfId="0" applyFont="1" applyFill="1" applyBorder="1" applyAlignment="1" applyProtection="1">
      <alignment horizontal="center"/>
      <protection locked="0"/>
    </xf>
    <xf numFmtId="0" fontId="56" fillId="18" borderId="71" xfId="0" applyFont="1" applyFill="1" applyBorder="1" applyAlignment="1" applyProtection="1">
      <alignment horizontal="center"/>
      <protection locked="0"/>
    </xf>
    <xf numFmtId="0" fontId="56" fillId="18" borderId="72" xfId="0" applyFont="1" applyFill="1" applyBorder="1" applyAlignment="1" applyProtection="1">
      <alignment horizontal="center"/>
      <protection locked="0"/>
    </xf>
    <xf numFmtId="167" fontId="56" fillId="0" borderId="23" xfId="1" applyNumberFormat="1" applyFont="1" applyBorder="1" applyAlignment="1" applyProtection="1">
      <alignment horizontal="center"/>
      <protection hidden="1"/>
    </xf>
    <xf numFmtId="167" fontId="56" fillId="0" borderId="24" xfId="1" applyNumberFormat="1" applyFont="1" applyBorder="1" applyAlignment="1" applyProtection="1">
      <alignment horizontal="center"/>
      <protection hidden="1"/>
    </xf>
    <xf numFmtId="167" fontId="56" fillId="0" borderId="25" xfId="1" applyNumberFormat="1" applyFont="1" applyBorder="1" applyAlignment="1" applyProtection="1">
      <alignment horizontal="center"/>
      <protection hidden="1"/>
    </xf>
    <xf numFmtId="0" fontId="56" fillId="0" borderId="42" xfId="0" applyFont="1" applyBorder="1" applyAlignment="1" applyProtection="1">
      <alignment horizontal="left" vertical="center" wrapText="1"/>
      <protection hidden="1"/>
    </xf>
    <xf numFmtId="0" fontId="56" fillId="0" borderId="0" xfId="0" applyFont="1" applyBorder="1" applyAlignment="1" applyProtection="1">
      <alignment horizontal="left" vertical="center" wrapText="1"/>
      <protection hidden="1"/>
    </xf>
    <xf numFmtId="0" fontId="56" fillId="0" borderId="39" xfId="0" applyFont="1" applyBorder="1" applyAlignment="1" applyProtection="1">
      <alignment horizontal="left" vertical="center" wrapText="1"/>
      <protection hidden="1"/>
    </xf>
    <xf numFmtId="0" fontId="56" fillId="0" borderId="0" xfId="0" applyFont="1" applyAlignment="1" applyProtection="1">
      <alignment horizontal="center"/>
      <protection hidden="1"/>
    </xf>
    <xf numFmtId="0" fontId="56" fillId="5" borderId="23" xfId="0" applyFont="1" applyFill="1" applyBorder="1" applyAlignment="1" applyProtection="1">
      <alignment horizontal="center" vertical="center" wrapText="1"/>
      <protection hidden="1"/>
    </xf>
    <xf numFmtId="0" fontId="56" fillId="5" borderId="24" xfId="0" applyFont="1" applyFill="1" applyBorder="1" applyAlignment="1" applyProtection="1">
      <alignment horizontal="center" vertical="center" wrapText="1"/>
      <protection hidden="1"/>
    </xf>
    <xf numFmtId="0" fontId="56" fillId="5" borderId="25" xfId="0" applyFont="1" applyFill="1" applyBorder="1" applyAlignment="1" applyProtection="1">
      <alignment horizontal="center" vertical="center" wrapText="1"/>
      <protection hidden="1"/>
    </xf>
    <xf numFmtId="0" fontId="56" fillId="0" borderId="37" xfId="0" applyFont="1" applyBorder="1" applyAlignment="1" applyProtection="1">
      <alignment horizontal="left" vertical="center" wrapText="1"/>
      <protection hidden="1"/>
    </xf>
    <xf numFmtId="0" fontId="56" fillId="0" borderId="40" xfId="0" applyFont="1" applyBorder="1" applyAlignment="1" applyProtection="1">
      <alignment horizontal="left" vertical="center" wrapText="1"/>
      <protection hidden="1"/>
    </xf>
    <xf numFmtId="0" fontId="56" fillId="0" borderId="38" xfId="0" applyFont="1" applyBorder="1" applyAlignment="1" applyProtection="1">
      <alignment horizontal="left" vertical="center" wrapText="1"/>
      <protection hidden="1"/>
    </xf>
    <xf numFmtId="3" fontId="56" fillId="0" borderId="37" xfId="0" applyNumberFormat="1" applyFont="1" applyBorder="1" applyAlignment="1" applyProtection="1">
      <alignment horizontal="center" vertical="center"/>
      <protection hidden="1"/>
    </xf>
    <xf numFmtId="3" fontId="56" fillId="0" borderId="40" xfId="0" applyNumberFormat="1" applyFont="1" applyBorder="1" applyAlignment="1" applyProtection="1">
      <alignment horizontal="center" vertical="center"/>
      <protection hidden="1"/>
    </xf>
    <xf numFmtId="3" fontId="56" fillId="0" borderId="38" xfId="0" applyNumberFormat="1" applyFont="1" applyBorder="1" applyAlignment="1" applyProtection="1">
      <alignment horizontal="center" vertical="center"/>
      <protection hidden="1"/>
    </xf>
    <xf numFmtId="0" fontId="56" fillId="0" borderId="58" xfId="0" applyFont="1" applyBorder="1" applyAlignment="1" applyProtection="1">
      <alignment horizontal="left" vertical="center" wrapText="1"/>
      <protection hidden="1"/>
    </xf>
    <xf numFmtId="0" fontId="56" fillId="0" borderId="41" xfId="0" applyFont="1" applyBorder="1" applyAlignment="1" applyProtection="1">
      <alignment horizontal="left" vertical="center" wrapText="1"/>
      <protection hidden="1"/>
    </xf>
    <xf numFmtId="0" fontId="56" fillId="0" borderId="59" xfId="0" applyFont="1" applyBorder="1" applyAlignment="1" applyProtection="1">
      <alignment horizontal="left" vertical="center" wrapText="1"/>
      <protection hidden="1"/>
    </xf>
    <xf numFmtId="0" fontId="65" fillId="0" borderId="0" xfId="0" applyFont="1" applyAlignment="1" applyProtection="1">
      <alignment horizontal="left" wrapText="1"/>
      <protection hidden="1"/>
    </xf>
    <xf numFmtId="0" fontId="56" fillId="18" borderId="23" xfId="0" applyFont="1" applyFill="1" applyBorder="1" applyAlignment="1" applyProtection="1">
      <alignment horizontal="center" vertical="center" wrapText="1"/>
      <protection hidden="1"/>
    </xf>
    <xf numFmtId="0" fontId="56" fillId="18" borderId="24" xfId="0" applyFont="1" applyFill="1" applyBorder="1" applyAlignment="1" applyProtection="1">
      <alignment horizontal="center" vertical="center" wrapText="1"/>
      <protection hidden="1"/>
    </xf>
    <xf numFmtId="0" fontId="56" fillId="18" borderId="25" xfId="0" applyFont="1" applyFill="1" applyBorder="1" applyAlignment="1" applyProtection="1">
      <alignment horizontal="center" vertical="center" wrapText="1"/>
      <protection hidden="1"/>
    </xf>
    <xf numFmtId="3" fontId="56" fillId="0" borderId="58" xfId="0" applyNumberFormat="1" applyFont="1" applyBorder="1" applyAlignment="1" applyProtection="1">
      <alignment horizontal="center" vertical="center"/>
      <protection hidden="1"/>
    </xf>
    <xf numFmtId="3" fontId="56" fillId="0" borderId="41" xfId="0" applyNumberFormat="1" applyFont="1" applyBorder="1" applyAlignment="1" applyProtection="1">
      <alignment horizontal="center" vertical="center"/>
      <protection hidden="1"/>
    </xf>
    <xf numFmtId="3" fontId="56" fillId="0" borderId="59" xfId="0" applyNumberFormat="1" applyFont="1" applyBorder="1" applyAlignment="1" applyProtection="1">
      <alignment horizontal="center" vertical="center"/>
      <protection hidden="1"/>
    </xf>
    <xf numFmtId="173" fontId="0" fillId="5" borderId="0" xfId="0" applyNumberFormat="1" applyFont="1" applyFill="1" applyBorder="1" applyAlignment="1" applyProtection="1">
      <alignment horizontal="center"/>
      <protection hidden="1"/>
    </xf>
    <xf numFmtId="173" fontId="0" fillId="18" borderId="0" xfId="0" applyNumberFormat="1" applyFont="1" applyFill="1" applyBorder="1" applyAlignment="1" applyProtection="1">
      <alignment horizontal="center"/>
      <protection hidden="1"/>
    </xf>
    <xf numFmtId="9" fontId="46" fillId="2" borderId="0" xfId="1" applyFont="1" applyFill="1" applyBorder="1" applyAlignment="1" applyProtection="1">
      <alignment horizontal="center"/>
      <protection hidden="1"/>
    </xf>
    <xf numFmtId="0" fontId="60" fillId="0" borderId="70" xfId="0" applyFont="1" applyFill="1" applyBorder="1" applyAlignment="1" applyProtection="1">
      <alignment horizontal="center"/>
      <protection locked="0"/>
    </xf>
    <xf numFmtId="0" fontId="60" fillId="0" borderId="74" xfId="0" applyFont="1" applyFill="1" applyBorder="1" applyAlignment="1" applyProtection="1">
      <alignment horizontal="center"/>
      <protection locked="0"/>
    </xf>
    <xf numFmtId="0" fontId="60" fillId="0" borderId="75" xfId="0" applyFont="1" applyFill="1" applyBorder="1" applyAlignment="1" applyProtection="1">
      <alignment horizontal="center"/>
      <protection locked="0"/>
    </xf>
    <xf numFmtId="0" fontId="60" fillId="0" borderId="70" xfId="0" applyFont="1" applyFill="1" applyBorder="1" applyAlignment="1" applyProtection="1">
      <alignment horizontal="left"/>
      <protection locked="0"/>
    </xf>
    <xf numFmtId="0" fontId="60" fillId="0" borderId="74" xfId="0" applyFont="1" applyFill="1" applyBorder="1" applyAlignment="1" applyProtection="1">
      <alignment horizontal="left"/>
      <protection locked="0"/>
    </xf>
    <xf numFmtId="0" fontId="60" fillId="0" borderId="75" xfId="0" applyFont="1" applyFill="1" applyBorder="1" applyAlignment="1" applyProtection="1">
      <alignment horizontal="left"/>
      <protection locked="0"/>
    </xf>
    <xf numFmtId="167" fontId="56" fillId="23" borderId="37" xfId="1" applyNumberFormat="1" applyFont="1" applyFill="1" applyBorder="1" applyAlignment="1" applyProtection="1">
      <alignment horizontal="center"/>
      <protection hidden="1"/>
    </xf>
    <xf numFmtId="167" fontId="56" fillId="23" borderId="40" xfId="1" applyNumberFormat="1" applyFont="1" applyFill="1" applyBorder="1" applyAlignment="1" applyProtection="1">
      <alignment horizontal="center"/>
      <protection hidden="1"/>
    </xf>
    <xf numFmtId="3" fontId="56" fillId="0" borderId="48" xfId="0" applyNumberFormat="1" applyFont="1" applyBorder="1" applyAlignment="1" applyProtection="1">
      <alignment horizontal="center"/>
      <protection hidden="1"/>
    </xf>
    <xf numFmtId="3" fontId="56" fillId="0" borderId="38" xfId="0" applyNumberFormat="1" applyFont="1" applyBorder="1" applyAlignment="1" applyProtection="1">
      <alignment horizontal="center"/>
      <protection hidden="1"/>
    </xf>
    <xf numFmtId="167" fontId="56" fillId="23" borderId="38" xfId="1" applyNumberFormat="1" applyFont="1" applyFill="1" applyBorder="1" applyAlignment="1" applyProtection="1">
      <alignment horizontal="center"/>
      <protection hidden="1"/>
    </xf>
    <xf numFmtId="3" fontId="56" fillId="0" borderId="37" xfId="0" applyNumberFormat="1" applyFont="1" applyBorder="1" applyAlignment="1" applyProtection="1">
      <alignment horizontal="center"/>
      <protection hidden="1"/>
    </xf>
    <xf numFmtId="0" fontId="56" fillId="5" borderId="0" xfId="0" applyFont="1" applyFill="1" applyAlignment="1" applyProtection="1">
      <alignment horizontal="left"/>
      <protection hidden="1"/>
    </xf>
    <xf numFmtId="0" fontId="56" fillId="18" borderId="0" xfId="0" applyFont="1" applyFill="1" applyAlignment="1" applyProtection="1">
      <alignment horizontal="left"/>
      <protection hidden="1"/>
    </xf>
    <xf numFmtId="0" fontId="60" fillId="0" borderId="71" xfId="0" applyFont="1" applyFill="1" applyBorder="1" applyAlignment="1" applyProtection="1">
      <alignment horizontal="left"/>
      <protection locked="0"/>
    </xf>
    <xf numFmtId="0" fontId="60" fillId="0" borderId="72" xfId="0" applyFont="1" applyFill="1" applyBorder="1" applyAlignment="1" applyProtection="1">
      <alignment horizontal="left"/>
      <protection locked="0"/>
    </xf>
    <xf numFmtId="0" fontId="60" fillId="0" borderId="71" xfId="0" applyFont="1" applyFill="1" applyBorder="1" applyAlignment="1" applyProtection="1">
      <alignment horizontal="center"/>
      <protection locked="0"/>
    </xf>
    <xf numFmtId="0" fontId="60" fillId="0" borderId="72" xfId="0" applyFont="1" applyFill="1" applyBorder="1" applyAlignment="1" applyProtection="1">
      <alignment horizontal="center"/>
      <protection locked="0"/>
    </xf>
    <xf numFmtId="0" fontId="52" fillId="5" borderId="70" xfId="0" applyFont="1" applyFill="1" applyBorder="1" applyAlignment="1" applyProtection="1">
      <alignment horizontal="center"/>
      <protection locked="0"/>
    </xf>
    <xf numFmtId="0" fontId="52" fillId="5" borderId="71" xfId="0" applyFont="1" applyFill="1" applyBorder="1" applyAlignment="1" applyProtection="1">
      <alignment horizontal="center"/>
      <protection locked="0"/>
    </xf>
    <xf numFmtId="0" fontId="52" fillId="5" borderId="72" xfId="0" applyFont="1" applyFill="1" applyBorder="1" applyAlignment="1" applyProtection="1">
      <alignment horizontal="center"/>
      <protection locked="0"/>
    </xf>
    <xf numFmtId="0" fontId="52" fillId="18" borderId="70" xfId="0" applyFont="1" applyFill="1" applyBorder="1" applyAlignment="1" applyProtection="1">
      <alignment horizontal="center"/>
      <protection locked="0"/>
    </xf>
    <xf numFmtId="0" fontId="52" fillId="18" borderId="71" xfId="0" applyFont="1" applyFill="1" applyBorder="1" applyAlignment="1" applyProtection="1">
      <alignment horizontal="center"/>
      <protection locked="0"/>
    </xf>
    <xf numFmtId="0" fontId="52" fillId="18" borderId="72" xfId="0" applyFont="1" applyFill="1" applyBorder="1" applyAlignment="1" applyProtection="1">
      <alignment horizontal="center"/>
      <protection locked="0"/>
    </xf>
    <xf numFmtId="0" fontId="60" fillId="0" borderId="37" xfId="0" applyFont="1" applyFill="1" applyBorder="1" applyAlignment="1" applyProtection="1">
      <alignment horizontal="center" vertical="center" wrapText="1"/>
      <protection hidden="1"/>
    </xf>
    <xf numFmtId="0" fontId="60" fillId="0" borderId="40" xfId="0" applyFont="1" applyFill="1" applyBorder="1" applyAlignment="1" applyProtection="1">
      <alignment horizontal="center" vertical="center" wrapText="1"/>
      <protection hidden="1"/>
    </xf>
    <xf numFmtId="0" fontId="60" fillId="0" borderId="38" xfId="0" applyFont="1" applyFill="1" applyBorder="1" applyAlignment="1" applyProtection="1">
      <alignment horizontal="center" vertical="center" wrapText="1"/>
      <protection hidden="1"/>
    </xf>
    <xf numFmtId="0" fontId="56" fillId="5" borderId="37" xfId="0" applyFont="1" applyFill="1" applyBorder="1" applyAlignment="1" applyProtection="1">
      <alignment horizontal="left"/>
      <protection hidden="1"/>
    </xf>
    <xf numFmtId="0" fontId="56" fillId="5" borderId="40" xfId="0" applyFont="1" applyFill="1" applyBorder="1" applyAlignment="1" applyProtection="1">
      <alignment horizontal="left"/>
      <protection hidden="1"/>
    </xf>
    <xf numFmtId="0" fontId="56" fillId="5" borderId="38" xfId="0" applyFont="1" applyFill="1" applyBorder="1" applyAlignment="1" applyProtection="1">
      <alignment horizontal="left"/>
      <protection hidden="1"/>
    </xf>
    <xf numFmtId="0" fontId="56" fillId="18" borderId="37" xfId="0" applyFont="1" applyFill="1" applyBorder="1" applyAlignment="1" applyProtection="1">
      <alignment horizontal="left"/>
      <protection hidden="1"/>
    </xf>
    <xf numFmtId="0" fontId="56" fillId="18" borderId="40" xfId="0" applyFont="1" applyFill="1" applyBorder="1" applyAlignment="1" applyProtection="1">
      <alignment horizontal="left"/>
      <protection hidden="1"/>
    </xf>
    <xf numFmtId="0" fontId="56" fillId="18" borderId="38" xfId="0" applyFont="1" applyFill="1" applyBorder="1" applyAlignment="1" applyProtection="1">
      <alignment horizontal="left"/>
      <protection hidden="1"/>
    </xf>
    <xf numFmtId="164" fontId="56" fillId="23" borderId="37" xfId="0" applyNumberFormat="1" applyFont="1" applyFill="1" applyBorder="1" applyAlignment="1" applyProtection="1">
      <alignment horizontal="center"/>
      <protection hidden="1"/>
    </xf>
    <xf numFmtId="164" fontId="56" fillId="23" borderId="40" xfId="0" applyNumberFormat="1" applyFont="1" applyFill="1" applyBorder="1" applyAlignment="1" applyProtection="1">
      <alignment horizontal="center"/>
      <protection hidden="1"/>
    </xf>
    <xf numFmtId="164" fontId="56" fillId="23" borderId="38" xfId="0" applyNumberFormat="1" applyFont="1" applyFill="1" applyBorder="1" applyAlignment="1" applyProtection="1">
      <alignment horizontal="center"/>
      <protection hidden="1"/>
    </xf>
    <xf numFmtId="3" fontId="56" fillId="0" borderId="40" xfId="0" applyNumberFormat="1" applyFont="1" applyBorder="1" applyAlignment="1" applyProtection="1">
      <alignment horizontal="center"/>
      <protection hidden="1"/>
    </xf>
    <xf numFmtId="0" fontId="56" fillId="0" borderId="37" xfId="0" applyFont="1" applyBorder="1" applyAlignment="1" applyProtection="1">
      <alignment horizontal="center" vertical="center" wrapText="1"/>
      <protection hidden="1"/>
    </xf>
    <xf numFmtId="0" fontId="56" fillId="0" borderId="40" xfId="0" applyFont="1" applyBorder="1" applyAlignment="1" applyProtection="1">
      <alignment horizontal="center" vertical="center" wrapText="1"/>
      <protection hidden="1"/>
    </xf>
    <xf numFmtId="0" fontId="56" fillId="0" borderId="38" xfId="0" applyFont="1" applyBorder="1" applyAlignment="1" applyProtection="1">
      <alignment horizontal="center" vertical="center" wrapText="1"/>
      <protection hidden="1"/>
    </xf>
    <xf numFmtId="165" fontId="56" fillId="23" borderId="37" xfId="0" applyNumberFormat="1" applyFont="1" applyFill="1" applyBorder="1" applyAlignment="1" applyProtection="1">
      <alignment horizontal="center"/>
      <protection hidden="1"/>
    </xf>
    <xf numFmtId="165" fontId="56" fillId="23" borderId="40" xfId="0" applyNumberFormat="1" applyFont="1" applyFill="1" applyBorder="1" applyAlignment="1" applyProtection="1">
      <alignment horizontal="center"/>
      <protection hidden="1"/>
    </xf>
    <xf numFmtId="165" fontId="56" fillId="23" borderId="38" xfId="0" applyNumberFormat="1" applyFont="1" applyFill="1" applyBorder="1" applyAlignment="1" applyProtection="1">
      <alignment horizontal="center"/>
      <protection hidden="1"/>
    </xf>
    <xf numFmtId="1" fontId="56" fillId="0" borderId="37" xfId="0" applyNumberFormat="1" applyFont="1" applyBorder="1" applyAlignment="1" applyProtection="1">
      <alignment horizontal="center"/>
      <protection hidden="1"/>
    </xf>
    <xf numFmtId="1" fontId="56" fillId="0" borderId="40" xfId="0" applyNumberFormat="1" applyFont="1" applyBorder="1" applyAlignment="1" applyProtection="1">
      <alignment horizontal="center"/>
      <protection hidden="1"/>
    </xf>
    <xf numFmtId="1" fontId="56" fillId="0" borderId="38" xfId="0" applyNumberFormat="1" applyFont="1" applyBorder="1" applyAlignment="1" applyProtection="1">
      <alignment horizontal="center"/>
      <protection hidden="1"/>
    </xf>
    <xf numFmtId="0" fontId="54" fillId="18" borderId="70" xfId="0" applyFont="1" applyFill="1" applyBorder="1" applyAlignment="1" applyProtection="1">
      <alignment horizontal="center"/>
      <protection locked="0"/>
    </xf>
    <xf numFmtId="0" fontId="54" fillId="18" borderId="71" xfId="0" applyFont="1" applyFill="1" applyBorder="1" applyAlignment="1" applyProtection="1">
      <alignment horizontal="center"/>
      <protection locked="0"/>
    </xf>
    <xf numFmtId="0" fontId="54" fillId="18" borderId="72" xfId="0" applyFont="1" applyFill="1" applyBorder="1" applyAlignment="1" applyProtection="1">
      <alignment horizontal="center"/>
      <protection locked="0"/>
    </xf>
    <xf numFmtId="167" fontId="63" fillId="23" borderId="37" xfId="1" applyNumberFormat="1" applyFont="1" applyFill="1" applyBorder="1" applyAlignment="1" applyProtection="1">
      <alignment horizontal="center"/>
      <protection hidden="1"/>
    </xf>
    <xf numFmtId="167" fontId="63" fillId="23" borderId="40" xfId="1" applyNumberFormat="1" applyFont="1" applyFill="1" applyBorder="1" applyAlignment="1" applyProtection="1">
      <alignment horizontal="center"/>
      <protection hidden="1"/>
    </xf>
    <xf numFmtId="167" fontId="63" fillId="23" borderId="38" xfId="1" applyNumberFormat="1" applyFont="1" applyFill="1" applyBorder="1" applyAlignment="1" applyProtection="1">
      <alignment horizontal="center"/>
      <protection hidden="1"/>
    </xf>
    <xf numFmtId="3" fontId="63" fillId="0" borderId="37" xfId="0" applyNumberFormat="1" applyFont="1" applyFill="1" applyBorder="1" applyAlignment="1" applyProtection="1">
      <alignment horizontal="center"/>
      <protection hidden="1"/>
    </xf>
    <xf numFmtId="3" fontId="63" fillId="0" borderId="40" xfId="0" applyNumberFormat="1" applyFont="1" applyFill="1" applyBorder="1" applyAlignment="1" applyProtection="1">
      <alignment horizontal="center"/>
      <protection hidden="1"/>
    </xf>
    <xf numFmtId="3" fontId="63" fillId="0" borderId="38" xfId="0" applyNumberFormat="1" applyFont="1" applyFill="1" applyBorder="1" applyAlignment="1" applyProtection="1">
      <alignment horizontal="center"/>
      <protection hidden="1"/>
    </xf>
    <xf numFmtId="0" fontId="56" fillId="0" borderId="37" xfId="0" applyFont="1" applyFill="1" applyBorder="1" applyAlignment="1" applyProtection="1">
      <alignment horizontal="left" vertical="center"/>
      <protection hidden="1"/>
    </xf>
    <xf numFmtId="0" fontId="56" fillId="0" borderId="40" xfId="0" applyFont="1" applyFill="1" applyBorder="1" applyAlignment="1" applyProtection="1">
      <alignment horizontal="left" vertical="center"/>
      <protection hidden="1"/>
    </xf>
    <xf numFmtId="0" fontId="56" fillId="0" borderId="38" xfId="0" applyFont="1" applyFill="1" applyBorder="1" applyAlignment="1" applyProtection="1">
      <alignment horizontal="left" vertical="center"/>
      <protection hidden="1"/>
    </xf>
    <xf numFmtId="0" fontId="56" fillId="0" borderId="37" xfId="0" applyFont="1" applyFill="1" applyBorder="1" applyAlignment="1" applyProtection="1">
      <alignment horizontal="center" vertical="center" wrapText="1"/>
      <protection hidden="1"/>
    </xf>
    <xf numFmtId="0" fontId="56" fillId="0" borderId="40" xfId="0" applyFont="1" applyFill="1" applyBorder="1" applyAlignment="1" applyProtection="1">
      <alignment horizontal="center" vertical="center" wrapText="1"/>
      <protection hidden="1"/>
    </xf>
    <xf numFmtId="0" fontId="56" fillId="0" borderId="38" xfId="0" applyFont="1" applyFill="1" applyBorder="1" applyAlignment="1" applyProtection="1">
      <alignment horizontal="center" vertical="center" wrapText="1"/>
      <protection hidden="1"/>
    </xf>
    <xf numFmtId="0" fontId="63" fillId="0" borderId="23" xfId="0" applyFont="1" applyBorder="1" applyAlignment="1" applyProtection="1">
      <alignment horizontal="left" wrapText="1"/>
      <protection hidden="1"/>
    </xf>
    <xf numFmtId="0" fontId="63" fillId="0" borderId="25" xfId="0" applyFont="1" applyBorder="1" applyAlignment="1" applyProtection="1">
      <alignment horizontal="left" wrapText="1"/>
      <protection hidden="1"/>
    </xf>
    <xf numFmtId="9" fontId="63" fillId="23" borderId="53" xfId="1" applyNumberFormat="1" applyFont="1" applyFill="1" applyBorder="1" applyAlignment="1" applyProtection="1">
      <alignment vertical="center"/>
      <protection hidden="1"/>
    </xf>
    <xf numFmtId="9" fontId="63" fillId="23" borderId="54" xfId="1" applyNumberFormat="1" applyFont="1" applyFill="1" applyBorder="1" applyAlignment="1" applyProtection="1">
      <alignment vertical="center"/>
      <protection hidden="1"/>
    </xf>
    <xf numFmtId="3" fontId="63" fillId="0" borderId="49" xfId="0" applyNumberFormat="1" applyFont="1" applyBorder="1" applyAlignment="1" applyProtection="1">
      <alignment horizontal="center" vertical="center"/>
      <protection hidden="1"/>
    </xf>
    <xf numFmtId="3" fontId="63" fillId="0" borderId="50" xfId="0" applyNumberFormat="1" applyFont="1" applyBorder="1" applyAlignment="1" applyProtection="1">
      <alignment horizontal="center" vertical="center"/>
      <protection hidden="1"/>
    </xf>
    <xf numFmtId="3" fontId="63" fillId="0" borderId="51" xfId="0" applyNumberFormat="1" applyFont="1" applyBorder="1" applyAlignment="1" applyProtection="1">
      <alignment horizontal="center" vertical="center"/>
      <protection hidden="1"/>
    </xf>
    <xf numFmtId="3" fontId="63" fillId="0" borderId="52" xfId="0" applyNumberFormat="1" applyFont="1" applyBorder="1" applyAlignment="1" applyProtection="1">
      <alignment horizontal="center" vertical="center"/>
      <protection hidden="1"/>
    </xf>
    <xf numFmtId="0" fontId="63" fillId="0" borderId="49" xfId="0" applyFont="1" applyBorder="1" applyAlignment="1" applyProtection="1">
      <alignment horizontal="left" wrapText="1"/>
      <protection hidden="1"/>
    </xf>
    <xf numFmtId="0" fontId="63" fillId="0" borderId="50" xfId="0" applyFont="1" applyBorder="1" applyAlignment="1" applyProtection="1">
      <alignment horizontal="left" wrapText="1"/>
      <protection hidden="1"/>
    </xf>
    <xf numFmtId="0" fontId="63" fillId="0" borderId="51" xfId="0" applyFont="1" applyBorder="1" applyAlignment="1" applyProtection="1">
      <alignment horizontal="left" wrapText="1"/>
      <protection hidden="1"/>
    </xf>
    <xf numFmtId="0" fontId="63" fillId="0" borderId="52" xfId="0" applyFont="1" applyBorder="1" applyAlignment="1" applyProtection="1">
      <alignment horizontal="left" wrapText="1"/>
      <protection hidden="1"/>
    </xf>
    <xf numFmtId="0" fontId="104" fillId="3" borderId="1" xfId="0" applyFont="1" applyFill="1" applyBorder="1" applyAlignment="1">
      <alignment horizontal="center" vertical="center"/>
    </xf>
    <xf numFmtId="0" fontId="104" fillId="3" borderId="2" xfId="0" applyFont="1" applyFill="1" applyBorder="1" applyAlignment="1">
      <alignment horizontal="center" vertical="center"/>
    </xf>
    <xf numFmtId="0" fontId="104" fillId="3" borderId="3" xfId="0" applyFont="1" applyFill="1" applyBorder="1" applyAlignment="1">
      <alignment horizontal="center" vertical="center"/>
    </xf>
    <xf numFmtId="0" fontId="104" fillId="3" borderId="5" xfId="0" applyFont="1" applyFill="1" applyBorder="1" applyAlignment="1">
      <alignment horizontal="center" vertical="center"/>
    </xf>
    <xf numFmtId="0" fontId="104" fillId="3" borderId="6" xfId="0" applyFont="1" applyFill="1" applyBorder="1" applyAlignment="1">
      <alignment horizontal="center" vertical="center"/>
    </xf>
    <xf numFmtId="0" fontId="104" fillId="3" borderId="7" xfId="0" applyFont="1" applyFill="1" applyBorder="1" applyAlignment="1">
      <alignment horizontal="center" vertical="center"/>
    </xf>
    <xf numFmtId="0" fontId="104" fillId="3" borderId="8" xfId="0" applyFont="1" applyFill="1" applyBorder="1" applyAlignment="1">
      <alignment horizontal="center" vertical="center"/>
    </xf>
    <xf numFmtId="0" fontId="56" fillId="0" borderId="23" xfId="0" applyFont="1" applyBorder="1" applyAlignment="1" applyProtection="1">
      <alignment horizontal="center" vertical="center"/>
      <protection hidden="1"/>
    </xf>
    <xf numFmtId="0" fontId="56" fillId="0" borderId="24" xfId="0" applyFont="1" applyBorder="1" applyAlignment="1" applyProtection="1">
      <alignment horizontal="center" vertical="center"/>
      <protection hidden="1"/>
    </xf>
    <xf numFmtId="0" fontId="56" fillId="0" borderId="25" xfId="0" applyFont="1" applyBorder="1" applyAlignment="1" applyProtection="1">
      <alignment horizontal="center" vertical="center"/>
      <protection hidden="1"/>
    </xf>
    <xf numFmtId="3" fontId="50" fillId="0" borderId="0" xfId="0" applyNumberFormat="1" applyFont="1" applyAlignment="1" applyProtection="1">
      <alignment horizontal="center"/>
      <protection hidden="1"/>
    </xf>
    <xf numFmtId="3" fontId="63" fillId="0" borderId="23" xfId="0" applyNumberFormat="1" applyFont="1" applyBorder="1" applyAlignment="1" applyProtection="1">
      <alignment horizontal="center"/>
      <protection hidden="1"/>
    </xf>
    <xf numFmtId="3" fontId="63" fillId="0" borderId="25" xfId="0" applyNumberFormat="1" applyFont="1" applyBorder="1" applyAlignment="1" applyProtection="1">
      <alignment horizontal="center"/>
      <protection hidden="1"/>
    </xf>
    <xf numFmtId="3" fontId="63" fillId="0" borderId="23" xfId="0" applyNumberFormat="1" applyFont="1" applyBorder="1" applyAlignment="1" applyProtection="1">
      <alignment horizontal="center" vertical="center"/>
      <protection hidden="1"/>
    </xf>
    <xf numFmtId="3" fontId="63" fillId="0" borderId="25" xfId="0" applyNumberFormat="1" applyFont="1" applyBorder="1" applyAlignment="1" applyProtection="1">
      <alignment horizontal="center" vertical="center"/>
      <protection hidden="1"/>
    </xf>
    <xf numFmtId="0" fontId="65" fillId="0" borderId="56" xfId="0" applyFont="1" applyBorder="1" applyAlignment="1" applyProtection="1">
      <alignment horizontal="left" vertical="center"/>
      <protection hidden="1"/>
    </xf>
    <xf numFmtId="0" fontId="65" fillId="0" borderId="52" xfId="0" applyFont="1" applyBorder="1" applyAlignment="1" applyProtection="1">
      <alignment horizontal="left" vertical="center"/>
      <protection hidden="1"/>
    </xf>
    <xf numFmtId="0" fontId="56" fillId="0" borderId="23" xfId="0" applyFont="1" applyFill="1" applyBorder="1" applyAlignment="1" applyProtection="1">
      <alignment horizontal="center" wrapText="1"/>
      <protection hidden="1"/>
    </xf>
    <xf numFmtId="0" fontId="56" fillId="0" borderId="25" xfId="0" applyFont="1" applyFill="1" applyBorder="1" applyAlignment="1" applyProtection="1">
      <alignment horizontal="center" wrapText="1"/>
      <protection hidden="1"/>
    </xf>
    <xf numFmtId="0" fontId="56" fillId="0" borderId="51" xfId="0" applyFont="1" applyBorder="1" applyAlignment="1" applyProtection="1">
      <alignment horizontal="left"/>
      <protection hidden="1"/>
    </xf>
    <xf numFmtId="0" fontId="56" fillId="0" borderId="56" xfId="0" applyFont="1" applyBorder="1" applyAlignment="1" applyProtection="1">
      <alignment horizontal="left"/>
      <protection hidden="1"/>
    </xf>
    <xf numFmtId="0" fontId="56" fillId="0" borderId="52" xfId="0" applyFont="1" applyBorder="1" applyAlignment="1" applyProtection="1">
      <alignment horizontal="left"/>
      <protection hidden="1"/>
    </xf>
    <xf numFmtId="0" fontId="56" fillId="0" borderId="0" xfId="0" applyFont="1" applyBorder="1" applyAlignment="1" applyProtection="1">
      <alignment horizontal="center"/>
      <protection hidden="1"/>
    </xf>
    <xf numFmtId="0" fontId="56" fillId="5" borderId="23" xfId="0" applyFont="1" applyFill="1" applyBorder="1" applyAlignment="1" applyProtection="1">
      <alignment horizontal="left"/>
      <protection hidden="1"/>
    </xf>
    <xf numFmtId="0" fontId="56" fillId="5" borderId="24" xfId="0" applyFont="1" applyFill="1" applyBorder="1" applyAlignment="1" applyProtection="1">
      <alignment horizontal="left"/>
      <protection hidden="1"/>
    </xf>
    <xf numFmtId="0" fontId="56" fillId="5" borderId="25" xfId="0" applyFont="1" applyFill="1" applyBorder="1" applyAlignment="1" applyProtection="1">
      <alignment horizontal="left"/>
      <protection hidden="1"/>
    </xf>
    <xf numFmtId="0" fontId="56" fillId="0" borderId="24" xfId="0" applyFont="1" applyBorder="1" applyAlignment="1" applyProtection="1">
      <alignment horizontal="center"/>
      <protection hidden="1"/>
    </xf>
    <xf numFmtId="0" fontId="56" fillId="18" borderId="23" xfId="0" applyFont="1" applyFill="1" applyBorder="1" applyAlignment="1" applyProtection="1">
      <alignment horizontal="left"/>
      <protection hidden="1"/>
    </xf>
    <xf numFmtId="0" fontId="56" fillId="18" borderId="24" xfId="0" applyFont="1" applyFill="1" applyBorder="1" applyAlignment="1" applyProtection="1">
      <alignment horizontal="left"/>
      <protection hidden="1"/>
    </xf>
    <xf numFmtId="0" fontId="56" fillId="18" borderId="25" xfId="0" applyFont="1" applyFill="1" applyBorder="1" applyAlignment="1" applyProtection="1">
      <alignment horizontal="left"/>
      <protection hidden="1"/>
    </xf>
    <xf numFmtId="0" fontId="65" fillId="0" borderId="56" xfId="0" applyFont="1" applyBorder="1" applyAlignment="1" applyProtection="1">
      <alignment horizontal="left" vertical="center" wrapText="1"/>
      <protection hidden="1"/>
    </xf>
    <xf numFmtId="0" fontId="65" fillId="0" borderId="52" xfId="0" applyFont="1" applyBorder="1" applyAlignment="1" applyProtection="1">
      <alignment horizontal="left" vertical="center" wrapText="1"/>
      <protection hidden="1"/>
    </xf>
    <xf numFmtId="0" fontId="91" fillId="37" borderId="0" xfId="0" applyFont="1" applyFill="1" applyAlignment="1" applyProtection="1">
      <alignment horizontal="center"/>
      <protection hidden="1"/>
    </xf>
    <xf numFmtId="0" fontId="0" fillId="5" borderId="70" xfId="0" applyFill="1" applyBorder="1" applyAlignment="1" applyProtection="1">
      <alignment horizontal="center"/>
      <protection locked="0"/>
    </xf>
    <xf numFmtId="0" fontId="0" fillId="5" borderId="71" xfId="0" applyFill="1" applyBorder="1" applyAlignment="1" applyProtection="1">
      <alignment horizontal="center"/>
      <protection locked="0"/>
    </xf>
    <xf numFmtId="0" fontId="0" fillId="5" borderId="72" xfId="0" applyFill="1" applyBorder="1" applyAlignment="1" applyProtection="1">
      <alignment horizontal="center"/>
      <protection locked="0"/>
    </xf>
    <xf numFmtId="0" fontId="0" fillId="18" borderId="70" xfId="0" applyFill="1" applyBorder="1" applyAlignment="1" applyProtection="1">
      <alignment horizontal="center"/>
      <protection locked="0"/>
    </xf>
    <xf numFmtId="0" fontId="0" fillId="18" borderId="71" xfId="0" applyFill="1" applyBorder="1" applyAlignment="1" applyProtection="1">
      <alignment horizontal="center"/>
      <protection locked="0"/>
    </xf>
    <xf numFmtId="0" fontId="0" fillId="18" borderId="72" xfId="0" applyFill="1" applyBorder="1" applyAlignment="1" applyProtection="1">
      <alignment horizontal="center"/>
      <protection locked="0"/>
    </xf>
    <xf numFmtId="0" fontId="55" fillId="2" borderId="0" xfId="0" applyFont="1" applyFill="1" applyAlignment="1" applyProtection="1">
      <alignment horizontal="left" vertical="center" wrapText="1"/>
      <protection hidden="1"/>
    </xf>
  </cellXfs>
  <cellStyles count="17">
    <cellStyle name="_RangeRows" xfId="15"/>
    <cellStyle name="Lien hypertexte" xfId="12" builtinId="8"/>
    <cellStyle name="Milliers" xfId="11" builtinId="3"/>
    <cellStyle name="Motif" xfId="4"/>
    <cellStyle name="Normal" xfId="0" builtinId="0"/>
    <cellStyle name="Normal_2008 Déf" xfId="8"/>
    <cellStyle name="Normal_2010 SD" xfId="6"/>
    <cellStyle name="Normal_D_Ch-3" xfId="5"/>
    <cellStyle name="Normal_Feuil1" xfId="2"/>
    <cellStyle name="Normal_Feuil2" xfId="9"/>
    <cellStyle name="Normal_Feuil3" xfId="3"/>
    <cellStyle name="Normal_maj_sérieslongues" xfId="16"/>
    <cellStyle name="Normal_ok2" xfId="7"/>
    <cellStyle name="Normal_Pays" xfId="10"/>
    <cellStyle name="Normal_Produits_I-E" xfId="13"/>
    <cellStyle name="Normal_Produits_I-E_1" xfId="14"/>
    <cellStyle name="Pourcentage" xfId="1" builtinId="5"/>
  </cellStyles>
  <dxfs count="0"/>
  <tableStyles count="0" defaultTableStyle="TableStyleMedium2" defaultPivotStyle="PivotStyleLight16"/>
  <colors>
    <mruColors>
      <color rgb="FF3DA5C1"/>
      <color rgb="FF31859C"/>
      <color rgb="FF9900CC"/>
      <color rgb="FFFF00FF"/>
      <color rgb="FF000000"/>
      <color rgb="FFE46C0A"/>
      <color rgb="FFFFFF89"/>
      <color rgb="FF3A9DB8"/>
      <color rgb="FFA41045"/>
      <color rgb="FF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571121001179199"/>
          <c:y val="2.3682648040792335E-2"/>
          <c:w val="0.51866408003347408"/>
          <c:h val="0.86643807006185092"/>
        </c:manualLayout>
      </c:layout>
      <c:barChart>
        <c:barDir val="bar"/>
        <c:grouping val="clustered"/>
        <c:varyColors val="0"/>
        <c:ser>
          <c:idx val="0"/>
          <c:order val="0"/>
          <c:tx>
            <c:strRef>
              <c:f>'Emploi-old'!$A$28</c:f>
              <c:strCache>
                <c:ptCount val="1"/>
                <c:pt idx="0">
                  <c:v>Bx Métropole</c:v>
                </c:pt>
              </c:strCache>
            </c:strRef>
          </c:tx>
          <c:spPr>
            <a:solidFill>
              <a:schemeClr val="accent3">
                <a:lumMod val="60000"/>
                <a:lumOff val="40000"/>
              </a:schemeClr>
            </a:solidFill>
          </c:spPr>
          <c:invertIfNegative val="0"/>
          <c:cat>
            <c:strRef>
              <c:f>'Emploi-old'!$B$27:$M$27</c:f>
              <c:strCache>
                <c:ptCount val="12"/>
                <c:pt idx="0">
                  <c:v>Agriculture, sylviculture et pêche</c:v>
                </c:pt>
                <c:pt idx="1">
                  <c:v>Industries manufacturières, industries extractives et autres</c:v>
                </c:pt>
                <c:pt idx="2">
                  <c:v>Construction</c:v>
                </c:pt>
                <c:pt idx="3">
                  <c:v>Commerce ; réparation d'auto. et de moto.</c:v>
                </c:pt>
                <c:pt idx="4">
                  <c:v>Transport et entreposage</c:v>
                </c:pt>
                <c:pt idx="5">
                  <c:v>Hébergement et restauration</c:v>
                </c:pt>
                <c:pt idx="6">
                  <c:v>Information et communication</c:v>
                </c:pt>
                <c:pt idx="7">
                  <c:v>Activités financières et d'assurance</c:v>
                </c:pt>
                <c:pt idx="8">
                  <c:v>Activités immobilières</c:v>
                </c:pt>
                <c:pt idx="9">
                  <c:v>Activités scientifiques et techn. ; services administratifs et de soutien</c:v>
                </c:pt>
                <c:pt idx="10">
                  <c:v>Activités de droit privé liées à un service public</c:v>
                </c:pt>
                <c:pt idx="11">
                  <c:v>Autres activités de services</c:v>
                </c:pt>
              </c:strCache>
            </c:strRef>
          </c:cat>
          <c:val>
            <c:numRef>
              <c:f>'Emploi-old'!$B$28:$M$28</c:f>
              <c:numCache>
                <c:formatCode>General</c:formatCode>
                <c:ptCount val="12"/>
                <c:pt idx="0">
                  <c:v>0.23358761427068483</c:v>
                </c:pt>
                <c:pt idx="1">
                  <c:v>0.65964132066818193</c:v>
                </c:pt>
                <c:pt idx="2">
                  <c:v>0.88244218853491529</c:v>
                </c:pt>
                <c:pt idx="3">
                  <c:v>0.92945657540757221</c:v>
                </c:pt>
                <c:pt idx="4">
                  <c:v>1.0767737881842427</c:v>
                </c:pt>
                <c:pt idx="5">
                  <c:v>1.0101399992104232</c:v>
                </c:pt>
                <c:pt idx="6">
                  <c:v>1.4231451390289831</c:v>
                </c:pt>
                <c:pt idx="7">
                  <c:v>1.2916173592903917</c:v>
                </c:pt>
                <c:pt idx="8">
                  <c:v>1.2771564978021717</c:v>
                </c:pt>
                <c:pt idx="9">
                  <c:v>1.1228490647985616</c:v>
                </c:pt>
                <c:pt idx="10">
                  <c:v>1.0894587697144082</c:v>
                </c:pt>
                <c:pt idx="11">
                  <c:v>0.97627976705281316</c:v>
                </c:pt>
              </c:numCache>
            </c:numRef>
          </c:val>
        </c:ser>
        <c:ser>
          <c:idx val="1"/>
          <c:order val="1"/>
          <c:tx>
            <c:strRef>
              <c:f>'Emploi-old'!$A$29</c:f>
              <c:strCache>
                <c:ptCount val="1"/>
                <c:pt idx="0">
                  <c:v>Isère</c:v>
                </c:pt>
              </c:strCache>
            </c:strRef>
          </c:tx>
          <c:spPr>
            <a:solidFill>
              <a:schemeClr val="accent1">
                <a:lumMod val="40000"/>
                <a:lumOff val="60000"/>
              </a:schemeClr>
            </a:solidFill>
          </c:spPr>
          <c:invertIfNegative val="0"/>
          <c:cat>
            <c:strRef>
              <c:f>'Emploi-old'!$B$27:$M$27</c:f>
              <c:strCache>
                <c:ptCount val="12"/>
                <c:pt idx="0">
                  <c:v>Agriculture, sylviculture et pêche</c:v>
                </c:pt>
                <c:pt idx="1">
                  <c:v>Industries manufacturières, industries extractives et autres</c:v>
                </c:pt>
                <c:pt idx="2">
                  <c:v>Construction</c:v>
                </c:pt>
                <c:pt idx="3">
                  <c:v>Commerce ; réparation d'auto. et de moto.</c:v>
                </c:pt>
                <c:pt idx="4">
                  <c:v>Transport et entreposage</c:v>
                </c:pt>
                <c:pt idx="5">
                  <c:v>Hébergement et restauration</c:v>
                </c:pt>
                <c:pt idx="6">
                  <c:v>Information et communication</c:v>
                </c:pt>
                <c:pt idx="7">
                  <c:v>Activités financières et d'assurance</c:v>
                </c:pt>
                <c:pt idx="8">
                  <c:v>Activités immobilières</c:v>
                </c:pt>
                <c:pt idx="9">
                  <c:v>Activités scientifiques et techn. ; services administratifs et de soutien</c:v>
                </c:pt>
                <c:pt idx="10">
                  <c:v>Activités de droit privé liées à un service public</c:v>
                </c:pt>
                <c:pt idx="11">
                  <c:v>Autres activités de services</c:v>
                </c:pt>
              </c:strCache>
            </c:strRef>
          </c:cat>
          <c:val>
            <c:numRef>
              <c:f>'Emploi-old'!$B$29:$M$29</c:f>
              <c:numCache>
                <c:formatCode>General</c:formatCode>
                <c:ptCount val="12"/>
                <c:pt idx="0">
                  <c:v>0.36031606280194578</c:v>
                </c:pt>
                <c:pt idx="1">
                  <c:v>1.3570482560863397</c:v>
                </c:pt>
                <c:pt idx="2">
                  <c:v>1.0549399903135519</c:v>
                </c:pt>
                <c:pt idx="3">
                  <c:v>0.93935112988360148</c:v>
                </c:pt>
                <c:pt idx="4">
                  <c:v>0.90052703330568817</c:v>
                </c:pt>
                <c:pt idx="5">
                  <c:v>0.861562004365658</c:v>
                </c:pt>
                <c:pt idx="6">
                  <c:v>0.97909609246229612</c:v>
                </c:pt>
                <c:pt idx="7">
                  <c:v>0.66707216490193055</c:v>
                </c:pt>
                <c:pt idx="8">
                  <c:v>0.8690961388204973</c:v>
                </c:pt>
                <c:pt idx="9">
                  <c:v>1.0309737847283069</c:v>
                </c:pt>
                <c:pt idx="10">
                  <c:v>0.96966224684802016</c:v>
                </c:pt>
                <c:pt idx="11">
                  <c:v>0.82770356460866001</c:v>
                </c:pt>
              </c:numCache>
            </c:numRef>
          </c:val>
        </c:ser>
        <c:dLbls>
          <c:showLegendKey val="0"/>
          <c:showVal val="0"/>
          <c:showCatName val="0"/>
          <c:showSerName val="0"/>
          <c:showPercent val="0"/>
          <c:showBubbleSize val="0"/>
        </c:dLbls>
        <c:gapWidth val="150"/>
        <c:overlap val="1"/>
        <c:axId val="103351424"/>
        <c:axId val="103352960"/>
      </c:barChart>
      <c:catAx>
        <c:axId val="103351424"/>
        <c:scaling>
          <c:orientation val="minMax"/>
        </c:scaling>
        <c:delete val="0"/>
        <c:axPos val="l"/>
        <c:majorTickMark val="out"/>
        <c:minorTickMark val="none"/>
        <c:tickLblPos val="low"/>
        <c:txPr>
          <a:bodyPr/>
          <a:lstStyle/>
          <a:p>
            <a:pPr>
              <a:defRPr sz="800"/>
            </a:pPr>
            <a:endParaRPr lang="fr-FR"/>
          </a:p>
        </c:txPr>
        <c:crossAx val="103352960"/>
        <c:crossesAt val="1"/>
        <c:auto val="1"/>
        <c:lblAlgn val="ctr"/>
        <c:lblOffset val="100"/>
        <c:noMultiLvlLbl val="0"/>
      </c:catAx>
      <c:valAx>
        <c:axId val="103352960"/>
        <c:scaling>
          <c:orientation val="minMax"/>
        </c:scaling>
        <c:delete val="0"/>
        <c:axPos val="b"/>
        <c:majorGridlines/>
        <c:numFmt formatCode="General" sourceLinked="1"/>
        <c:majorTickMark val="out"/>
        <c:minorTickMark val="none"/>
        <c:tickLblPos val="nextTo"/>
        <c:txPr>
          <a:bodyPr/>
          <a:lstStyle/>
          <a:p>
            <a:pPr>
              <a:defRPr sz="900"/>
            </a:pPr>
            <a:endParaRPr lang="fr-FR"/>
          </a:p>
        </c:txPr>
        <c:crossAx val="103351424"/>
        <c:crossesAt val="1"/>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79216787944818"/>
          <c:y val="0.10695610965296004"/>
          <c:w val="0.44348129050240404"/>
          <c:h val="0.77706401283172932"/>
        </c:manualLayout>
      </c:layout>
      <c:barChart>
        <c:barDir val="col"/>
        <c:grouping val="stacked"/>
        <c:varyColors val="0"/>
        <c:ser>
          <c:idx val="0"/>
          <c:order val="0"/>
          <c:tx>
            <c:strRef>
              <c:f>'Dynamique de l''emploi'!$B$125</c:f>
              <c:strCache>
                <c:ptCount val="1"/>
                <c:pt idx="0">
                  <c:v>Privée</c:v>
                </c:pt>
              </c:strCache>
            </c:strRef>
          </c:tx>
          <c:spPr>
            <a:solidFill>
              <a:schemeClr val="accent4">
                <a:lumMod val="60000"/>
                <a:lumOff val="40000"/>
              </a:schemeClr>
            </a:solidFill>
          </c:spPr>
          <c:invertIfNegative val="0"/>
          <c:cat>
            <c:strRef>
              <c:f>'Dynamique de l''emploi'!$A$126:$A$127</c:f>
              <c:strCache>
                <c:ptCount val="2"/>
                <c:pt idx="0">
                  <c:v>Gironde</c:v>
                </c:pt>
                <c:pt idx="1">
                  <c:v>Aquitaine</c:v>
                </c:pt>
              </c:strCache>
            </c:strRef>
          </c:cat>
          <c:val>
            <c:numRef>
              <c:f>'Dynamique de l''emploi'!$B$126:$B$127</c:f>
              <c:numCache>
                <c:formatCode>#,##0</c:formatCode>
                <c:ptCount val="2"/>
                <c:pt idx="0">
                  <c:v>227086</c:v>
                </c:pt>
                <c:pt idx="1">
                  <c:v>455310</c:v>
                </c:pt>
              </c:numCache>
            </c:numRef>
          </c:val>
        </c:ser>
        <c:ser>
          <c:idx val="1"/>
          <c:order val="1"/>
          <c:tx>
            <c:strRef>
              <c:f>'Dynamique de l''emploi'!$C$125</c:f>
              <c:strCache>
                <c:ptCount val="1"/>
                <c:pt idx="0">
                  <c:v>Publique</c:v>
                </c:pt>
              </c:strCache>
            </c:strRef>
          </c:tx>
          <c:spPr>
            <a:solidFill>
              <a:srgbClr val="FFC000"/>
            </a:solidFill>
          </c:spPr>
          <c:invertIfNegative val="0"/>
          <c:cat>
            <c:strRef>
              <c:f>'Dynamique de l''emploi'!$A$126:$A$127</c:f>
              <c:strCache>
                <c:ptCount val="2"/>
                <c:pt idx="0">
                  <c:v>Gironde</c:v>
                </c:pt>
                <c:pt idx="1">
                  <c:v>Aquitaine</c:v>
                </c:pt>
              </c:strCache>
            </c:strRef>
          </c:cat>
          <c:val>
            <c:numRef>
              <c:f>'Dynamique de l''emploi'!$C$126:$C$127</c:f>
              <c:numCache>
                <c:formatCode>#,##0</c:formatCode>
                <c:ptCount val="2"/>
                <c:pt idx="0">
                  <c:v>130873</c:v>
                </c:pt>
                <c:pt idx="1">
                  <c:v>268268</c:v>
                </c:pt>
              </c:numCache>
            </c:numRef>
          </c:val>
        </c:ser>
        <c:ser>
          <c:idx val="2"/>
          <c:order val="2"/>
          <c:tx>
            <c:strRef>
              <c:f>'Dynamique de l''emploi'!$D$125</c:f>
              <c:strCache>
                <c:ptCount val="1"/>
                <c:pt idx="0">
                  <c:v>Privée</c:v>
                </c:pt>
              </c:strCache>
            </c:strRef>
          </c:tx>
          <c:spPr>
            <a:solidFill>
              <a:srgbClr val="CCCCFF"/>
            </a:solidFill>
          </c:spPr>
          <c:invertIfNegative val="0"/>
          <c:cat>
            <c:strRef>
              <c:f>'Dynamique de l''emploi'!$A$126:$A$127</c:f>
              <c:strCache>
                <c:ptCount val="2"/>
                <c:pt idx="0">
                  <c:v>Gironde</c:v>
                </c:pt>
                <c:pt idx="1">
                  <c:v>Aquitaine</c:v>
                </c:pt>
              </c:strCache>
            </c:strRef>
          </c:cat>
          <c:val>
            <c:numRef>
              <c:f>'Dynamique de l''emploi'!$D$126:$D$127</c:f>
              <c:numCache>
                <c:formatCode>#,##0</c:formatCode>
                <c:ptCount val="2"/>
                <c:pt idx="0">
                  <c:v>179078</c:v>
                </c:pt>
                <c:pt idx="1">
                  <c:v>346110</c:v>
                </c:pt>
              </c:numCache>
            </c:numRef>
          </c:val>
        </c:ser>
        <c:ser>
          <c:idx val="3"/>
          <c:order val="3"/>
          <c:tx>
            <c:strRef>
              <c:f>'Dynamique de l''emploi'!$E$125</c:f>
              <c:strCache>
                <c:ptCount val="1"/>
                <c:pt idx="0">
                  <c:v>Publique</c:v>
                </c:pt>
              </c:strCache>
            </c:strRef>
          </c:tx>
          <c:spPr>
            <a:solidFill>
              <a:schemeClr val="accent6">
                <a:lumMod val="75000"/>
              </a:schemeClr>
            </a:solidFill>
          </c:spPr>
          <c:invertIfNegative val="0"/>
          <c:cat>
            <c:strRef>
              <c:f>'Dynamique de l''emploi'!$A$126:$A$127</c:f>
              <c:strCache>
                <c:ptCount val="2"/>
                <c:pt idx="0">
                  <c:v>Gironde</c:v>
                </c:pt>
                <c:pt idx="1">
                  <c:v>Aquitaine</c:v>
                </c:pt>
              </c:strCache>
            </c:strRef>
          </c:cat>
          <c:val>
            <c:numRef>
              <c:f>'Dynamique de l''emploi'!$E$126:$E$127</c:f>
              <c:numCache>
                <c:formatCode>#,##0</c:formatCode>
                <c:ptCount val="2"/>
                <c:pt idx="0">
                  <c:v>3195</c:v>
                </c:pt>
                <c:pt idx="1">
                  <c:v>3944</c:v>
                </c:pt>
              </c:numCache>
            </c:numRef>
          </c:val>
        </c:ser>
        <c:dLbls>
          <c:showLegendKey val="0"/>
          <c:showVal val="0"/>
          <c:showCatName val="0"/>
          <c:showSerName val="0"/>
          <c:showPercent val="0"/>
          <c:showBubbleSize val="0"/>
        </c:dLbls>
        <c:gapWidth val="150"/>
        <c:overlap val="100"/>
        <c:axId val="130364544"/>
        <c:axId val="130366080"/>
      </c:barChart>
      <c:catAx>
        <c:axId val="130364544"/>
        <c:scaling>
          <c:orientation val="minMax"/>
        </c:scaling>
        <c:delete val="0"/>
        <c:axPos val="b"/>
        <c:majorTickMark val="out"/>
        <c:minorTickMark val="none"/>
        <c:tickLblPos val="nextTo"/>
        <c:crossAx val="130366080"/>
        <c:crosses val="autoZero"/>
        <c:auto val="1"/>
        <c:lblAlgn val="ctr"/>
        <c:lblOffset val="100"/>
        <c:noMultiLvlLbl val="0"/>
      </c:catAx>
      <c:valAx>
        <c:axId val="130366080"/>
        <c:scaling>
          <c:orientation val="minMax"/>
        </c:scaling>
        <c:delete val="0"/>
        <c:axPos val="l"/>
        <c:majorGridlines/>
        <c:numFmt formatCode="#,##0" sourceLinked="1"/>
        <c:majorTickMark val="out"/>
        <c:minorTickMark val="none"/>
        <c:tickLblPos val="nextTo"/>
        <c:crossAx val="130364544"/>
        <c:crosses val="autoZero"/>
        <c:crossBetween val="between"/>
      </c:valAx>
    </c:plotArea>
    <c:legend>
      <c:legendPos val="r"/>
      <c:layout>
        <c:manualLayout>
          <c:xMode val="edge"/>
          <c:yMode val="edge"/>
          <c:x val="0.57609179383550513"/>
          <c:y val="0.20293598716827063"/>
          <c:w val="0.29362227951594544"/>
          <c:h val="0.691350247885681"/>
        </c:manualLayout>
      </c:layout>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20257234726688"/>
          <c:y val="0.10232648002333042"/>
          <c:w val="0.62505540505186052"/>
          <c:h val="0.78169364246135897"/>
        </c:manualLayout>
      </c:layout>
      <c:barChart>
        <c:barDir val="col"/>
        <c:grouping val="stacked"/>
        <c:varyColors val="0"/>
        <c:ser>
          <c:idx val="0"/>
          <c:order val="0"/>
          <c:tx>
            <c:strRef>
              <c:f>'Dynamique de l''emploi'!$K$125</c:f>
              <c:strCache>
                <c:ptCount val="1"/>
                <c:pt idx="0">
                  <c:v>Privé</c:v>
                </c:pt>
              </c:strCache>
            </c:strRef>
          </c:tx>
          <c:spPr>
            <a:solidFill>
              <a:schemeClr val="accent4">
                <a:lumMod val="60000"/>
                <a:lumOff val="40000"/>
              </a:schemeClr>
            </a:solidFill>
          </c:spPr>
          <c:invertIfNegative val="0"/>
          <c:cat>
            <c:strRef>
              <c:f>'Dynamique de l''emploi'!$J$126:$J$127</c:f>
              <c:strCache>
                <c:ptCount val="2"/>
                <c:pt idx="0">
                  <c:v>Gironde</c:v>
                </c:pt>
                <c:pt idx="1">
                  <c:v>Aquitaine</c:v>
                </c:pt>
              </c:strCache>
            </c:strRef>
          </c:cat>
          <c:val>
            <c:numRef>
              <c:f>'Dynamique de l''emploi'!$K$126:$K$127</c:f>
              <c:numCache>
                <c:formatCode>#,##0</c:formatCode>
                <c:ptCount val="2"/>
                <c:pt idx="0">
                  <c:v>94951</c:v>
                </c:pt>
                <c:pt idx="1">
                  <c:v>206048</c:v>
                </c:pt>
              </c:numCache>
            </c:numRef>
          </c:val>
        </c:ser>
        <c:ser>
          <c:idx val="1"/>
          <c:order val="1"/>
          <c:tx>
            <c:strRef>
              <c:f>'Dynamique de l''emploi'!$L$125</c:f>
              <c:strCache>
                <c:ptCount val="1"/>
                <c:pt idx="0">
                  <c:v>Public</c:v>
                </c:pt>
              </c:strCache>
            </c:strRef>
          </c:tx>
          <c:spPr>
            <a:solidFill>
              <a:srgbClr val="FFC000"/>
            </a:solidFill>
          </c:spPr>
          <c:invertIfNegative val="0"/>
          <c:cat>
            <c:strRef>
              <c:f>'Dynamique de l''emploi'!$J$126:$J$127</c:f>
              <c:strCache>
                <c:ptCount val="2"/>
                <c:pt idx="0">
                  <c:v>Gironde</c:v>
                </c:pt>
                <c:pt idx="1">
                  <c:v>Aquitaine</c:v>
                </c:pt>
              </c:strCache>
            </c:strRef>
          </c:cat>
          <c:val>
            <c:numRef>
              <c:f>'Dynamique de l''emploi'!$L$126:$L$127</c:f>
              <c:numCache>
                <c:formatCode>#,##0</c:formatCode>
                <c:ptCount val="2"/>
                <c:pt idx="0">
                  <c:v>3568</c:v>
                </c:pt>
                <c:pt idx="1">
                  <c:v>10811</c:v>
                </c:pt>
              </c:numCache>
            </c:numRef>
          </c:val>
        </c:ser>
        <c:ser>
          <c:idx val="2"/>
          <c:order val="2"/>
          <c:tx>
            <c:strRef>
              <c:f>'Dynamique de l''emploi'!$M$125</c:f>
              <c:strCache>
                <c:ptCount val="1"/>
                <c:pt idx="0">
                  <c:v>Privé</c:v>
                </c:pt>
              </c:strCache>
            </c:strRef>
          </c:tx>
          <c:spPr>
            <a:solidFill>
              <a:srgbClr val="CCCCFF"/>
            </a:solidFill>
          </c:spPr>
          <c:invertIfNegative val="0"/>
          <c:cat>
            <c:strRef>
              <c:f>'Dynamique de l''emploi'!$J$126:$J$127</c:f>
              <c:strCache>
                <c:ptCount val="2"/>
                <c:pt idx="0">
                  <c:v>Gironde</c:v>
                </c:pt>
                <c:pt idx="1">
                  <c:v>Aquitaine</c:v>
                </c:pt>
              </c:strCache>
            </c:strRef>
          </c:cat>
          <c:val>
            <c:numRef>
              <c:f>'Dynamique de l''emploi'!$M$126:$M$127</c:f>
              <c:numCache>
                <c:formatCode>#,##0</c:formatCode>
                <c:ptCount val="2"/>
                <c:pt idx="0">
                  <c:v>67882</c:v>
                </c:pt>
                <c:pt idx="1">
                  <c:v>153614</c:v>
                </c:pt>
              </c:numCache>
            </c:numRef>
          </c:val>
        </c:ser>
        <c:ser>
          <c:idx val="3"/>
          <c:order val="3"/>
          <c:tx>
            <c:strRef>
              <c:f>'Dynamique de l''emploi'!$N$125</c:f>
              <c:strCache>
                <c:ptCount val="1"/>
                <c:pt idx="0">
                  <c:v>public</c:v>
                </c:pt>
              </c:strCache>
            </c:strRef>
          </c:tx>
          <c:spPr>
            <a:solidFill>
              <a:schemeClr val="accent6">
                <a:lumMod val="75000"/>
              </a:schemeClr>
            </a:solidFill>
          </c:spPr>
          <c:invertIfNegative val="0"/>
          <c:cat>
            <c:strRef>
              <c:f>'Dynamique de l''emploi'!$J$126:$J$127</c:f>
              <c:strCache>
                <c:ptCount val="2"/>
                <c:pt idx="0">
                  <c:v>Gironde</c:v>
                </c:pt>
                <c:pt idx="1">
                  <c:v>Aquitaine</c:v>
                </c:pt>
              </c:strCache>
            </c:strRef>
          </c:cat>
          <c:val>
            <c:numRef>
              <c:f>'Dynamique de l''emploi'!$N$126:$N$127</c:f>
              <c:numCache>
                <c:formatCode>#,##0</c:formatCode>
                <c:ptCount val="2"/>
                <c:pt idx="0">
                  <c:v>59</c:v>
                </c:pt>
                <c:pt idx="1">
                  <c:v>107</c:v>
                </c:pt>
              </c:numCache>
            </c:numRef>
          </c:val>
        </c:ser>
        <c:dLbls>
          <c:showLegendKey val="0"/>
          <c:showVal val="0"/>
          <c:showCatName val="0"/>
          <c:showSerName val="0"/>
          <c:showPercent val="0"/>
          <c:showBubbleSize val="0"/>
        </c:dLbls>
        <c:gapWidth val="150"/>
        <c:overlap val="100"/>
        <c:axId val="130090880"/>
        <c:axId val="130092416"/>
      </c:barChart>
      <c:catAx>
        <c:axId val="130090880"/>
        <c:scaling>
          <c:orientation val="minMax"/>
        </c:scaling>
        <c:delete val="0"/>
        <c:axPos val="b"/>
        <c:majorTickMark val="out"/>
        <c:minorTickMark val="none"/>
        <c:tickLblPos val="nextTo"/>
        <c:crossAx val="130092416"/>
        <c:crosses val="autoZero"/>
        <c:auto val="1"/>
        <c:lblAlgn val="ctr"/>
        <c:lblOffset val="100"/>
        <c:noMultiLvlLbl val="0"/>
      </c:catAx>
      <c:valAx>
        <c:axId val="130092416"/>
        <c:scaling>
          <c:orientation val="minMax"/>
        </c:scaling>
        <c:delete val="0"/>
        <c:axPos val="l"/>
        <c:majorGridlines/>
        <c:numFmt formatCode="#,##0" sourceLinked="1"/>
        <c:majorTickMark val="out"/>
        <c:minorTickMark val="none"/>
        <c:tickLblPos val="high"/>
        <c:crossAx val="130090880"/>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849518810148731E-2"/>
          <c:y val="5.8511302687954521E-2"/>
          <c:w val="0.84908245844269459"/>
          <c:h val="0.84443758592632079"/>
        </c:manualLayout>
      </c:layout>
      <c:barChart>
        <c:barDir val="col"/>
        <c:grouping val="clustered"/>
        <c:varyColors val="0"/>
        <c:ser>
          <c:idx val="0"/>
          <c:order val="0"/>
          <c:tx>
            <c:strRef>
              <c:f>'Marché du travail'!$D$21</c:f>
              <c:strCache>
                <c:ptCount val="1"/>
                <c:pt idx="0">
                  <c:v>2008</c:v>
                </c:pt>
              </c:strCache>
            </c:strRef>
          </c:tx>
          <c:spPr>
            <a:solidFill>
              <a:schemeClr val="accent6">
                <a:lumMod val="60000"/>
                <a:lumOff val="40000"/>
              </a:schemeClr>
            </a:solidFill>
          </c:spPr>
          <c:invertIfNegative val="0"/>
          <c:dLbls>
            <c:numFmt formatCode="0.0%" sourceLinked="0"/>
            <c:txPr>
              <a:bodyPr/>
              <a:lstStyle/>
              <a:p>
                <a:pPr>
                  <a:defRPr sz="800" b="1"/>
                </a:pPr>
                <a:endParaRPr lang="fr-FR"/>
              </a:p>
            </c:txPr>
            <c:showLegendKey val="0"/>
            <c:showVal val="1"/>
            <c:showCatName val="0"/>
            <c:showSerName val="0"/>
            <c:showPercent val="0"/>
            <c:showBubbleSize val="0"/>
            <c:showLeaderLines val="0"/>
          </c:dLbls>
          <c:cat>
            <c:strRef>
              <c:f>'Marché du travail'!$A$26:$A$27</c:f>
              <c:strCache>
                <c:ptCount val="2"/>
                <c:pt idx="0">
                  <c:v>Gironde</c:v>
                </c:pt>
                <c:pt idx="1">
                  <c:v>Aquitaine</c:v>
                </c:pt>
              </c:strCache>
            </c:strRef>
          </c:cat>
          <c:val>
            <c:numRef>
              <c:f>'Marché du travail'!$D$26:$D$27</c:f>
              <c:numCache>
                <c:formatCode>0.0%</c:formatCode>
                <c:ptCount val="2"/>
                <c:pt idx="0">
                  <c:v>0.10076145294724033</c:v>
                </c:pt>
                <c:pt idx="1">
                  <c:v>0.10353344494624932</c:v>
                </c:pt>
              </c:numCache>
            </c:numRef>
          </c:val>
        </c:ser>
        <c:ser>
          <c:idx val="1"/>
          <c:order val="1"/>
          <c:tx>
            <c:strRef>
              <c:f>'Marché du travail'!$E$21</c:f>
              <c:strCache>
                <c:ptCount val="1"/>
                <c:pt idx="0">
                  <c:v>2013</c:v>
                </c:pt>
              </c:strCache>
            </c:strRef>
          </c:tx>
          <c:spPr>
            <a:solidFill>
              <a:schemeClr val="accent4">
                <a:lumMod val="60000"/>
                <a:lumOff val="40000"/>
              </a:schemeClr>
            </a:solidFill>
          </c:spPr>
          <c:invertIfNegative val="0"/>
          <c:dLbls>
            <c:numFmt formatCode="0.0%" sourceLinked="0"/>
            <c:txPr>
              <a:bodyPr/>
              <a:lstStyle/>
              <a:p>
                <a:pPr>
                  <a:defRPr sz="800" b="1"/>
                </a:pPr>
                <a:endParaRPr lang="fr-FR"/>
              </a:p>
            </c:txPr>
            <c:showLegendKey val="0"/>
            <c:showVal val="1"/>
            <c:showCatName val="0"/>
            <c:showSerName val="0"/>
            <c:showPercent val="0"/>
            <c:showBubbleSize val="0"/>
            <c:showLeaderLines val="0"/>
          </c:dLbls>
          <c:cat>
            <c:strRef>
              <c:f>'Marché du travail'!$A$26:$A$27</c:f>
              <c:strCache>
                <c:ptCount val="2"/>
                <c:pt idx="0">
                  <c:v>Gironde</c:v>
                </c:pt>
                <c:pt idx="1">
                  <c:v>Aquitaine</c:v>
                </c:pt>
              </c:strCache>
            </c:strRef>
          </c:cat>
          <c:val>
            <c:numRef>
              <c:f>'Marché du travail'!$E$26:$E$27</c:f>
              <c:numCache>
                <c:formatCode>0.0%</c:formatCode>
                <c:ptCount val="2"/>
                <c:pt idx="0">
                  <c:v>9.8913169958652458E-2</c:v>
                </c:pt>
                <c:pt idx="1">
                  <c:v>0.10419181287863384</c:v>
                </c:pt>
              </c:numCache>
            </c:numRef>
          </c:val>
        </c:ser>
        <c:dLbls>
          <c:showLegendKey val="0"/>
          <c:showVal val="0"/>
          <c:showCatName val="0"/>
          <c:showSerName val="0"/>
          <c:showPercent val="0"/>
          <c:showBubbleSize val="0"/>
        </c:dLbls>
        <c:gapWidth val="150"/>
        <c:axId val="106706048"/>
        <c:axId val="106707584"/>
      </c:barChart>
      <c:catAx>
        <c:axId val="106706048"/>
        <c:scaling>
          <c:orientation val="minMax"/>
        </c:scaling>
        <c:delete val="0"/>
        <c:axPos val="b"/>
        <c:numFmt formatCode="General" sourceLinked="1"/>
        <c:majorTickMark val="out"/>
        <c:minorTickMark val="none"/>
        <c:tickLblPos val="nextTo"/>
        <c:txPr>
          <a:bodyPr/>
          <a:lstStyle/>
          <a:p>
            <a:pPr>
              <a:defRPr sz="800"/>
            </a:pPr>
            <a:endParaRPr lang="fr-FR"/>
          </a:p>
        </c:txPr>
        <c:crossAx val="106707584"/>
        <c:crosses val="autoZero"/>
        <c:auto val="1"/>
        <c:lblAlgn val="ctr"/>
        <c:lblOffset val="100"/>
        <c:noMultiLvlLbl val="0"/>
      </c:catAx>
      <c:valAx>
        <c:axId val="106707584"/>
        <c:scaling>
          <c:orientation val="minMax"/>
          <c:max val="0.125"/>
          <c:min val="6.0000000000000012E-2"/>
        </c:scaling>
        <c:delete val="0"/>
        <c:axPos val="l"/>
        <c:majorGridlines/>
        <c:numFmt formatCode="0%" sourceLinked="0"/>
        <c:majorTickMark val="out"/>
        <c:minorTickMark val="none"/>
        <c:tickLblPos val="nextTo"/>
        <c:txPr>
          <a:bodyPr/>
          <a:lstStyle/>
          <a:p>
            <a:pPr>
              <a:defRPr sz="800"/>
            </a:pPr>
            <a:endParaRPr lang="fr-FR"/>
          </a:p>
        </c:txPr>
        <c:crossAx val="106706048"/>
        <c:crosses val="autoZero"/>
        <c:crossBetween val="between"/>
      </c:valAx>
    </c:plotArea>
    <c:legend>
      <c:legendPos val="r"/>
      <c:layout/>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228644451839601E-2"/>
          <c:y val="0.11560440106095528"/>
          <c:w val="0.83994657196040401"/>
          <c:h val="0.65465956774316558"/>
        </c:manualLayout>
      </c:layout>
      <c:barChart>
        <c:barDir val="col"/>
        <c:grouping val="clustered"/>
        <c:varyColors val="0"/>
        <c:ser>
          <c:idx val="0"/>
          <c:order val="1"/>
          <c:tx>
            <c:strRef>
              <c:f>'D_Ch2-2'!$E$59</c:f>
              <c:strCache>
                <c:ptCount val="1"/>
                <c:pt idx="0">
                  <c:v>Projet de recrutement </c:v>
                </c:pt>
              </c:strCache>
            </c:strRef>
          </c:tx>
          <c:spPr>
            <a:solidFill>
              <a:srgbClr val="4F81BD">
                <a:lumMod val="40000"/>
                <a:lumOff val="60000"/>
              </a:srgbClr>
            </a:solidFill>
            <a:ln w="28575">
              <a:noFill/>
            </a:ln>
          </c:spPr>
          <c:invertIfNegative val="0"/>
          <c:cat>
            <c:strRef>
              <c:f>'D_Ch2-2'!$B$60:$B$74</c:f>
              <c:strCache>
                <c:ptCount val="15"/>
                <c:pt idx="0">
                  <c:v>Rouen</c:v>
                </c:pt>
                <c:pt idx="1">
                  <c:v>Lille</c:v>
                </c:pt>
                <c:pt idx="2">
                  <c:v>Lens</c:v>
                </c:pt>
                <c:pt idx="3">
                  <c:v>Strasbourg</c:v>
                </c:pt>
                <c:pt idx="4">
                  <c:v>Nantes</c:v>
                </c:pt>
                <c:pt idx="5">
                  <c:v>Rennes</c:v>
                </c:pt>
                <c:pt idx="6">
                  <c:v>Bordeaux</c:v>
                </c:pt>
                <c:pt idx="7">
                  <c:v>Toulouse</c:v>
                </c:pt>
                <c:pt idx="8">
                  <c:v>Grenoble</c:v>
                </c:pt>
                <c:pt idx="9">
                  <c:v>Lyon</c:v>
                </c:pt>
                <c:pt idx="10">
                  <c:v>Montpellier</c:v>
                </c:pt>
                <c:pt idx="11">
                  <c:v>Bassin Niçois</c:v>
                </c:pt>
                <c:pt idx="12">
                  <c:v>Marseille</c:v>
                </c:pt>
                <c:pt idx="13">
                  <c:v>Bassin Toulonnais</c:v>
                </c:pt>
                <c:pt idx="14">
                  <c:v>Bassin d'Avignon</c:v>
                </c:pt>
              </c:strCache>
            </c:strRef>
          </c:cat>
          <c:val>
            <c:numRef>
              <c:f>'D_Ch2-2'!$E$60:$E$74</c:f>
              <c:numCache>
                <c:formatCode>#,##0</c:formatCode>
                <c:ptCount val="15"/>
                <c:pt idx="0">
                  <c:v>8133.36</c:v>
                </c:pt>
                <c:pt idx="1">
                  <c:v>23160.19</c:v>
                </c:pt>
                <c:pt idx="2">
                  <c:v>6029.81</c:v>
                </c:pt>
                <c:pt idx="3">
                  <c:v>16900.16</c:v>
                </c:pt>
                <c:pt idx="4">
                  <c:v>23010.26</c:v>
                </c:pt>
                <c:pt idx="5">
                  <c:v>18555.13</c:v>
                </c:pt>
                <c:pt idx="6">
                  <c:v>31386.41</c:v>
                </c:pt>
                <c:pt idx="7">
                  <c:v>32195.09</c:v>
                </c:pt>
                <c:pt idx="8">
                  <c:v>18158.419999999998</c:v>
                </c:pt>
                <c:pt idx="9">
                  <c:v>21334.42</c:v>
                </c:pt>
                <c:pt idx="10">
                  <c:v>18600.38</c:v>
                </c:pt>
                <c:pt idx="11">
                  <c:v>20060.72</c:v>
                </c:pt>
                <c:pt idx="12">
                  <c:v>24213.75</c:v>
                </c:pt>
                <c:pt idx="13">
                  <c:v>19000.2</c:v>
                </c:pt>
                <c:pt idx="14">
                  <c:v>8669.5</c:v>
                </c:pt>
              </c:numCache>
            </c:numRef>
          </c:val>
        </c:ser>
        <c:dLbls>
          <c:showLegendKey val="0"/>
          <c:showVal val="0"/>
          <c:showCatName val="0"/>
          <c:showSerName val="0"/>
          <c:showPercent val="0"/>
          <c:showBubbleSize val="0"/>
        </c:dLbls>
        <c:gapWidth val="150"/>
        <c:axId val="130417024"/>
        <c:axId val="130418560"/>
      </c:barChart>
      <c:scatterChart>
        <c:scatterStyle val="lineMarker"/>
        <c:varyColors val="0"/>
        <c:ser>
          <c:idx val="1"/>
          <c:order val="0"/>
          <c:tx>
            <c:strRef>
              <c:f>'D_Ch2-2'!$I$59</c:f>
              <c:strCache>
                <c:ptCount val="1"/>
                <c:pt idx="0">
                  <c:v>Rapport à l'emploi total</c:v>
                </c:pt>
              </c:strCache>
            </c:strRef>
          </c:tx>
          <c:spPr>
            <a:ln w="28575">
              <a:noFill/>
            </a:ln>
          </c:spPr>
          <c:marker>
            <c:symbol val="dash"/>
            <c:size val="20"/>
          </c:marker>
          <c:xVal>
            <c:strRef>
              <c:f>'D_Ch2-2'!$B$60:$B$74</c:f>
              <c:strCache>
                <c:ptCount val="15"/>
                <c:pt idx="0">
                  <c:v>Rouen</c:v>
                </c:pt>
                <c:pt idx="1">
                  <c:v>Lille</c:v>
                </c:pt>
                <c:pt idx="2">
                  <c:v>Lens</c:v>
                </c:pt>
                <c:pt idx="3">
                  <c:v>Strasbourg</c:v>
                </c:pt>
                <c:pt idx="4">
                  <c:v>Nantes</c:v>
                </c:pt>
                <c:pt idx="5">
                  <c:v>Rennes</c:v>
                </c:pt>
                <c:pt idx="6">
                  <c:v>Bordeaux</c:v>
                </c:pt>
                <c:pt idx="7">
                  <c:v>Toulouse</c:v>
                </c:pt>
                <c:pt idx="8">
                  <c:v>Grenoble</c:v>
                </c:pt>
                <c:pt idx="9">
                  <c:v>Lyon</c:v>
                </c:pt>
                <c:pt idx="10">
                  <c:v>Montpellier</c:v>
                </c:pt>
                <c:pt idx="11">
                  <c:v>Bassin Niçois</c:v>
                </c:pt>
                <c:pt idx="12">
                  <c:v>Marseille</c:v>
                </c:pt>
                <c:pt idx="13">
                  <c:v>Bassin Toulonnais</c:v>
                </c:pt>
                <c:pt idx="14">
                  <c:v>Bassin d'Avignon</c:v>
                </c:pt>
              </c:strCache>
            </c:strRef>
          </c:xVal>
          <c:yVal>
            <c:numRef>
              <c:f>'D_Ch2-2'!$I$60:$I$74</c:f>
              <c:numCache>
                <c:formatCode>0%</c:formatCode>
                <c:ptCount val="15"/>
                <c:pt idx="0">
                  <c:v>4.0132446118440017E-2</c:v>
                </c:pt>
                <c:pt idx="1">
                  <c:v>5.9244071271814448E-2</c:v>
                </c:pt>
                <c:pt idx="2">
                  <c:v>5.4037882692940263E-2</c:v>
                </c:pt>
                <c:pt idx="3">
                  <c:v>6.120003104647475E-2</c:v>
                </c:pt>
                <c:pt idx="4">
                  <c:v>6.419989763005865E-2</c:v>
                </c:pt>
                <c:pt idx="5">
                  <c:v>6.1114534018698104E-2</c:v>
                </c:pt>
                <c:pt idx="6">
                  <c:v>6.917119114099804E-2</c:v>
                </c:pt>
                <c:pt idx="7">
                  <c:v>6.0058118449877039E-2</c:v>
                </c:pt>
                <c:pt idx="8">
                  <c:v>6.6052367452686334E-2</c:v>
                </c:pt>
                <c:pt idx="9">
                  <c:v>6.9401662863258842E-2</c:v>
                </c:pt>
                <c:pt idx="10">
                  <c:v>7.8298926631639384E-2</c:v>
                </c:pt>
                <c:pt idx="11">
                  <c:v>8.2023051720022042E-2</c:v>
                </c:pt>
                <c:pt idx="12">
                  <c:v>6.8972378596080561E-2</c:v>
                </c:pt>
                <c:pt idx="13">
                  <c:v>9.2660716682909802E-2</c:v>
                </c:pt>
                <c:pt idx="14">
                  <c:v>9.6512031938201723E-2</c:v>
                </c:pt>
              </c:numCache>
            </c:numRef>
          </c:yVal>
          <c:smooth val="0"/>
        </c:ser>
        <c:dLbls>
          <c:showLegendKey val="0"/>
          <c:showVal val="0"/>
          <c:showCatName val="0"/>
          <c:showSerName val="0"/>
          <c:showPercent val="0"/>
          <c:showBubbleSize val="0"/>
        </c:dLbls>
        <c:axId val="130422272"/>
        <c:axId val="130420096"/>
      </c:scatterChart>
      <c:catAx>
        <c:axId val="130417024"/>
        <c:scaling>
          <c:orientation val="minMax"/>
        </c:scaling>
        <c:delete val="0"/>
        <c:axPos val="b"/>
        <c:numFmt formatCode="General" sourceLinked="1"/>
        <c:majorTickMark val="out"/>
        <c:minorTickMark val="none"/>
        <c:tickLblPos val="nextTo"/>
        <c:txPr>
          <a:bodyPr rot="-5400000" vert="horz"/>
          <a:lstStyle/>
          <a:p>
            <a:pPr>
              <a:defRPr sz="800" baseline="0">
                <a:latin typeface="Calibri" panose="020F0502020204030204" pitchFamily="34" charset="0"/>
              </a:defRPr>
            </a:pPr>
            <a:endParaRPr lang="fr-FR"/>
          </a:p>
        </c:txPr>
        <c:crossAx val="130418560"/>
        <c:crosses val="autoZero"/>
        <c:auto val="1"/>
        <c:lblAlgn val="ctr"/>
        <c:lblOffset val="100"/>
        <c:noMultiLvlLbl val="0"/>
      </c:catAx>
      <c:valAx>
        <c:axId val="13041856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800"/>
            </a:pPr>
            <a:endParaRPr lang="fr-FR"/>
          </a:p>
        </c:txPr>
        <c:crossAx val="130417024"/>
        <c:crosses val="autoZero"/>
        <c:crossBetween val="between"/>
      </c:valAx>
      <c:valAx>
        <c:axId val="130420096"/>
        <c:scaling>
          <c:orientation val="minMax"/>
        </c:scaling>
        <c:delete val="0"/>
        <c:axPos val="r"/>
        <c:title>
          <c:tx>
            <c:rich>
              <a:bodyPr rot="-5400000" vert="horz" anchor="t" anchorCtr="0"/>
              <a:lstStyle/>
              <a:p>
                <a:pPr>
                  <a:defRPr/>
                </a:pPr>
                <a:r>
                  <a:rPr lang="fr-FR" baseline="0"/>
                  <a:t>Rapport à l'emploi  total</a:t>
                </a:r>
                <a:endParaRPr lang="fr-FR"/>
              </a:p>
            </c:rich>
          </c:tx>
          <c:overlay val="0"/>
        </c:title>
        <c:numFmt formatCode="0%" sourceLinked="1"/>
        <c:majorTickMark val="out"/>
        <c:minorTickMark val="none"/>
        <c:tickLblPos val="nextTo"/>
        <c:txPr>
          <a:bodyPr/>
          <a:lstStyle/>
          <a:p>
            <a:pPr>
              <a:defRPr sz="800"/>
            </a:pPr>
            <a:endParaRPr lang="fr-FR"/>
          </a:p>
        </c:txPr>
        <c:crossAx val="130422272"/>
        <c:crosses val="max"/>
        <c:crossBetween val="midCat"/>
      </c:valAx>
      <c:valAx>
        <c:axId val="130422272"/>
        <c:scaling>
          <c:orientation val="minMax"/>
        </c:scaling>
        <c:delete val="1"/>
        <c:axPos val="b"/>
        <c:majorTickMark val="out"/>
        <c:minorTickMark val="none"/>
        <c:tickLblPos val="nextTo"/>
        <c:crossAx val="130420096"/>
        <c:crosses val="autoZero"/>
        <c:crossBetween val="midCat"/>
      </c:valAx>
    </c:plotArea>
    <c:legend>
      <c:legendPos val="b"/>
      <c:layout>
        <c:manualLayout>
          <c:xMode val="edge"/>
          <c:yMode val="edge"/>
          <c:x val="7.6914842075384904E-2"/>
          <c:y val="3.7841650547458909E-2"/>
          <c:w val="0.81770415316779066"/>
          <c:h val="7.8924836277568938E-2"/>
        </c:manualLayout>
      </c:layout>
      <c:overlay val="0"/>
      <c:txPr>
        <a:bodyPr/>
        <a:lstStyle/>
        <a:p>
          <a:pPr>
            <a:defRPr sz="1000" b="1"/>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216179372927225E-2"/>
          <c:y val="8.4145238302776731E-2"/>
          <c:w val="0.61890088960118927"/>
          <c:h val="0.76019211140274134"/>
        </c:manualLayout>
      </c:layout>
      <c:bubbleChart>
        <c:varyColors val="0"/>
        <c:ser>
          <c:idx val="0"/>
          <c:order val="0"/>
          <c:tx>
            <c:strRef>
              <c:f>'D_Ch2-2'!$C$82</c:f>
              <c:strCache>
                <c:ptCount val="1"/>
                <c:pt idx="0">
                  <c:v>Agents d'accueil</c:v>
                </c:pt>
              </c:strCache>
            </c:strRef>
          </c:tx>
          <c:spPr>
            <a:ln w="25400">
              <a:noFill/>
            </a:ln>
          </c:spPr>
          <c:invertIfNegative val="0"/>
          <c:dLbls>
            <c:dLbl>
              <c:idx val="0"/>
              <c:spPr>
                <a:noFill/>
                <a:ln>
                  <a:noFill/>
                </a:ln>
              </c:spPr>
              <c:txPr>
                <a:bodyPr/>
                <a:lstStyle/>
                <a:p>
                  <a:pPr>
                    <a:defRPr sz="800" b="1">
                      <a:solidFill>
                        <a:schemeClr val="bg1"/>
                      </a:solidFill>
                    </a:defRPr>
                  </a:pPr>
                  <a:endParaRPr lang="fr-FR"/>
                </a:p>
              </c:txPr>
              <c:dLblPos val="ctr"/>
              <c:showLegendKey val="0"/>
              <c:showVal val="0"/>
              <c:showCatName val="0"/>
              <c:showSerName val="0"/>
              <c:showPercent val="0"/>
              <c:showBubbleSize val="1"/>
              <c:separator>
</c:separator>
            </c:dLbl>
            <c:spPr>
              <a:solidFill>
                <a:srgbClr val="4F81BD"/>
              </a:solidFill>
              <a:ln>
                <a:solidFill>
                  <a:srgbClr val="4F81BD"/>
                </a:solidFill>
              </a:ln>
            </c:spPr>
            <c:txPr>
              <a:bodyPr/>
              <a:lstStyle/>
              <a:p>
                <a:pPr>
                  <a:defRPr sz="800" b="1">
                    <a:solidFill>
                      <a:schemeClr val="bg1"/>
                    </a:solidFill>
                  </a:defRPr>
                </a:pPr>
                <a:endParaRPr lang="fr-FR"/>
              </a:p>
            </c:txPr>
            <c:dLblPos val="l"/>
            <c:showLegendKey val="0"/>
            <c:showVal val="0"/>
            <c:showCatName val="0"/>
            <c:showSerName val="0"/>
            <c:showPercent val="0"/>
            <c:showBubbleSize val="1"/>
            <c:separator>
</c:separator>
            <c:showLeaderLines val="0"/>
          </c:dLbls>
          <c:xVal>
            <c:numRef>
              <c:f>'D_Ch2-2'!$F$82</c:f>
              <c:numCache>
                <c:formatCode>0.00%</c:formatCode>
                <c:ptCount val="1"/>
                <c:pt idx="0">
                  <c:v>0.83448815377738039</c:v>
                </c:pt>
              </c:numCache>
            </c:numRef>
          </c:xVal>
          <c:yVal>
            <c:numRef>
              <c:f>'D_Ch2-2'!$E$82</c:f>
              <c:numCache>
                <c:formatCode>0.00%</c:formatCode>
                <c:ptCount val="1"/>
                <c:pt idx="0">
                  <c:v>8.1797393487156561E-2</c:v>
                </c:pt>
              </c:numCache>
            </c:numRef>
          </c:yVal>
          <c:bubbleSize>
            <c:numRef>
              <c:f>'D_Ch2-2'!$D$82</c:f>
              <c:numCache>
                <c:formatCode>#,##0</c:formatCode>
                <c:ptCount val="1"/>
                <c:pt idx="0">
                  <c:v>2326.48</c:v>
                </c:pt>
              </c:numCache>
            </c:numRef>
          </c:bubbleSize>
          <c:bubble3D val="0"/>
        </c:ser>
        <c:ser>
          <c:idx val="1"/>
          <c:order val="1"/>
          <c:tx>
            <c:strRef>
              <c:f>'D_Ch2-2'!$C$83</c:f>
              <c:strCache>
                <c:ptCount val="1"/>
                <c:pt idx="0">
                  <c:v>Agents d'entretien y compris ATSEM</c:v>
                </c:pt>
              </c:strCache>
            </c:strRef>
          </c:tx>
          <c:spPr>
            <a:ln w="25400">
              <a:noFill/>
            </a:ln>
          </c:spPr>
          <c:invertIfNegative val="0"/>
          <c:dLbls>
            <c:dLbl>
              <c:idx val="0"/>
              <c:layout>
                <c:manualLayout>
                  <c:x val="-8.5764367949581519E-2"/>
                  <c:y val="-2.6974951830443159E-2"/>
                </c:manualLayout>
              </c:layout>
              <c:dLblPos val="r"/>
              <c:showLegendKey val="0"/>
              <c:showVal val="0"/>
              <c:showCatName val="0"/>
              <c:showSerName val="0"/>
              <c:showPercent val="0"/>
              <c:showBubbleSize val="1"/>
            </c:dLbl>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dLbls>
          <c:xVal>
            <c:numRef>
              <c:f>'D_Ch2-2'!$F$83</c:f>
              <c:numCache>
                <c:formatCode>0.00%</c:formatCode>
                <c:ptCount val="1"/>
                <c:pt idx="0">
                  <c:v>0.16431502347695823</c:v>
                </c:pt>
              </c:numCache>
            </c:numRef>
          </c:xVal>
          <c:yVal>
            <c:numRef>
              <c:f>'D_Ch2-2'!$E$83</c:f>
              <c:numCache>
                <c:formatCode>0.00%</c:formatCode>
                <c:ptCount val="1"/>
                <c:pt idx="0">
                  <c:v>0.28036165765680415</c:v>
                </c:pt>
              </c:numCache>
            </c:numRef>
          </c:yVal>
          <c:bubbleSize>
            <c:numRef>
              <c:f>'D_Ch2-2'!$D$83</c:f>
              <c:numCache>
                <c:formatCode>#,##0</c:formatCode>
                <c:ptCount val="1"/>
                <c:pt idx="0">
                  <c:v>1688.89</c:v>
                </c:pt>
              </c:numCache>
            </c:numRef>
          </c:bubbleSize>
          <c:bubble3D val="0"/>
        </c:ser>
        <c:ser>
          <c:idx val="2"/>
          <c:order val="2"/>
          <c:tx>
            <c:strRef>
              <c:f>'D_Ch2-2'!$C$84</c:f>
              <c:strCache>
                <c:ptCount val="1"/>
                <c:pt idx="0">
                  <c:v>Apprentis de restauration</c:v>
                </c:pt>
              </c:strCache>
            </c:strRef>
          </c:tx>
          <c:spPr>
            <a:ln w="25400">
              <a:noFill/>
            </a:ln>
          </c:spPr>
          <c:invertIfNegative val="0"/>
          <c:dLbls>
            <c:dLbl>
              <c:idx val="0"/>
              <c:layout>
                <c:manualLayout>
                  <c:x val="-8.2995532638066291E-2"/>
                  <c:y val="3.8535645472061657E-3"/>
                </c:manualLayout>
              </c:layout>
              <c:dLblPos val="r"/>
              <c:showLegendKey val="0"/>
              <c:showVal val="0"/>
              <c:showCatName val="0"/>
              <c:showSerName val="0"/>
              <c:showPercent val="0"/>
              <c:showBubbleSize val="1"/>
            </c:dLbl>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dLbls>
          <c:xVal>
            <c:numRef>
              <c:f>'D_Ch2-2'!$F$84</c:f>
              <c:numCache>
                <c:formatCode>0.00%</c:formatCode>
                <c:ptCount val="1"/>
                <c:pt idx="0">
                  <c:v>0.12976061498968344</c:v>
                </c:pt>
              </c:numCache>
            </c:numRef>
          </c:xVal>
          <c:yVal>
            <c:numRef>
              <c:f>'D_Ch2-2'!$E$84</c:f>
              <c:numCache>
                <c:formatCode>0.00%</c:formatCode>
                <c:ptCount val="1"/>
                <c:pt idx="0">
                  <c:v>0.20932559535721429</c:v>
                </c:pt>
              </c:numCache>
            </c:numRef>
          </c:yVal>
          <c:bubbleSize>
            <c:numRef>
              <c:f>'D_Ch2-2'!$D$84</c:f>
              <c:numCache>
                <c:formatCode>#,##0</c:formatCode>
                <c:ptCount val="1"/>
                <c:pt idx="0">
                  <c:v>1449.13</c:v>
                </c:pt>
              </c:numCache>
            </c:numRef>
          </c:bubbleSize>
          <c:bubble3D val="0"/>
        </c:ser>
        <c:ser>
          <c:idx val="3"/>
          <c:order val="3"/>
          <c:tx>
            <c:strRef>
              <c:f>'D_Ch2-2'!$C$85</c:f>
              <c:strCache>
                <c:ptCount val="1"/>
                <c:pt idx="0">
                  <c:v>Employés de libre service</c:v>
                </c:pt>
              </c:strCache>
            </c:strRef>
          </c:tx>
          <c:spPr>
            <a:ln w="25400">
              <a:noFill/>
            </a:ln>
          </c:spPr>
          <c:invertIfNegative val="0"/>
          <c:dLbls>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dLbls>
          <c:xVal>
            <c:numRef>
              <c:f>'D_Ch2-2'!$F$85</c:f>
              <c:numCache>
                <c:formatCode>0.00%</c:formatCode>
                <c:ptCount val="1"/>
                <c:pt idx="0">
                  <c:v>0.86242058801017152</c:v>
                </c:pt>
              </c:numCache>
            </c:numRef>
          </c:xVal>
          <c:yVal>
            <c:numRef>
              <c:f>'D_Ch2-2'!$E$85</c:f>
              <c:numCache>
                <c:formatCode>0.00%</c:formatCode>
                <c:ptCount val="1"/>
                <c:pt idx="0">
                  <c:v>5.6700373353290874E-2</c:v>
                </c:pt>
              </c:numCache>
            </c:numRef>
          </c:yVal>
          <c:bubbleSize>
            <c:numRef>
              <c:f>'D_Ch2-2'!$D$85</c:f>
              <c:numCache>
                <c:formatCode>#,##0</c:formatCode>
                <c:ptCount val="1"/>
                <c:pt idx="0">
                  <c:v>1175.83</c:v>
                </c:pt>
              </c:numCache>
            </c:numRef>
          </c:bubbleSize>
          <c:bubble3D val="0"/>
        </c:ser>
        <c:ser>
          <c:idx val="4"/>
          <c:order val="4"/>
          <c:tx>
            <c:strRef>
              <c:f>'D_Ch2-2'!$C$86</c:f>
              <c:strCache>
                <c:ptCount val="1"/>
                <c:pt idx="0">
                  <c:v>Aides à domicile</c:v>
                </c:pt>
              </c:strCache>
            </c:strRef>
          </c:tx>
          <c:spPr>
            <a:ln w="25400">
              <a:noFill/>
            </a:ln>
          </c:spPr>
          <c:invertIfNegative val="0"/>
          <c:dLbls>
            <c:dLbl>
              <c:idx val="0"/>
              <c:layout>
                <c:manualLayout>
                  <c:x val="-7.3101680873961558E-2"/>
                  <c:y val="0"/>
                </c:manualLayout>
              </c:layout>
              <c:dLblPos val="r"/>
              <c:showLegendKey val="0"/>
              <c:showVal val="0"/>
              <c:showCatName val="0"/>
              <c:showSerName val="0"/>
              <c:showPercent val="0"/>
              <c:showBubbleSize val="1"/>
            </c:dLbl>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dLbls>
          <c:xVal>
            <c:numRef>
              <c:f>'D_Ch2-2'!$F$86</c:f>
              <c:numCache>
                <c:formatCode>0.00%</c:formatCode>
                <c:ptCount val="1"/>
                <c:pt idx="0">
                  <c:v>0.11406527429481431</c:v>
                </c:pt>
              </c:numCache>
            </c:numRef>
          </c:xVal>
          <c:yVal>
            <c:numRef>
              <c:f>'D_Ch2-2'!$E$86</c:f>
              <c:numCache>
                <c:formatCode>0.00%</c:formatCode>
                <c:ptCount val="1"/>
                <c:pt idx="0">
                  <c:v>0.64813018249711707</c:v>
                </c:pt>
              </c:numCache>
            </c:numRef>
          </c:yVal>
          <c:bubbleSize>
            <c:numRef>
              <c:f>'D_Ch2-2'!$D$86</c:f>
              <c:numCache>
                <c:formatCode>#,##0</c:formatCode>
                <c:ptCount val="1"/>
                <c:pt idx="0">
                  <c:v>1092.6199999999999</c:v>
                </c:pt>
              </c:numCache>
            </c:numRef>
          </c:bubbleSize>
          <c:bubble3D val="0"/>
        </c:ser>
        <c:ser>
          <c:idx val="5"/>
          <c:order val="5"/>
          <c:tx>
            <c:strRef>
              <c:f>'D_Ch2-2'!$C$87</c:f>
              <c:strCache>
                <c:ptCount val="1"/>
                <c:pt idx="0">
                  <c:v>Télévendeurs</c:v>
                </c:pt>
              </c:strCache>
            </c:strRef>
          </c:tx>
          <c:spPr>
            <a:ln w="25400">
              <a:noFill/>
            </a:ln>
          </c:spPr>
          <c:invertIfNegative val="0"/>
          <c:dLbls>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dLbls>
          <c:xVal>
            <c:numRef>
              <c:f>'D_Ch2-2'!$F$87</c:f>
              <c:numCache>
                <c:formatCode>0.00%</c:formatCode>
                <c:ptCount val="1"/>
                <c:pt idx="0">
                  <c:v>0.21427040925648169</c:v>
                </c:pt>
              </c:numCache>
            </c:numRef>
          </c:xVal>
          <c:yVal>
            <c:numRef>
              <c:f>'D_Ch2-2'!$E$87</c:f>
              <c:numCache>
                <c:formatCode>0.00%</c:formatCode>
                <c:ptCount val="1"/>
                <c:pt idx="0">
                  <c:v>0.23666166702378402</c:v>
                </c:pt>
              </c:numCache>
            </c:numRef>
          </c:yVal>
          <c:bubbleSize>
            <c:numRef>
              <c:f>'D_Ch2-2'!$D$87</c:f>
              <c:numCache>
                <c:formatCode>#,##0</c:formatCode>
                <c:ptCount val="1"/>
                <c:pt idx="0">
                  <c:v>933.4</c:v>
                </c:pt>
              </c:numCache>
            </c:numRef>
          </c:bubbleSize>
          <c:bubble3D val="0"/>
        </c:ser>
        <c:ser>
          <c:idx val="6"/>
          <c:order val="6"/>
          <c:tx>
            <c:strRef>
              <c:f>'D_Ch2-2'!$C$88</c:f>
              <c:strCache>
                <c:ptCount val="1"/>
                <c:pt idx="0">
                  <c:v>Mantutionnaires </c:v>
                </c:pt>
              </c:strCache>
            </c:strRef>
          </c:tx>
          <c:spPr>
            <a:ln w="25400">
              <a:noFill/>
            </a:ln>
          </c:spPr>
          <c:invertIfNegative val="0"/>
          <c:dLbls>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dLbls>
          <c:xVal>
            <c:numRef>
              <c:f>'D_Ch2-2'!$F$88</c:f>
              <c:numCache>
                <c:formatCode>0.00%</c:formatCode>
                <c:ptCount val="1"/>
                <c:pt idx="0">
                  <c:v>0.58910170856929855</c:v>
                </c:pt>
              </c:numCache>
            </c:numRef>
          </c:xVal>
          <c:yVal>
            <c:numRef>
              <c:f>'D_Ch2-2'!$E$88</c:f>
              <c:numCache>
                <c:formatCode>0.00%</c:formatCode>
                <c:ptCount val="1"/>
                <c:pt idx="0">
                  <c:v>0.25848573386718604</c:v>
                </c:pt>
              </c:numCache>
            </c:numRef>
          </c:yVal>
          <c:bubbleSize>
            <c:numRef>
              <c:f>'D_Ch2-2'!$D$88</c:f>
              <c:numCache>
                <c:formatCode>#,##0</c:formatCode>
                <c:ptCount val="1"/>
                <c:pt idx="0">
                  <c:v>831.69</c:v>
                </c:pt>
              </c:numCache>
            </c:numRef>
          </c:bubbleSize>
          <c:bubble3D val="0"/>
        </c:ser>
        <c:ser>
          <c:idx val="7"/>
          <c:order val="7"/>
          <c:tx>
            <c:strRef>
              <c:f>'D_Ch2-2'!$C$89</c:f>
              <c:strCache>
                <c:ptCount val="1"/>
                <c:pt idx="0">
                  <c:v>Agents administratifs </c:v>
                </c:pt>
              </c:strCache>
            </c:strRef>
          </c:tx>
          <c:spPr>
            <a:ln w="25400">
              <a:noFill/>
            </a:ln>
          </c:spPr>
          <c:invertIfNegative val="0"/>
          <c:dLbls>
            <c:txPr>
              <a:bodyPr/>
              <a:lstStyle/>
              <a:p>
                <a:pPr algn="ctr">
                  <a:defRPr lang="fr-FR" sz="800" b="0"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0"/>
            <c:showBubbleSize val="1"/>
            <c:showLeaderLines val="0"/>
          </c:dLbls>
          <c:xVal>
            <c:numRef>
              <c:f>'D_Ch2-2'!$F$89</c:f>
              <c:numCache>
                <c:formatCode>0.00%</c:formatCode>
                <c:ptCount val="1"/>
                <c:pt idx="0">
                  <c:v>0.37521755117048655</c:v>
                </c:pt>
              </c:numCache>
            </c:numRef>
          </c:xVal>
          <c:yVal>
            <c:numRef>
              <c:f>'D_Ch2-2'!$E$89</c:f>
              <c:numCache>
                <c:formatCode>0.00%</c:formatCode>
                <c:ptCount val="1"/>
                <c:pt idx="0">
                  <c:v>0.33964946684642727</c:v>
                </c:pt>
              </c:numCache>
            </c:numRef>
          </c:yVal>
          <c:bubbleSize>
            <c:numRef>
              <c:f>'D_Ch2-2'!$D$89</c:f>
              <c:numCache>
                <c:formatCode>#,##0</c:formatCode>
                <c:ptCount val="1"/>
                <c:pt idx="0">
                  <c:v>815.9</c:v>
                </c:pt>
              </c:numCache>
            </c:numRef>
          </c:bubbleSize>
          <c:bubble3D val="0"/>
        </c:ser>
        <c:ser>
          <c:idx val="8"/>
          <c:order val="8"/>
          <c:tx>
            <c:strRef>
              <c:f>'D_Ch2-2'!$C$90</c:f>
              <c:strCache>
                <c:ptCount val="1"/>
                <c:pt idx="0">
                  <c:v>Ingénieurs informatique </c:v>
                </c:pt>
              </c:strCache>
            </c:strRef>
          </c:tx>
          <c:spPr>
            <a:ln w="25400">
              <a:noFill/>
            </a:ln>
          </c:spPr>
          <c:invertIfNegative val="0"/>
          <c:dLbls>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dLbls>
          <c:xVal>
            <c:numRef>
              <c:f>'D_Ch2-2'!$F$90</c:f>
              <c:numCache>
                <c:formatCode>0.00%</c:formatCode>
                <c:ptCount val="1"/>
                <c:pt idx="0">
                  <c:v>0</c:v>
                </c:pt>
              </c:numCache>
            </c:numRef>
          </c:xVal>
          <c:yVal>
            <c:numRef>
              <c:f>'D_Ch2-2'!$E$90</c:f>
              <c:numCache>
                <c:formatCode>0.00%</c:formatCode>
                <c:ptCount val="1"/>
                <c:pt idx="0">
                  <c:v>0.38860192383713271</c:v>
                </c:pt>
              </c:numCache>
            </c:numRef>
          </c:yVal>
          <c:bubbleSize>
            <c:numRef>
              <c:f>'D_Ch2-2'!$D$90</c:f>
              <c:numCache>
                <c:formatCode>#,##0</c:formatCode>
                <c:ptCount val="1"/>
                <c:pt idx="0">
                  <c:v>758.9</c:v>
                </c:pt>
              </c:numCache>
            </c:numRef>
          </c:bubbleSize>
          <c:bubble3D val="0"/>
        </c:ser>
        <c:ser>
          <c:idx val="9"/>
          <c:order val="9"/>
          <c:tx>
            <c:strRef>
              <c:f>'D_Ch2-2'!$C$91</c:f>
              <c:strCache>
                <c:ptCount val="1"/>
                <c:pt idx="0">
                  <c:v>Serveurs </c:v>
                </c:pt>
              </c:strCache>
            </c:strRef>
          </c:tx>
          <c:spPr>
            <a:ln w="25400">
              <a:noFill/>
            </a:ln>
          </c:spPr>
          <c:invertIfNegative val="0"/>
          <c:dLbls>
            <c:txPr>
              <a:bodyPr/>
              <a:lstStyle/>
              <a:p>
                <a:pPr>
                  <a:defRPr sz="800" b="1">
                    <a:solidFill>
                      <a:schemeClr val="bg1"/>
                    </a:solidFill>
                  </a:defRPr>
                </a:pPr>
                <a:endParaRPr lang="fr-FR"/>
              </a:p>
            </c:txPr>
            <c:dLblPos val="ctr"/>
            <c:showLegendKey val="0"/>
            <c:showVal val="0"/>
            <c:showCatName val="0"/>
            <c:showSerName val="0"/>
            <c:showPercent val="0"/>
            <c:showBubbleSize val="1"/>
            <c:showLeaderLines val="0"/>
          </c:dLbls>
          <c:xVal>
            <c:numRef>
              <c:f>'D_Ch2-2'!$F$91</c:f>
              <c:numCache>
                <c:formatCode>0.00%</c:formatCode>
                <c:ptCount val="1"/>
                <c:pt idx="0">
                  <c:v>0.31335819864622189</c:v>
                </c:pt>
              </c:numCache>
            </c:numRef>
          </c:xVal>
          <c:yVal>
            <c:numRef>
              <c:f>'D_Ch2-2'!$E$91</c:f>
              <c:numCache>
                <c:formatCode>0.00%</c:formatCode>
                <c:ptCount val="1"/>
                <c:pt idx="0">
                  <c:v>0.36688769167012014</c:v>
                </c:pt>
              </c:numCache>
            </c:numRef>
          </c:yVal>
          <c:bubbleSize>
            <c:numRef>
              <c:f>'D_Ch2-2'!$D$91</c:f>
              <c:numCache>
                <c:formatCode>#,##0</c:formatCode>
                <c:ptCount val="1"/>
                <c:pt idx="0">
                  <c:v>723.9</c:v>
                </c:pt>
              </c:numCache>
            </c:numRef>
          </c:bubbleSize>
          <c:bubble3D val="0"/>
        </c:ser>
        <c:dLbls>
          <c:showLegendKey val="0"/>
          <c:showVal val="1"/>
          <c:showCatName val="0"/>
          <c:showSerName val="0"/>
          <c:showPercent val="0"/>
          <c:showBubbleSize val="0"/>
        </c:dLbls>
        <c:bubbleScale val="100"/>
        <c:showNegBubbles val="0"/>
        <c:axId val="130544768"/>
        <c:axId val="130546688"/>
      </c:bubbleChart>
      <c:valAx>
        <c:axId val="130544768"/>
        <c:scaling>
          <c:orientation val="minMax"/>
          <c:max val="1.2"/>
        </c:scaling>
        <c:delete val="0"/>
        <c:axPos val="b"/>
        <c:majorGridlines>
          <c:spPr>
            <a:ln w="3175">
              <a:solidFill>
                <a:schemeClr val="bg1">
                  <a:lumMod val="85000"/>
                </a:schemeClr>
              </a:solidFill>
            </a:ln>
          </c:spPr>
        </c:majorGridlines>
        <c:title>
          <c:tx>
            <c:rich>
              <a:bodyPr/>
              <a:lstStyle/>
              <a:p>
                <a:pPr>
                  <a:defRPr/>
                </a:pPr>
                <a:r>
                  <a:rPr lang="fr-FR"/>
                  <a:t>% d'emplois saisonniers</a:t>
                </a:r>
              </a:p>
            </c:rich>
          </c:tx>
          <c:overlay val="0"/>
        </c:title>
        <c:numFmt formatCode="0%" sourceLinked="0"/>
        <c:majorTickMark val="none"/>
        <c:minorTickMark val="none"/>
        <c:tickLblPos val="low"/>
        <c:txPr>
          <a:bodyPr/>
          <a:lstStyle/>
          <a:p>
            <a:pPr>
              <a:defRPr sz="800"/>
            </a:pPr>
            <a:endParaRPr lang="fr-FR"/>
          </a:p>
        </c:txPr>
        <c:crossAx val="130546688"/>
        <c:crossesAt val="0"/>
        <c:crossBetween val="midCat"/>
        <c:majorUnit val="0.2"/>
      </c:valAx>
      <c:valAx>
        <c:axId val="130546688"/>
        <c:scaling>
          <c:orientation val="minMax"/>
        </c:scaling>
        <c:delete val="0"/>
        <c:axPos val="l"/>
        <c:majorGridlines>
          <c:spPr>
            <a:ln w="3175">
              <a:solidFill>
                <a:schemeClr val="bg1">
                  <a:lumMod val="95000"/>
                </a:schemeClr>
              </a:solidFill>
            </a:ln>
          </c:spPr>
        </c:majorGridlines>
        <c:title>
          <c:tx>
            <c:rich>
              <a:bodyPr rot="-5400000" vert="horz"/>
              <a:lstStyle/>
              <a:p>
                <a:pPr>
                  <a:defRPr/>
                </a:pPr>
                <a:r>
                  <a:rPr lang="fr-FR"/>
                  <a:t>% de recrutement difficile</a:t>
                </a:r>
              </a:p>
            </c:rich>
          </c:tx>
          <c:overlay val="0"/>
        </c:title>
        <c:numFmt formatCode="0%" sourceLinked="0"/>
        <c:majorTickMark val="out"/>
        <c:minorTickMark val="none"/>
        <c:tickLblPos val="low"/>
        <c:spPr>
          <a:ln>
            <a:noFill/>
          </a:ln>
        </c:spPr>
        <c:txPr>
          <a:bodyPr/>
          <a:lstStyle/>
          <a:p>
            <a:pPr>
              <a:defRPr sz="800"/>
            </a:pPr>
            <a:endParaRPr lang="fr-FR"/>
          </a:p>
        </c:txPr>
        <c:crossAx val="130544768"/>
        <c:crosses val="autoZero"/>
        <c:crossBetween val="midCat"/>
        <c:majorUnit val="0.1"/>
      </c:valAx>
    </c:plotArea>
    <c:legend>
      <c:legendPos val="tr"/>
      <c:layout>
        <c:manualLayout>
          <c:xMode val="edge"/>
          <c:yMode val="edge"/>
          <c:x val="0.69329307287916442"/>
          <c:y val="1.0038080500053101E-2"/>
          <c:w val="0.29336132983377078"/>
          <c:h val="0.87850014412938271"/>
        </c:manualLayout>
      </c:layout>
      <c:overlay val="0"/>
      <c:txPr>
        <a:bodyPr/>
        <a:lstStyle/>
        <a:p>
          <a:pPr>
            <a:defRPr sz="750">
              <a:solidFill>
                <a:schemeClr val="tx1">
                  <a:lumMod val="75000"/>
                  <a:lumOff val="25000"/>
                </a:schemeClr>
              </a:solidFill>
            </a:defRPr>
          </a:pPr>
          <a:endParaRPr lang="fr-FR"/>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91384849895836E-2"/>
          <c:y val="5.3636379228302722E-2"/>
          <c:w val="0.28679050903896924"/>
          <c:h val="0.72095665031193124"/>
        </c:manualLayout>
      </c:layout>
      <c:barChart>
        <c:barDir val="col"/>
        <c:grouping val="stacked"/>
        <c:varyColors val="0"/>
        <c:ser>
          <c:idx val="0"/>
          <c:order val="0"/>
          <c:tx>
            <c:strRef>
              <c:f>'D_Ch2-2'!$B$28</c:f>
              <c:strCache>
                <c:ptCount val="1"/>
                <c:pt idx="0">
                  <c:v>CDI</c:v>
                </c:pt>
              </c:strCache>
            </c:strRef>
          </c:tx>
          <c:spPr>
            <a:solidFill>
              <a:schemeClr val="accent1">
                <a:lumMod val="75000"/>
              </a:schemeClr>
            </a:solidFill>
          </c:spPr>
          <c:invertIfNegative val="0"/>
          <c:cat>
            <c:strRef>
              <c:f>'D_Ch2-2'!$A$29:$A$33</c:f>
              <c:strCache>
                <c:ptCount val="5"/>
                <c:pt idx="0">
                  <c:v>4T 2015</c:v>
                </c:pt>
                <c:pt idx="1">
                  <c:v>1T 2016</c:v>
                </c:pt>
                <c:pt idx="2">
                  <c:v>2T 2016</c:v>
                </c:pt>
                <c:pt idx="3">
                  <c:v>3T 2016</c:v>
                </c:pt>
                <c:pt idx="4">
                  <c:v>4T 2016</c:v>
                </c:pt>
              </c:strCache>
            </c:strRef>
          </c:cat>
          <c:val>
            <c:numRef>
              <c:f>'D_Ch2-2'!$B$29:$B$33</c:f>
              <c:numCache>
                <c:formatCode>General</c:formatCode>
                <c:ptCount val="5"/>
                <c:pt idx="0">
                  <c:v>33278</c:v>
                </c:pt>
                <c:pt idx="1">
                  <c:v>38146</c:v>
                </c:pt>
                <c:pt idx="2">
                  <c:v>35521</c:v>
                </c:pt>
                <c:pt idx="3">
                  <c:v>41209</c:v>
                </c:pt>
                <c:pt idx="4">
                  <c:v>37178</c:v>
                </c:pt>
              </c:numCache>
            </c:numRef>
          </c:val>
        </c:ser>
        <c:ser>
          <c:idx val="1"/>
          <c:order val="1"/>
          <c:tx>
            <c:strRef>
              <c:f>'D_Ch2-2'!$C$28</c:f>
              <c:strCache>
                <c:ptCount val="1"/>
                <c:pt idx="0">
                  <c:v>CDD long (&gt;1 mois)</c:v>
                </c:pt>
              </c:strCache>
            </c:strRef>
          </c:tx>
          <c:spPr>
            <a:solidFill>
              <a:schemeClr val="accent4">
                <a:lumMod val="60000"/>
                <a:lumOff val="40000"/>
              </a:schemeClr>
            </a:solidFill>
          </c:spPr>
          <c:invertIfNegative val="0"/>
          <c:cat>
            <c:strRef>
              <c:f>'D_Ch2-2'!$A$29:$A$33</c:f>
              <c:strCache>
                <c:ptCount val="5"/>
                <c:pt idx="0">
                  <c:v>4T 2015</c:v>
                </c:pt>
                <c:pt idx="1">
                  <c:v>1T 2016</c:v>
                </c:pt>
                <c:pt idx="2">
                  <c:v>2T 2016</c:v>
                </c:pt>
                <c:pt idx="3">
                  <c:v>3T 2016</c:v>
                </c:pt>
                <c:pt idx="4">
                  <c:v>4T 2016</c:v>
                </c:pt>
              </c:strCache>
            </c:strRef>
          </c:cat>
          <c:val>
            <c:numRef>
              <c:f>'D_Ch2-2'!$C$29:$C$33</c:f>
              <c:numCache>
                <c:formatCode>General</c:formatCode>
                <c:ptCount val="5"/>
                <c:pt idx="0">
                  <c:v>35535</c:v>
                </c:pt>
                <c:pt idx="1">
                  <c:v>41468</c:v>
                </c:pt>
                <c:pt idx="2">
                  <c:v>57619</c:v>
                </c:pt>
                <c:pt idx="3">
                  <c:v>85459</c:v>
                </c:pt>
                <c:pt idx="4">
                  <c:v>37462</c:v>
                </c:pt>
              </c:numCache>
            </c:numRef>
          </c:val>
        </c:ser>
        <c:ser>
          <c:idx val="2"/>
          <c:order val="2"/>
          <c:tx>
            <c:strRef>
              <c:f>'D_Ch2-2'!$D$28</c:f>
              <c:strCache>
                <c:ptCount val="1"/>
                <c:pt idx="0">
                  <c:v>CDD court (&lt;1 mois)</c:v>
                </c:pt>
              </c:strCache>
            </c:strRef>
          </c:tx>
          <c:spPr>
            <a:solidFill>
              <a:schemeClr val="accent4">
                <a:lumMod val="20000"/>
                <a:lumOff val="80000"/>
              </a:schemeClr>
            </a:solidFill>
          </c:spPr>
          <c:invertIfNegative val="0"/>
          <c:cat>
            <c:strRef>
              <c:f>'D_Ch2-2'!$A$29:$A$33</c:f>
              <c:strCache>
                <c:ptCount val="5"/>
                <c:pt idx="0">
                  <c:v>4T 2015</c:v>
                </c:pt>
                <c:pt idx="1">
                  <c:v>1T 2016</c:v>
                </c:pt>
                <c:pt idx="2">
                  <c:v>2T 2016</c:v>
                </c:pt>
                <c:pt idx="3">
                  <c:v>3T 2016</c:v>
                </c:pt>
                <c:pt idx="4">
                  <c:v>4T 2016</c:v>
                </c:pt>
              </c:strCache>
            </c:strRef>
          </c:cat>
          <c:val>
            <c:numRef>
              <c:f>'D_Ch2-2'!$D$29:$D$33</c:f>
              <c:numCache>
                <c:formatCode>General</c:formatCode>
                <c:ptCount val="5"/>
                <c:pt idx="0">
                  <c:v>188051</c:v>
                </c:pt>
                <c:pt idx="1">
                  <c:v>171977</c:v>
                </c:pt>
                <c:pt idx="2">
                  <c:v>209241</c:v>
                </c:pt>
                <c:pt idx="3">
                  <c:v>222594</c:v>
                </c:pt>
                <c:pt idx="4">
                  <c:v>197764</c:v>
                </c:pt>
              </c:numCache>
            </c:numRef>
          </c:val>
        </c:ser>
        <c:dLbls>
          <c:showLegendKey val="0"/>
          <c:showVal val="0"/>
          <c:showCatName val="0"/>
          <c:showSerName val="0"/>
          <c:showPercent val="0"/>
          <c:showBubbleSize val="0"/>
        </c:dLbls>
        <c:gapWidth val="150"/>
        <c:overlap val="100"/>
        <c:axId val="130593536"/>
        <c:axId val="130595072"/>
      </c:barChart>
      <c:catAx>
        <c:axId val="130593536"/>
        <c:scaling>
          <c:orientation val="minMax"/>
        </c:scaling>
        <c:delete val="0"/>
        <c:axPos val="b"/>
        <c:majorTickMark val="out"/>
        <c:minorTickMark val="none"/>
        <c:tickLblPos val="nextTo"/>
        <c:txPr>
          <a:bodyPr/>
          <a:lstStyle/>
          <a:p>
            <a:pPr>
              <a:defRPr sz="800"/>
            </a:pPr>
            <a:endParaRPr lang="fr-FR"/>
          </a:p>
        </c:txPr>
        <c:crossAx val="130595072"/>
        <c:crosses val="autoZero"/>
        <c:auto val="1"/>
        <c:lblAlgn val="ctr"/>
        <c:lblOffset val="100"/>
        <c:noMultiLvlLbl val="0"/>
      </c:catAx>
      <c:valAx>
        <c:axId val="130595072"/>
        <c:scaling>
          <c:orientation val="minMax"/>
          <c:max val="350000"/>
        </c:scaling>
        <c:delete val="0"/>
        <c:axPos val="l"/>
        <c:majorGridlines/>
        <c:numFmt formatCode="#,##0" sourceLinked="0"/>
        <c:majorTickMark val="out"/>
        <c:minorTickMark val="none"/>
        <c:tickLblPos val="nextTo"/>
        <c:crossAx val="130593536"/>
        <c:crosses val="autoZero"/>
        <c:crossBetween val="between"/>
      </c:valAx>
    </c:plotArea>
    <c:legend>
      <c:legendPos val="b"/>
      <c:layout>
        <c:manualLayout>
          <c:xMode val="edge"/>
          <c:yMode val="edge"/>
          <c:x val="0.24550003005349522"/>
          <c:y val="0.87153974073851459"/>
          <c:w val="0.58263451755348339"/>
          <c:h val="0.11137424615816155"/>
        </c:manualLayout>
      </c:layout>
      <c:overlay val="0"/>
    </c:legend>
    <c:plotVisOnly val="1"/>
    <c:dispBlanksAs val="gap"/>
    <c:showDLblsOverMax val="0"/>
  </c:chart>
  <c:spPr>
    <a:noFill/>
    <a:ln>
      <a:noFill/>
    </a:ln>
  </c:spPr>
  <c:txPr>
    <a:bodyPr/>
    <a:lstStyle/>
    <a:p>
      <a:pPr>
        <a:defRPr i="1"/>
      </a:pPr>
      <a:endParaRPr lang="fr-FR"/>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85185185185179E-2"/>
          <c:y val="4.1853493001192045E-2"/>
          <c:w val="0.86962962962962964"/>
          <c:h val="0.83054278660462255"/>
        </c:manualLayout>
      </c:layout>
      <c:barChart>
        <c:barDir val="col"/>
        <c:grouping val="stacked"/>
        <c:varyColors val="0"/>
        <c:ser>
          <c:idx val="0"/>
          <c:order val="0"/>
          <c:tx>
            <c:strRef>
              <c:f>'D_Ch2-2'!$H$28</c:f>
              <c:strCache>
                <c:ptCount val="1"/>
                <c:pt idx="0">
                  <c:v>CDI</c:v>
                </c:pt>
              </c:strCache>
            </c:strRef>
          </c:tx>
          <c:spPr>
            <a:solidFill>
              <a:schemeClr val="accent1">
                <a:lumMod val="75000"/>
              </a:schemeClr>
            </a:solidFill>
          </c:spPr>
          <c:invertIfNegative val="0"/>
          <c:cat>
            <c:strRef>
              <c:f>'D_Ch2-2'!$G$29:$G$33</c:f>
              <c:strCache>
                <c:ptCount val="5"/>
                <c:pt idx="0">
                  <c:v>4T 2015</c:v>
                </c:pt>
                <c:pt idx="1">
                  <c:v>1T 2016</c:v>
                </c:pt>
                <c:pt idx="2">
                  <c:v>2T 2016</c:v>
                </c:pt>
                <c:pt idx="3">
                  <c:v>3T 2016</c:v>
                </c:pt>
                <c:pt idx="4">
                  <c:v>4T 2016</c:v>
                </c:pt>
              </c:strCache>
            </c:strRef>
          </c:cat>
          <c:val>
            <c:numRef>
              <c:f>'D_Ch2-2'!$H$29:$H$33</c:f>
              <c:numCache>
                <c:formatCode>General</c:formatCode>
                <c:ptCount val="5"/>
                <c:pt idx="0">
                  <c:v>20550</c:v>
                </c:pt>
                <c:pt idx="1">
                  <c:v>23245</c:v>
                </c:pt>
                <c:pt idx="2">
                  <c:v>22141</c:v>
                </c:pt>
                <c:pt idx="3">
                  <c:v>25664</c:v>
                </c:pt>
                <c:pt idx="4">
                  <c:v>22625</c:v>
                </c:pt>
              </c:numCache>
            </c:numRef>
          </c:val>
        </c:ser>
        <c:ser>
          <c:idx val="1"/>
          <c:order val="1"/>
          <c:tx>
            <c:strRef>
              <c:f>'D_Ch2-2'!$I$28</c:f>
              <c:strCache>
                <c:ptCount val="1"/>
                <c:pt idx="0">
                  <c:v>CDD long (&gt;1 mois)</c:v>
                </c:pt>
              </c:strCache>
            </c:strRef>
          </c:tx>
          <c:spPr>
            <a:solidFill>
              <a:schemeClr val="accent4">
                <a:lumMod val="60000"/>
                <a:lumOff val="40000"/>
              </a:schemeClr>
            </a:solidFill>
          </c:spPr>
          <c:invertIfNegative val="0"/>
          <c:cat>
            <c:strRef>
              <c:f>'D_Ch2-2'!$G$29:$G$33</c:f>
              <c:strCache>
                <c:ptCount val="5"/>
                <c:pt idx="0">
                  <c:v>4T 2015</c:v>
                </c:pt>
                <c:pt idx="1">
                  <c:v>1T 2016</c:v>
                </c:pt>
                <c:pt idx="2">
                  <c:v>2T 2016</c:v>
                </c:pt>
                <c:pt idx="3">
                  <c:v>3T 2016</c:v>
                </c:pt>
                <c:pt idx="4">
                  <c:v>4T 2016</c:v>
                </c:pt>
              </c:strCache>
            </c:strRef>
          </c:cat>
          <c:val>
            <c:numRef>
              <c:f>'D_Ch2-2'!$I$29:$I$33</c:f>
              <c:numCache>
                <c:formatCode>General</c:formatCode>
                <c:ptCount val="5"/>
                <c:pt idx="0">
                  <c:v>17973</c:v>
                </c:pt>
                <c:pt idx="1">
                  <c:v>19682</c:v>
                </c:pt>
                <c:pt idx="2">
                  <c:v>26116</c:v>
                </c:pt>
                <c:pt idx="3">
                  <c:v>37706</c:v>
                </c:pt>
                <c:pt idx="4">
                  <c:v>18786</c:v>
                </c:pt>
              </c:numCache>
            </c:numRef>
          </c:val>
        </c:ser>
        <c:ser>
          <c:idx val="2"/>
          <c:order val="2"/>
          <c:tx>
            <c:strRef>
              <c:f>'D_Ch2-2'!$J$28</c:f>
              <c:strCache>
                <c:ptCount val="1"/>
                <c:pt idx="0">
                  <c:v>CDD court (&lt;1 mois)</c:v>
                </c:pt>
              </c:strCache>
            </c:strRef>
          </c:tx>
          <c:spPr>
            <a:solidFill>
              <a:schemeClr val="accent4">
                <a:lumMod val="20000"/>
                <a:lumOff val="80000"/>
              </a:schemeClr>
            </a:solidFill>
          </c:spPr>
          <c:invertIfNegative val="0"/>
          <c:cat>
            <c:strRef>
              <c:f>'D_Ch2-2'!$G$29:$G$33</c:f>
              <c:strCache>
                <c:ptCount val="5"/>
                <c:pt idx="0">
                  <c:v>4T 2015</c:v>
                </c:pt>
                <c:pt idx="1">
                  <c:v>1T 2016</c:v>
                </c:pt>
                <c:pt idx="2">
                  <c:v>2T 2016</c:v>
                </c:pt>
                <c:pt idx="3">
                  <c:v>3T 2016</c:v>
                </c:pt>
                <c:pt idx="4">
                  <c:v>4T 2016</c:v>
                </c:pt>
              </c:strCache>
            </c:strRef>
          </c:cat>
          <c:val>
            <c:numRef>
              <c:f>'D_Ch2-2'!$J$29:$J$33</c:f>
              <c:numCache>
                <c:formatCode>General</c:formatCode>
                <c:ptCount val="5"/>
                <c:pt idx="0">
                  <c:v>108271</c:v>
                </c:pt>
                <c:pt idx="1">
                  <c:v>98562</c:v>
                </c:pt>
                <c:pt idx="2">
                  <c:v>118796</c:v>
                </c:pt>
                <c:pt idx="3">
                  <c:v>117884</c:v>
                </c:pt>
                <c:pt idx="4">
                  <c:v>113076</c:v>
                </c:pt>
              </c:numCache>
            </c:numRef>
          </c:val>
        </c:ser>
        <c:dLbls>
          <c:showLegendKey val="0"/>
          <c:showVal val="0"/>
          <c:showCatName val="0"/>
          <c:showSerName val="0"/>
          <c:showPercent val="0"/>
          <c:showBubbleSize val="0"/>
        </c:dLbls>
        <c:gapWidth val="150"/>
        <c:overlap val="100"/>
        <c:axId val="131026944"/>
        <c:axId val="131028480"/>
      </c:barChart>
      <c:catAx>
        <c:axId val="131026944"/>
        <c:scaling>
          <c:orientation val="minMax"/>
        </c:scaling>
        <c:delete val="0"/>
        <c:axPos val="b"/>
        <c:majorTickMark val="out"/>
        <c:minorTickMark val="none"/>
        <c:tickLblPos val="nextTo"/>
        <c:txPr>
          <a:bodyPr/>
          <a:lstStyle/>
          <a:p>
            <a:pPr>
              <a:defRPr sz="800"/>
            </a:pPr>
            <a:endParaRPr lang="fr-FR"/>
          </a:p>
        </c:txPr>
        <c:crossAx val="131028480"/>
        <c:crosses val="autoZero"/>
        <c:auto val="1"/>
        <c:lblAlgn val="ctr"/>
        <c:lblOffset val="100"/>
        <c:noMultiLvlLbl val="0"/>
      </c:catAx>
      <c:valAx>
        <c:axId val="131028480"/>
        <c:scaling>
          <c:orientation val="minMax"/>
          <c:max val="350000"/>
        </c:scaling>
        <c:delete val="0"/>
        <c:axPos val="l"/>
        <c:majorGridlines/>
        <c:numFmt formatCode="General" sourceLinked="1"/>
        <c:majorTickMark val="none"/>
        <c:minorTickMark val="none"/>
        <c:tickLblPos val="none"/>
        <c:crossAx val="131026944"/>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850512745059938E-2"/>
          <c:y val="4.1297915918558095E-2"/>
          <c:w val="0.9230768842503958"/>
          <c:h val="0.82689251532180563"/>
        </c:manualLayout>
      </c:layout>
      <c:barChart>
        <c:barDir val="col"/>
        <c:grouping val="stacked"/>
        <c:varyColors val="0"/>
        <c:ser>
          <c:idx val="0"/>
          <c:order val="0"/>
          <c:tx>
            <c:strRef>
              <c:f>'D_Ch2-2'!$N$28</c:f>
              <c:strCache>
                <c:ptCount val="1"/>
                <c:pt idx="0">
                  <c:v>CDI</c:v>
                </c:pt>
              </c:strCache>
            </c:strRef>
          </c:tx>
          <c:spPr>
            <a:solidFill>
              <a:schemeClr val="accent1">
                <a:lumMod val="75000"/>
              </a:schemeClr>
            </a:solidFill>
          </c:spPr>
          <c:invertIfNegative val="0"/>
          <c:cat>
            <c:strRef>
              <c:f>'D_Ch2-2'!$M$29:$M$33</c:f>
              <c:strCache>
                <c:ptCount val="5"/>
                <c:pt idx="0">
                  <c:v>4T 2015</c:v>
                </c:pt>
                <c:pt idx="1">
                  <c:v>1T 2016</c:v>
                </c:pt>
                <c:pt idx="2">
                  <c:v>2T 2016</c:v>
                </c:pt>
                <c:pt idx="3">
                  <c:v>3T 2016</c:v>
                </c:pt>
                <c:pt idx="4">
                  <c:v>4T 2016</c:v>
                </c:pt>
              </c:strCache>
            </c:strRef>
          </c:cat>
          <c:val>
            <c:numRef>
              <c:f>'D_Ch2-2'!$N$29:$N$33</c:f>
              <c:numCache>
                <c:formatCode>General</c:formatCode>
                <c:ptCount val="5"/>
                <c:pt idx="0">
                  <c:v>14522</c:v>
                </c:pt>
                <c:pt idx="1">
                  <c:v>16144</c:v>
                </c:pt>
                <c:pt idx="2">
                  <c:v>15061</c:v>
                </c:pt>
                <c:pt idx="3">
                  <c:v>17611</c:v>
                </c:pt>
                <c:pt idx="4">
                  <c:v>15848</c:v>
                </c:pt>
              </c:numCache>
            </c:numRef>
          </c:val>
        </c:ser>
        <c:ser>
          <c:idx val="1"/>
          <c:order val="1"/>
          <c:tx>
            <c:strRef>
              <c:f>'D_Ch2-2'!$O$28</c:f>
              <c:strCache>
                <c:ptCount val="1"/>
                <c:pt idx="0">
                  <c:v>CDD long (&gt;1 mois)</c:v>
                </c:pt>
              </c:strCache>
            </c:strRef>
          </c:tx>
          <c:spPr>
            <a:solidFill>
              <a:schemeClr val="accent4">
                <a:lumMod val="60000"/>
                <a:lumOff val="40000"/>
              </a:schemeClr>
            </a:solidFill>
          </c:spPr>
          <c:invertIfNegative val="0"/>
          <c:cat>
            <c:strRef>
              <c:f>'D_Ch2-2'!$M$29:$M$33</c:f>
              <c:strCache>
                <c:ptCount val="5"/>
                <c:pt idx="0">
                  <c:v>4T 2015</c:v>
                </c:pt>
                <c:pt idx="1">
                  <c:v>1T 2016</c:v>
                </c:pt>
                <c:pt idx="2">
                  <c:v>2T 2016</c:v>
                </c:pt>
                <c:pt idx="3">
                  <c:v>3T 2016</c:v>
                </c:pt>
                <c:pt idx="4">
                  <c:v>4T 2016</c:v>
                </c:pt>
              </c:strCache>
            </c:strRef>
          </c:cat>
          <c:val>
            <c:numRef>
              <c:f>'D_Ch2-2'!$O$29:$O$33</c:f>
              <c:numCache>
                <c:formatCode>General</c:formatCode>
                <c:ptCount val="5"/>
                <c:pt idx="0">
                  <c:v>12514</c:v>
                </c:pt>
                <c:pt idx="1">
                  <c:v>12003</c:v>
                </c:pt>
                <c:pt idx="2">
                  <c:v>13131</c:v>
                </c:pt>
                <c:pt idx="3">
                  <c:v>20450</c:v>
                </c:pt>
                <c:pt idx="4">
                  <c:v>12630</c:v>
                </c:pt>
              </c:numCache>
            </c:numRef>
          </c:val>
        </c:ser>
        <c:ser>
          <c:idx val="2"/>
          <c:order val="2"/>
          <c:tx>
            <c:strRef>
              <c:f>'D_Ch2-2'!$P$28</c:f>
              <c:strCache>
                <c:ptCount val="1"/>
                <c:pt idx="0">
                  <c:v>CDD court (&lt;1 mois)</c:v>
                </c:pt>
              </c:strCache>
            </c:strRef>
          </c:tx>
          <c:spPr>
            <a:solidFill>
              <a:schemeClr val="accent4">
                <a:lumMod val="20000"/>
                <a:lumOff val="80000"/>
              </a:schemeClr>
            </a:solidFill>
          </c:spPr>
          <c:invertIfNegative val="0"/>
          <c:cat>
            <c:strRef>
              <c:f>'D_Ch2-2'!$M$29:$M$33</c:f>
              <c:strCache>
                <c:ptCount val="5"/>
                <c:pt idx="0">
                  <c:v>4T 2015</c:v>
                </c:pt>
                <c:pt idx="1">
                  <c:v>1T 2016</c:v>
                </c:pt>
                <c:pt idx="2">
                  <c:v>2T 2016</c:v>
                </c:pt>
                <c:pt idx="3">
                  <c:v>3T 2016</c:v>
                </c:pt>
                <c:pt idx="4">
                  <c:v>4T 2016</c:v>
                </c:pt>
              </c:strCache>
            </c:strRef>
          </c:cat>
          <c:val>
            <c:numRef>
              <c:f>'D_Ch2-2'!$P$29:$P$33</c:f>
              <c:numCache>
                <c:formatCode>General</c:formatCode>
                <c:ptCount val="5"/>
                <c:pt idx="0">
                  <c:v>71045</c:v>
                </c:pt>
                <c:pt idx="1">
                  <c:v>64105</c:v>
                </c:pt>
                <c:pt idx="2">
                  <c:v>75351</c:v>
                </c:pt>
                <c:pt idx="3">
                  <c:v>72596</c:v>
                </c:pt>
                <c:pt idx="4">
                  <c:v>75680</c:v>
                </c:pt>
              </c:numCache>
            </c:numRef>
          </c:val>
        </c:ser>
        <c:dLbls>
          <c:showLegendKey val="0"/>
          <c:showVal val="0"/>
          <c:showCatName val="0"/>
          <c:showSerName val="0"/>
          <c:showPercent val="0"/>
          <c:showBubbleSize val="0"/>
        </c:dLbls>
        <c:gapWidth val="150"/>
        <c:overlap val="100"/>
        <c:axId val="131062400"/>
        <c:axId val="130744704"/>
      </c:barChart>
      <c:catAx>
        <c:axId val="131062400"/>
        <c:scaling>
          <c:orientation val="minMax"/>
        </c:scaling>
        <c:delete val="0"/>
        <c:axPos val="b"/>
        <c:majorTickMark val="out"/>
        <c:minorTickMark val="none"/>
        <c:tickLblPos val="nextTo"/>
        <c:txPr>
          <a:bodyPr/>
          <a:lstStyle/>
          <a:p>
            <a:pPr>
              <a:defRPr sz="800"/>
            </a:pPr>
            <a:endParaRPr lang="fr-FR"/>
          </a:p>
        </c:txPr>
        <c:crossAx val="130744704"/>
        <c:crosses val="autoZero"/>
        <c:auto val="1"/>
        <c:lblAlgn val="ctr"/>
        <c:lblOffset val="100"/>
        <c:noMultiLvlLbl val="0"/>
      </c:catAx>
      <c:valAx>
        <c:axId val="130744704"/>
        <c:scaling>
          <c:orientation val="minMax"/>
          <c:max val="350000"/>
        </c:scaling>
        <c:delete val="1"/>
        <c:axPos val="l"/>
        <c:majorGridlines/>
        <c:numFmt formatCode="General" sourceLinked="1"/>
        <c:majorTickMark val="out"/>
        <c:minorTickMark val="none"/>
        <c:tickLblPos val="nextTo"/>
        <c:crossAx val="131062400"/>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Pt>
            <c:idx val="0"/>
            <c:invertIfNegative val="0"/>
            <c:bubble3D val="0"/>
            <c:spPr>
              <a:solidFill>
                <a:schemeClr val="accent1"/>
              </a:solidFill>
            </c:spPr>
          </c:dPt>
          <c:dPt>
            <c:idx val="1"/>
            <c:invertIfNegative val="0"/>
            <c:bubble3D val="0"/>
            <c:spPr>
              <a:solidFill>
                <a:srgbClr val="FF0000"/>
              </a:solidFill>
            </c:spPr>
          </c:dPt>
          <c:dPt>
            <c:idx val="7"/>
            <c:invertIfNegative val="0"/>
            <c:bubble3D val="0"/>
            <c:spPr>
              <a:solidFill>
                <a:srgbClr val="C00000"/>
              </a:solidFill>
            </c:spPr>
          </c:dPt>
          <c:dPt>
            <c:idx val="8"/>
            <c:invertIfNegative val="0"/>
            <c:bubble3D val="0"/>
            <c:spPr>
              <a:solidFill>
                <a:srgbClr val="92D050"/>
              </a:solidFill>
            </c:spPr>
          </c:dPt>
          <c:dPt>
            <c:idx val="11"/>
            <c:invertIfNegative val="0"/>
            <c:bubble3D val="0"/>
            <c:spPr>
              <a:solidFill>
                <a:srgbClr val="FFC000"/>
              </a:solidFill>
            </c:spPr>
          </c:dPt>
          <c:dPt>
            <c:idx val="13"/>
            <c:invertIfNegative val="0"/>
            <c:bubble3D val="0"/>
            <c:spPr>
              <a:solidFill>
                <a:srgbClr val="FF99FF"/>
              </a:solidFill>
            </c:spPr>
          </c:dPt>
          <c:cat>
            <c:strRef>
              <c:f>'D_Ch2-2'!$N$40:$AA$40</c:f>
              <c:strCache>
                <c:ptCount val="14"/>
                <c:pt idx="0">
                  <c:v>a</c:v>
                </c:pt>
                <c:pt idx="1">
                  <c:v>b</c:v>
                </c:pt>
                <c:pt idx="2">
                  <c:v>c</c:v>
                </c:pt>
                <c:pt idx="3">
                  <c:v>d</c:v>
                </c:pt>
                <c:pt idx="4">
                  <c:v>e</c:v>
                </c:pt>
                <c:pt idx="5">
                  <c:v>f</c:v>
                </c:pt>
                <c:pt idx="6">
                  <c:v>g</c:v>
                </c:pt>
                <c:pt idx="7">
                  <c:v>h</c:v>
                </c:pt>
                <c:pt idx="8">
                  <c:v>i</c:v>
                </c:pt>
                <c:pt idx="9">
                  <c:v>j</c:v>
                </c:pt>
                <c:pt idx="10">
                  <c:v>k</c:v>
                </c:pt>
                <c:pt idx="11">
                  <c:v>l</c:v>
                </c:pt>
                <c:pt idx="12">
                  <c:v>m</c:v>
                </c:pt>
                <c:pt idx="13">
                  <c:v>n</c:v>
                </c:pt>
              </c:strCache>
            </c:strRef>
          </c:cat>
          <c:val>
            <c:numRef>
              <c:f>'D_Ch2-2'!$N$54:$AA$54</c:f>
              <c:numCache>
                <c:formatCode>#,##0</c:formatCode>
                <c:ptCount val="14"/>
                <c:pt idx="0">
                  <c:v>1511</c:v>
                </c:pt>
                <c:pt idx="1">
                  <c:v>480</c:v>
                </c:pt>
                <c:pt idx="2">
                  <c:v>966</c:v>
                </c:pt>
                <c:pt idx="3">
                  <c:v>8032</c:v>
                </c:pt>
                <c:pt idx="4">
                  <c:v>1559</c:v>
                </c:pt>
                <c:pt idx="5">
                  <c:v>4233</c:v>
                </c:pt>
                <c:pt idx="6">
                  <c:v>4662</c:v>
                </c:pt>
                <c:pt idx="7">
                  <c:v>2221</c:v>
                </c:pt>
                <c:pt idx="8">
                  <c:v>1635</c:v>
                </c:pt>
                <c:pt idx="9">
                  <c:v>1794</c:v>
                </c:pt>
                <c:pt idx="10">
                  <c:v>9595</c:v>
                </c:pt>
                <c:pt idx="11">
                  <c:v>919</c:v>
                </c:pt>
                <c:pt idx="12">
                  <c:v>7077</c:v>
                </c:pt>
                <c:pt idx="13">
                  <c:v>3916</c:v>
                </c:pt>
              </c:numCache>
            </c:numRef>
          </c:val>
        </c:ser>
        <c:dLbls>
          <c:showLegendKey val="0"/>
          <c:showVal val="0"/>
          <c:showCatName val="0"/>
          <c:showSerName val="0"/>
          <c:showPercent val="0"/>
          <c:showBubbleSize val="0"/>
        </c:dLbls>
        <c:gapWidth val="150"/>
        <c:axId val="130767104"/>
        <c:axId val="130772992"/>
      </c:barChart>
      <c:catAx>
        <c:axId val="130767104"/>
        <c:scaling>
          <c:orientation val="minMax"/>
        </c:scaling>
        <c:delete val="0"/>
        <c:axPos val="b"/>
        <c:numFmt formatCode="General" sourceLinked="1"/>
        <c:majorTickMark val="out"/>
        <c:minorTickMark val="none"/>
        <c:tickLblPos val="nextTo"/>
        <c:crossAx val="130772992"/>
        <c:crosses val="autoZero"/>
        <c:auto val="1"/>
        <c:lblAlgn val="ctr"/>
        <c:lblOffset val="100"/>
        <c:noMultiLvlLbl val="0"/>
      </c:catAx>
      <c:valAx>
        <c:axId val="130772992"/>
        <c:scaling>
          <c:orientation val="minMax"/>
        </c:scaling>
        <c:delete val="0"/>
        <c:axPos val="l"/>
        <c:majorGridlines/>
        <c:numFmt formatCode="#,##0" sourceLinked="1"/>
        <c:majorTickMark val="out"/>
        <c:minorTickMark val="none"/>
        <c:tickLblPos val="nextTo"/>
        <c:txPr>
          <a:bodyPr/>
          <a:lstStyle/>
          <a:p>
            <a:pPr>
              <a:defRPr sz="800"/>
            </a:pPr>
            <a:endParaRPr lang="fr-FR"/>
          </a:p>
        </c:txPr>
        <c:crossAx val="13076710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890192987246646E-2"/>
          <c:y val="0.25377098737332443"/>
          <c:w val="0.92750941093849004"/>
          <c:h val="0.62860861113368105"/>
        </c:manualLayout>
      </c:layout>
      <c:lineChart>
        <c:grouping val="standard"/>
        <c:varyColors val="0"/>
        <c:ser>
          <c:idx val="2"/>
          <c:order val="0"/>
          <c:tx>
            <c:strRef>
              <c:f>'G_Ch2-2'!$A$9</c:f>
              <c:strCache>
                <c:ptCount val="1"/>
                <c:pt idx="0">
                  <c:v>ZE Bordeaux</c:v>
                </c:pt>
              </c:strCache>
            </c:strRef>
          </c:tx>
          <c:marker>
            <c:symbol val="none"/>
          </c:marker>
          <c:cat>
            <c:strRef>
              <c:f>'G_Ch2-2'!$AC$8:$AG$8</c:f>
              <c:strCache>
                <c:ptCount val="5"/>
                <c:pt idx="0">
                  <c:v>15-T3</c:v>
                </c:pt>
                <c:pt idx="1">
                  <c:v>15-T4</c:v>
                </c:pt>
                <c:pt idx="2">
                  <c:v>16-T1</c:v>
                </c:pt>
                <c:pt idx="3">
                  <c:v>16-T2</c:v>
                </c:pt>
                <c:pt idx="4">
                  <c:v>16-T3</c:v>
                </c:pt>
              </c:strCache>
            </c:strRef>
          </c:cat>
          <c:val>
            <c:numRef>
              <c:f>'G_Ch2-2'!$AC$9:$AG$9</c:f>
              <c:numCache>
                <c:formatCode>General</c:formatCode>
                <c:ptCount val="5"/>
                <c:pt idx="0">
                  <c:v>10.1</c:v>
                </c:pt>
                <c:pt idx="1">
                  <c:v>10</c:v>
                </c:pt>
                <c:pt idx="2">
                  <c:v>9.9</c:v>
                </c:pt>
                <c:pt idx="3">
                  <c:v>9.6999999999999993</c:v>
                </c:pt>
                <c:pt idx="4">
                  <c:v>9.6999999999999993</c:v>
                </c:pt>
              </c:numCache>
            </c:numRef>
          </c:val>
          <c:smooth val="0"/>
        </c:ser>
        <c:ser>
          <c:idx val="3"/>
          <c:order val="1"/>
          <c:tx>
            <c:strRef>
              <c:f>'G_Ch2-2'!$A$10</c:f>
              <c:strCache>
                <c:ptCount val="1"/>
                <c:pt idx="0">
                  <c:v>ZE Toulouse</c:v>
                </c:pt>
              </c:strCache>
            </c:strRef>
          </c:tx>
          <c:marker>
            <c:symbol val="none"/>
          </c:marker>
          <c:cat>
            <c:strRef>
              <c:f>'G_Ch2-2'!$AC$8:$AG$8</c:f>
              <c:strCache>
                <c:ptCount val="5"/>
                <c:pt idx="0">
                  <c:v>15-T3</c:v>
                </c:pt>
                <c:pt idx="1">
                  <c:v>15-T4</c:v>
                </c:pt>
                <c:pt idx="2">
                  <c:v>16-T1</c:v>
                </c:pt>
                <c:pt idx="3">
                  <c:v>16-T2</c:v>
                </c:pt>
                <c:pt idx="4">
                  <c:v>16-T3</c:v>
                </c:pt>
              </c:strCache>
            </c:strRef>
          </c:cat>
          <c:val>
            <c:numRef>
              <c:f>'G_Ch2-2'!$AC$10:$AG$10</c:f>
              <c:numCache>
                <c:formatCode>General</c:formatCode>
                <c:ptCount val="5"/>
                <c:pt idx="0">
                  <c:v>10.4</c:v>
                </c:pt>
                <c:pt idx="1">
                  <c:v>10.3</c:v>
                </c:pt>
                <c:pt idx="2">
                  <c:v>10.1</c:v>
                </c:pt>
                <c:pt idx="3">
                  <c:v>9.8000000000000007</c:v>
                </c:pt>
                <c:pt idx="4">
                  <c:v>10.1</c:v>
                </c:pt>
              </c:numCache>
            </c:numRef>
          </c:val>
          <c:smooth val="0"/>
        </c:ser>
        <c:ser>
          <c:idx val="4"/>
          <c:order val="2"/>
          <c:tx>
            <c:strRef>
              <c:f>'G_Ch2-2'!$A$11</c:f>
              <c:strCache>
                <c:ptCount val="1"/>
                <c:pt idx="0">
                  <c:v>France métro.</c:v>
                </c:pt>
              </c:strCache>
            </c:strRef>
          </c:tx>
          <c:spPr>
            <a:ln w="19050">
              <a:solidFill>
                <a:schemeClr val="tx1"/>
              </a:solidFill>
              <a:prstDash val="dash"/>
            </a:ln>
          </c:spPr>
          <c:marker>
            <c:symbol val="none"/>
          </c:marker>
          <c:cat>
            <c:strRef>
              <c:f>'G_Ch2-2'!$AC$8:$AG$8</c:f>
              <c:strCache>
                <c:ptCount val="5"/>
                <c:pt idx="0">
                  <c:v>15-T3</c:v>
                </c:pt>
                <c:pt idx="1">
                  <c:v>15-T4</c:v>
                </c:pt>
                <c:pt idx="2">
                  <c:v>16-T1</c:v>
                </c:pt>
                <c:pt idx="3">
                  <c:v>16-T2</c:v>
                </c:pt>
                <c:pt idx="4">
                  <c:v>16-T3</c:v>
                </c:pt>
              </c:strCache>
            </c:strRef>
          </c:cat>
          <c:val>
            <c:numRef>
              <c:f>'G_Ch2-2'!$AC$11:$AG$11</c:f>
              <c:numCache>
                <c:formatCode>General</c:formatCode>
                <c:ptCount val="5"/>
                <c:pt idx="0">
                  <c:v>10.199999999999999</c:v>
                </c:pt>
                <c:pt idx="1">
                  <c:v>9.9</c:v>
                </c:pt>
                <c:pt idx="2">
                  <c:v>9.9</c:v>
                </c:pt>
                <c:pt idx="3">
                  <c:v>9.6</c:v>
                </c:pt>
                <c:pt idx="4">
                  <c:v>9.6999999999999993</c:v>
                </c:pt>
              </c:numCache>
            </c:numRef>
          </c:val>
          <c:smooth val="0"/>
        </c:ser>
        <c:ser>
          <c:idx val="5"/>
          <c:order val="3"/>
          <c:tx>
            <c:strRef>
              <c:f>'G_Ch2-2'!$A$12</c:f>
              <c:strCache>
                <c:ptCount val="1"/>
                <c:pt idx="0">
                  <c:v>ZE Nantes</c:v>
                </c:pt>
              </c:strCache>
            </c:strRef>
          </c:tx>
          <c:marker>
            <c:symbol val="none"/>
          </c:marker>
          <c:cat>
            <c:strRef>
              <c:f>'G_Ch2-2'!$AC$8:$AG$8</c:f>
              <c:strCache>
                <c:ptCount val="5"/>
                <c:pt idx="0">
                  <c:v>15-T3</c:v>
                </c:pt>
                <c:pt idx="1">
                  <c:v>15-T4</c:v>
                </c:pt>
                <c:pt idx="2">
                  <c:v>16-T1</c:v>
                </c:pt>
                <c:pt idx="3">
                  <c:v>16-T2</c:v>
                </c:pt>
                <c:pt idx="4">
                  <c:v>16-T3</c:v>
                </c:pt>
              </c:strCache>
            </c:strRef>
          </c:cat>
          <c:val>
            <c:numRef>
              <c:f>'G_Ch2-2'!$AC$12:$AG$12</c:f>
              <c:numCache>
                <c:formatCode>General</c:formatCode>
                <c:ptCount val="5"/>
                <c:pt idx="0">
                  <c:v>8.6</c:v>
                </c:pt>
                <c:pt idx="1">
                  <c:v>8.4</c:v>
                </c:pt>
                <c:pt idx="2">
                  <c:v>8.3000000000000007</c:v>
                </c:pt>
                <c:pt idx="3">
                  <c:v>7.9</c:v>
                </c:pt>
                <c:pt idx="4">
                  <c:v>8.1</c:v>
                </c:pt>
              </c:numCache>
            </c:numRef>
          </c:val>
          <c:smooth val="0"/>
        </c:ser>
        <c:ser>
          <c:idx val="6"/>
          <c:order val="4"/>
          <c:tx>
            <c:strRef>
              <c:f>'G_Ch2-2'!$A$13</c:f>
              <c:strCache>
                <c:ptCount val="1"/>
                <c:pt idx="0">
                  <c:v>ZE Rennes</c:v>
                </c:pt>
              </c:strCache>
            </c:strRef>
          </c:tx>
          <c:spPr>
            <a:ln>
              <a:solidFill>
                <a:srgbClr val="FF99FF"/>
              </a:solidFill>
            </a:ln>
          </c:spPr>
          <c:marker>
            <c:symbol val="none"/>
          </c:marker>
          <c:cat>
            <c:strRef>
              <c:f>'G_Ch2-2'!$AC$8:$AG$8</c:f>
              <c:strCache>
                <c:ptCount val="5"/>
                <c:pt idx="0">
                  <c:v>15-T3</c:v>
                </c:pt>
                <c:pt idx="1">
                  <c:v>15-T4</c:v>
                </c:pt>
                <c:pt idx="2">
                  <c:v>16-T1</c:v>
                </c:pt>
                <c:pt idx="3">
                  <c:v>16-T2</c:v>
                </c:pt>
                <c:pt idx="4">
                  <c:v>16-T3</c:v>
                </c:pt>
              </c:strCache>
            </c:strRef>
          </c:cat>
          <c:val>
            <c:numRef>
              <c:f>'G_Ch2-2'!$AC$13:$AG$13</c:f>
              <c:numCache>
                <c:formatCode>General</c:formatCode>
                <c:ptCount val="5"/>
                <c:pt idx="0">
                  <c:v>8.1</c:v>
                </c:pt>
                <c:pt idx="1">
                  <c:v>8</c:v>
                </c:pt>
                <c:pt idx="2">
                  <c:v>8</c:v>
                </c:pt>
                <c:pt idx="3">
                  <c:v>7.7</c:v>
                </c:pt>
                <c:pt idx="4">
                  <c:v>7.8</c:v>
                </c:pt>
              </c:numCache>
            </c:numRef>
          </c:val>
          <c:smooth val="0"/>
        </c:ser>
        <c:dLbls>
          <c:showLegendKey val="0"/>
          <c:showVal val="0"/>
          <c:showCatName val="0"/>
          <c:showSerName val="0"/>
          <c:showPercent val="0"/>
          <c:showBubbleSize val="0"/>
        </c:dLbls>
        <c:marker val="1"/>
        <c:smooth val="0"/>
        <c:axId val="130878464"/>
        <c:axId val="130880256"/>
      </c:lineChart>
      <c:catAx>
        <c:axId val="130878464"/>
        <c:scaling>
          <c:orientation val="minMax"/>
        </c:scaling>
        <c:delete val="0"/>
        <c:axPos val="b"/>
        <c:majorTickMark val="out"/>
        <c:minorTickMark val="none"/>
        <c:tickLblPos val="nextTo"/>
        <c:txPr>
          <a:bodyPr rot="0" vert="horz"/>
          <a:lstStyle/>
          <a:p>
            <a:pPr>
              <a:defRPr sz="900"/>
            </a:pPr>
            <a:endParaRPr lang="fr-FR"/>
          </a:p>
        </c:txPr>
        <c:crossAx val="130880256"/>
        <c:crosses val="autoZero"/>
        <c:auto val="1"/>
        <c:lblAlgn val="ctr"/>
        <c:lblOffset val="100"/>
        <c:noMultiLvlLbl val="0"/>
      </c:catAx>
      <c:valAx>
        <c:axId val="130880256"/>
        <c:scaling>
          <c:orientation val="minMax"/>
          <c:min val="7"/>
        </c:scaling>
        <c:delete val="0"/>
        <c:axPos val="l"/>
        <c:majorGridlines/>
        <c:numFmt formatCode="General" sourceLinked="1"/>
        <c:majorTickMark val="out"/>
        <c:minorTickMark val="none"/>
        <c:tickLblPos val="nextTo"/>
        <c:txPr>
          <a:bodyPr/>
          <a:lstStyle/>
          <a:p>
            <a:pPr>
              <a:defRPr sz="900"/>
            </a:pPr>
            <a:endParaRPr lang="fr-FR"/>
          </a:p>
        </c:txPr>
        <c:crossAx val="130878464"/>
        <c:crossesAt val="1"/>
        <c:crossBetween val="midCat"/>
      </c:valAx>
      <c:spPr>
        <a:pattFill prst="pct5">
          <a:fgClr>
            <a:schemeClr val="bg2"/>
          </a:fgClr>
          <a:bgClr>
            <a:schemeClr val="bg1"/>
          </a:bgClr>
        </a:pattFill>
      </c:spPr>
    </c:plotArea>
    <c:legend>
      <c:legendPos val="t"/>
      <c:layout>
        <c:manualLayout>
          <c:xMode val="edge"/>
          <c:yMode val="edge"/>
          <c:x val="1.2148128600431227E-2"/>
          <c:y val="8.6399344597837061E-3"/>
          <c:w val="0.98380310458147957"/>
          <c:h val="0.15929614810007126"/>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550789194524148E-2"/>
          <c:y val="4.398663262635126E-2"/>
          <c:w val="0.9435732676327081"/>
          <c:h val="0.83261982505510035"/>
        </c:manualLayout>
      </c:layout>
      <c:lineChart>
        <c:grouping val="standard"/>
        <c:varyColors val="0"/>
        <c:ser>
          <c:idx val="0"/>
          <c:order val="0"/>
          <c:tx>
            <c:strRef>
              <c:f>'Emploi-old'!$I$8</c:f>
              <c:strCache>
                <c:ptCount val="1"/>
                <c:pt idx="0">
                  <c:v>Bx Métropole</c:v>
                </c:pt>
              </c:strCache>
            </c:strRef>
          </c:tx>
          <c:spPr>
            <a:ln>
              <a:solidFill>
                <a:schemeClr val="accent3">
                  <a:lumMod val="75000"/>
                </a:schemeClr>
              </a:solidFill>
            </a:ln>
          </c:spPr>
          <c:marker>
            <c:symbol val="none"/>
          </c:marker>
          <c:cat>
            <c:numRef>
              <c:f>'Emploi-old'!$A$52:$H$52</c:f>
              <c:numCache>
                <c:formatCode>General</c:formatCode>
                <c:ptCount val="8"/>
                <c:pt idx="0">
                  <c:v>2008</c:v>
                </c:pt>
                <c:pt idx="1">
                  <c:v>2009</c:v>
                </c:pt>
                <c:pt idx="2">
                  <c:v>2010</c:v>
                </c:pt>
                <c:pt idx="3">
                  <c:v>2011</c:v>
                </c:pt>
                <c:pt idx="4">
                  <c:v>2012</c:v>
                </c:pt>
                <c:pt idx="5">
                  <c:v>2013</c:v>
                </c:pt>
                <c:pt idx="6">
                  <c:v>2014</c:v>
                </c:pt>
                <c:pt idx="7">
                  <c:v>2015</c:v>
                </c:pt>
              </c:numCache>
            </c:numRef>
          </c:cat>
          <c:val>
            <c:numRef>
              <c:f>'Emploi-old'!$A$50:$H$50</c:f>
              <c:numCache>
                <c:formatCode>#,##0.0</c:formatCode>
                <c:ptCount val="8"/>
                <c:pt idx="0" formatCode="#,##0">
                  <c:v>100</c:v>
                </c:pt>
                <c:pt idx="1">
                  <c:v>99.349168402217586</c:v>
                </c:pt>
                <c:pt idx="2">
                  <c:v>100.67613153031591</c:v>
                </c:pt>
                <c:pt idx="3">
                  <c:v>102.08962776099264</c:v>
                </c:pt>
                <c:pt idx="4">
                  <c:v>102.79582587779765</c:v>
                </c:pt>
                <c:pt idx="5">
                  <c:v>103.41585755771318</c:v>
                </c:pt>
                <c:pt idx="6">
                  <c:v>103.58745710011441</c:v>
                </c:pt>
                <c:pt idx="7">
                  <c:v>105.37458566777156</c:v>
                </c:pt>
              </c:numCache>
            </c:numRef>
          </c:val>
          <c:smooth val="0"/>
        </c:ser>
        <c:ser>
          <c:idx val="1"/>
          <c:order val="1"/>
          <c:tx>
            <c:strRef>
              <c:f>'Emploi-old'!$O$8</c:f>
              <c:strCache>
                <c:ptCount val="1"/>
                <c:pt idx="0">
                  <c:v>Isère</c:v>
                </c:pt>
              </c:strCache>
            </c:strRef>
          </c:tx>
          <c:spPr>
            <a:ln>
              <a:solidFill>
                <a:schemeClr val="tx2">
                  <a:lumMod val="60000"/>
                  <a:lumOff val="40000"/>
                </a:schemeClr>
              </a:solidFill>
            </a:ln>
          </c:spPr>
          <c:marker>
            <c:symbol val="none"/>
          </c:marker>
          <c:cat>
            <c:numRef>
              <c:f>'Emploi-old'!$A$52:$H$52</c:f>
              <c:numCache>
                <c:formatCode>General</c:formatCode>
                <c:ptCount val="8"/>
                <c:pt idx="0">
                  <c:v>2008</c:v>
                </c:pt>
                <c:pt idx="1">
                  <c:v>2009</c:v>
                </c:pt>
                <c:pt idx="2">
                  <c:v>2010</c:v>
                </c:pt>
                <c:pt idx="3">
                  <c:v>2011</c:v>
                </c:pt>
                <c:pt idx="4">
                  <c:v>2012</c:v>
                </c:pt>
                <c:pt idx="5">
                  <c:v>2013</c:v>
                </c:pt>
                <c:pt idx="6">
                  <c:v>2014</c:v>
                </c:pt>
                <c:pt idx="7">
                  <c:v>2015</c:v>
                </c:pt>
              </c:numCache>
            </c:numRef>
          </c:cat>
          <c:val>
            <c:numRef>
              <c:f>'Emploi-old'!$A$51:$H$51</c:f>
              <c:numCache>
                <c:formatCode>#,##0.0</c:formatCode>
                <c:ptCount val="8"/>
                <c:pt idx="0" formatCode="#,##0">
                  <c:v>100</c:v>
                </c:pt>
                <c:pt idx="1">
                  <c:v>97.215552946262179</c:v>
                </c:pt>
                <c:pt idx="2">
                  <c:v>98.50569273818077</c:v>
                </c:pt>
                <c:pt idx="3">
                  <c:v>99.055688941074763</c:v>
                </c:pt>
                <c:pt idx="4">
                  <c:v>98.371333602051607</c:v>
                </c:pt>
                <c:pt idx="5">
                  <c:v>98.90351261515454</c:v>
                </c:pt>
                <c:pt idx="6">
                  <c:v>98.53519333111349</c:v>
                </c:pt>
                <c:pt idx="7">
                  <c:v>98.737608290542866</c:v>
                </c:pt>
              </c:numCache>
            </c:numRef>
          </c:val>
          <c:smooth val="0"/>
        </c:ser>
        <c:dLbls>
          <c:showLegendKey val="0"/>
          <c:showVal val="0"/>
          <c:showCatName val="0"/>
          <c:showSerName val="0"/>
          <c:showPercent val="0"/>
          <c:showBubbleSize val="0"/>
        </c:dLbls>
        <c:marker val="1"/>
        <c:smooth val="0"/>
        <c:axId val="103385344"/>
        <c:axId val="103395712"/>
      </c:lineChart>
      <c:catAx>
        <c:axId val="103385344"/>
        <c:scaling>
          <c:orientation val="minMax"/>
        </c:scaling>
        <c:delete val="0"/>
        <c:axPos val="b"/>
        <c:numFmt formatCode="General" sourceLinked="1"/>
        <c:majorTickMark val="out"/>
        <c:minorTickMark val="none"/>
        <c:tickLblPos val="nextTo"/>
        <c:txPr>
          <a:bodyPr/>
          <a:lstStyle/>
          <a:p>
            <a:pPr>
              <a:defRPr sz="800"/>
            </a:pPr>
            <a:endParaRPr lang="fr-FR"/>
          </a:p>
        </c:txPr>
        <c:crossAx val="103395712"/>
        <c:crosses val="autoZero"/>
        <c:auto val="1"/>
        <c:lblAlgn val="ctr"/>
        <c:lblOffset val="100"/>
        <c:noMultiLvlLbl val="0"/>
      </c:catAx>
      <c:valAx>
        <c:axId val="103395712"/>
        <c:scaling>
          <c:orientation val="minMax"/>
          <c:max val="110"/>
          <c:min val="90"/>
        </c:scaling>
        <c:delete val="0"/>
        <c:axPos val="l"/>
        <c:majorGridlines/>
        <c:numFmt formatCode="#,##0" sourceLinked="1"/>
        <c:majorTickMark val="out"/>
        <c:minorTickMark val="none"/>
        <c:tickLblPos val="nextTo"/>
        <c:txPr>
          <a:bodyPr/>
          <a:lstStyle/>
          <a:p>
            <a:pPr>
              <a:defRPr sz="800"/>
            </a:pPr>
            <a:endParaRPr lang="fr-FR"/>
          </a:p>
        </c:txPr>
        <c:crossAx val="103385344"/>
        <c:crosses val="autoZero"/>
        <c:crossBetween val="midCat"/>
      </c:valAx>
    </c:plotArea>
    <c:legend>
      <c:legendPos val="r"/>
      <c:layout>
        <c:manualLayout>
          <c:xMode val="edge"/>
          <c:yMode val="edge"/>
          <c:x val="3.980340254770217E-2"/>
          <c:y val="0.57961352657004828"/>
          <c:w val="0.36259601134891595"/>
          <c:h val="0.30714077937710016"/>
        </c:manualLayout>
      </c:layout>
      <c:overlay val="0"/>
      <c:txPr>
        <a:bodyPr/>
        <a:lstStyle/>
        <a:p>
          <a:pPr>
            <a:defRPr sz="900"/>
          </a:pPr>
          <a:endParaRPr lang="fr-FR"/>
        </a:p>
      </c:txPr>
    </c:legend>
    <c:plotVisOnly val="1"/>
    <c:dispBlanksAs val="gap"/>
    <c:showDLblsOverMax val="0"/>
  </c:chart>
  <c:spPr>
    <a:noFill/>
    <a:ln>
      <a:noFill/>
    </a:ln>
  </c:spPr>
  <c:printSettings>
    <c:headerFooter/>
    <c:pageMargins b="0.15748031496062992" l="0.70866141732283472" r="0.70866141732283472" t="0.47244094488188981" header="0.31496062992125984" footer="0.31496062992125984"/>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5469784115825098E-2"/>
          <c:y val="5.1400554097404488E-2"/>
          <c:w val="0.79382620981771934"/>
          <c:h val="0.66981809565470984"/>
        </c:manualLayout>
      </c:layout>
      <c:barChart>
        <c:barDir val="col"/>
        <c:grouping val="percentStacked"/>
        <c:varyColors val="0"/>
        <c:ser>
          <c:idx val="3"/>
          <c:order val="1"/>
          <c:tx>
            <c:strRef>
              <c:f>'D_Ch2-2'!$B$41</c:f>
              <c:strCache>
                <c:ptCount val="1"/>
                <c:pt idx="0">
                  <c:v>−25 ans</c:v>
                </c:pt>
              </c:strCache>
            </c:strRef>
          </c:tx>
          <c:spPr>
            <a:gradFill>
              <a:gsLst>
                <a:gs pos="0">
                  <a:schemeClr val="accent6">
                    <a:lumMod val="40000"/>
                    <a:lumOff val="60000"/>
                  </a:schemeClr>
                </a:gs>
                <a:gs pos="50000">
                  <a:srgbClr val="FFC000"/>
                </a:gs>
                <a:gs pos="100000">
                  <a:srgbClr val="FFFF00"/>
                </a:gs>
              </a:gsLst>
              <a:lin ang="5400000" scaled="0"/>
            </a:gradFill>
            <a:ln>
              <a:noFill/>
            </a:ln>
          </c:spPr>
          <c:invertIfNegative val="0"/>
          <c:cat>
            <c:strRef>
              <c:f>'D_Ch2-2'!$A$42:$A$54</c:f>
              <c:strCache>
                <c:ptCount val="13"/>
                <c:pt idx="0">
                  <c:v>2015-11</c:v>
                </c:pt>
                <c:pt idx="1">
                  <c:v>2015-12</c:v>
                </c:pt>
                <c:pt idx="2">
                  <c:v>2016-01</c:v>
                </c:pt>
                <c:pt idx="3">
                  <c:v>2016-02</c:v>
                </c:pt>
                <c:pt idx="4">
                  <c:v>2016-03</c:v>
                </c:pt>
                <c:pt idx="5">
                  <c:v>2016-04</c:v>
                </c:pt>
                <c:pt idx="6">
                  <c:v>2016-05</c:v>
                </c:pt>
                <c:pt idx="7">
                  <c:v>2016-06</c:v>
                </c:pt>
                <c:pt idx="8">
                  <c:v>2016-07</c:v>
                </c:pt>
                <c:pt idx="9">
                  <c:v>2016-08</c:v>
                </c:pt>
                <c:pt idx="10">
                  <c:v>2016-09</c:v>
                </c:pt>
                <c:pt idx="11">
                  <c:v>2016-10</c:v>
                </c:pt>
                <c:pt idx="12">
                  <c:v>2016-11</c:v>
                </c:pt>
              </c:strCache>
            </c:strRef>
          </c:cat>
          <c:val>
            <c:numRef>
              <c:f>'D_Ch2-2'!$B$42:$B$54</c:f>
              <c:numCache>
                <c:formatCode>#,##0</c:formatCode>
                <c:ptCount val="13"/>
                <c:pt idx="0">
                  <c:v>8114</c:v>
                </c:pt>
                <c:pt idx="1">
                  <c:v>7486</c:v>
                </c:pt>
                <c:pt idx="2">
                  <c:v>7873</c:v>
                </c:pt>
                <c:pt idx="3">
                  <c:v>7677</c:v>
                </c:pt>
                <c:pt idx="4">
                  <c:v>7261</c:v>
                </c:pt>
                <c:pt idx="5">
                  <c:v>6545</c:v>
                </c:pt>
                <c:pt idx="6">
                  <c:v>6385</c:v>
                </c:pt>
                <c:pt idx="7">
                  <c:v>6045</c:v>
                </c:pt>
                <c:pt idx="8">
                  <c:v>6175</c:v>
                </c:pt>
                <c:pt idx="9">
                  <c:v>7095</c:v>
                </c:pt>
                <c:pt idx="10">
                  <c:v>7484</c:v>
                </c:pt>
                <c:pt idx="11">
                  <c:v>7417</c:v>
                </c:pt>
                <c:pt idx="12">
                  <c:v>7379</c:v>
                </c:pt>
              </c:numCache>
            </c:numRef>
          </c:val>
        </c:ser>
        <c:ser>
          <c:idx val="1"/>
          <c:order val="2"/>
          <c:tx>
            <c:strRef>
              <c:f>'D_Ch2-2'!$C$41</c:f>
              <c:strCache>
                <c:ptCount val="1"/>
                <c:pt idx="0">
                  <c:v>25 à 49 ans</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noFill/>
            </a:ln>
          </c:spPr>
          <c:invertIfNegative val="0"/>
          <c:cat>
            <c:strRef>
              <c:f>'D_Ch2-2'!$A$42:$A$54</c:f>
              <c:strCache>
                <c:ptCount val="13"/>
                <c:pt idx="0">
                  <c:v>2015-11</c:v>
                </c:pt>
                <c:pt idx="1">
                  <c:v>2015-12</c:v>
                </c:pt>
                <c:pt idx="2">
                  <c:v>2016-01</c:v>
                </c:pt>
                <c:pt idx="3">
                  <c:v>2016-02</c:v>
                </c:pt>
                <c:pt idx="4">
                  <c:v>2016-03</c:v>
                </c:pt>
                <c:pt idx="5">
                  <c:v>2016-04</c:v>
                </c:pt>
                <c:pt idx="6">
                  <c:v>2016-05</c:v>
                </c:pt>
                <c:pt idx="7">
                  <c:v>2016-06</c:v>
                </c:pt>
                <c:pt idx="8">
                  <c:v>2016-07</c:v>
                </c:pt>
                <c:pt idx="9">
                  <c:v>2016-08</c:v>
                </c:pt>
                <c:pt idx="10">
                  <c:v>2016-09</c:v>
                </c:pt>
                <c:pt idx="11">
                  <c:v>2016-10</c:v>
                </c:pt>
                <c:pt idx="12">
                  <c:v>2016-11</c:v>
                </c:pt>
              </c:strCache>
            </c:strRef>
          </c:cat>
          <c:val>
            <c:numRef>
              <c:f>'D_Ch2-2'!$C$42:$C$54</c:f>
              <c:numCache>
                <c:formatCode>#,##0</c:formatCode>
                <c:ptCount val="13"/>
                <c:pt idx="0">
                  <c:v>32708</c:v>
                </c:pt>
                <c:pt idx="1">
                  <c:v>32703</c:v>
                </c:pt>
                <c:pt idx="2">
                  <c:v>33891</c:v>
                </c:pt>
                <c:pt idx="3">
                  <c:v>33562</c:v>
                </c:pt>
                <c:pt idx="4">
                  <c:v>32467</c:v>
                </c:pt>
                <c:pt idx="5">
                  <c:v>31448</c:v>
                </c:pt>
                <c:pt idx="6">
                  <c:v>31099</c:v>
                </c:pt>
                <c:pt idx="7">
                  <c:v>30499</c:v>
                </c:pt>
                <c:pt idx="8">
                  <c:v>31625</c:v>
                </c:pt>
                <c:pt idx="9">
                  <c:v>34238</c:v>
                </c:pt>
                <c:pt idx="10">
                  <c:v>31852</c:v>
                </c:pt>
                <c:pt idx="11">
                  <c:v>31546</c:v>
                </c:pt>
                <c:pt idx="12">
                  <c:v>31630</c:v>
                </c:pt>
              </c:numCache>
            </c:numRef>
          </c:val>
        </c:ser>
        <c:ser>
          <c:idx val="2"/>
          <c:order val="3"/>
          <c:tx>
            <c:strRef>
              <c:f>'D_Ch2-2'!$D$41</c:f>
              <c:strCache>
                <c:ptCount val="1"/>
                <c:pt idx="0">
                  <c:v>50 ans et +</c:v>
                </c:pt>
              </c:strCache>
            </c:strRef>
          </c:tx>
          <c:spPr>
            <a:gradFill>
              <a:gsLst>
                <a:gs pos="0">
                  <a:srgbClr val="CCFF99"/>
                </a:gs>
                <a:gs pos="50000">
                  <a:srgbClr val="89FF89"/>
                </a:gs>
                <a:gs pos="100000">
                  <a:srgbClr val="D9FFD9"/>
                </a:gs>
              </a:gsLst>
              <a:lin ang="5400000" scaled="0"/>
            </a:gradFill>
            <a:ln>
              <a:noFill/>
            </a:ln>
          </c:spPr>
          <c:invertIfNegative val="0"/>
          <c:cat>
            <c:strRef>
              <c:f>'D_Ch2-2'!$A$42:$A$54</c:f>
              <c:strCache>
                <c:ptCount val="13"/>
                <c:pt idx="0">
                  <c:v>2015-11</c:v>
                </c:pt>
                <c:pt idx="1">
                  <c:v>2015-12</c:v>
                </c:pt>
                <c:pt idx="2">
                  <c:v>2016-01</c:v>
                </c:pt>
                <c:pt idx="3">
                  <c:v>2016-02</c:v>
                </c:pt>
                <c:pt idx="4">
                  <c:v>2016-03</c:v>
                </c:pt>
                <c:pt idx="5">
                  <c:v>2016-04</c:v>
                </c:pt>
                <c:pt idx="6">
                  <c:v>2016-05</c:v>
                </c:pt>
                <c:pt idx="7">
                  <c:v>2016-06</c:v>
                </c:pt>
                <c:pt idx="8">
                  <c:v>2016-07</c:v>
                </c:pt>
                <c:pt idx="9">
                  <c:v>2016-08</c:v>
                </c:pt>
                <c:pt idx="10">
                  <c:v>2016-09</c:v>
                </c:pt>
                <c:pt idx="11">
                  <c:v>2016-10</c:v>
                </c:pt>
                <c:pt idx="12">
                  <c:v>2016-11</c:v>
                </c:pt>
              </c:strCache>
            </c:strRef>
          </c:cat>
          <c:val>
            <c:numRef>
              <c:f>'D_Ch2-2'!$D$42:$D$54</c:f>
              <c:numCache>
                <c:formatCode>#,##0</c:formatCode>
                <c:ptCount val="13"/>
                <c:pt idx="0">
                  <c:v>9716</c:v>
                </c:pt>
                <c:pt idx="1">
                  <c:v>9754</c:v>
                </c:pt>
                <c:pt idx="2">
                  <c:v>9980</c:v>
                </c:pt>
                <c:pt idx="3">
                  <c:v>9954</c:v>
                </c:pt>
                <c:pt idx="4">
                  <c:v>9855</c:v>
                </c:pt>
                <c:pt idx="5">
                  <c:v>9675</c:v>
                </c:pt>
                <c:pt idx="6">
                  <c:v>9582</c:v>
                </c:pt>
                <c:pt idx="7">
                  <c:v>9464</c:v>
                </c:pt>
                <c:pt idx="8">
                  <c:v>9741</c:v>
                </c:pt>
                <c:pt idx="9">
                  <c:v>10370</c:v>
                </c:pt>
                <c:pt idx="10">
                  <c:v>9712</c:v>
                </c:pt>
                <c:pt idx="11">
                  <c:v>9710</c:v>
                </c:pt>
                <c:pt idx="12">
                  <c:v>9904</c:v>
                </c:pt>
              </c:numCache>
            </c:numRef>
          </c:val>
        </c:ser>
        <c:dLbls>
          <c:showLegendKey val="0"/>
          <c:showVal val="0"/>
          <c:showCatName val="0"/>
          <c:showSerName val="0"/>
          <c:showPercent val="0"/>
          <c:showBubbleSize val="0"/>
        </c:dLbls>
        <c:gapWidth val="54"/>
        <c:overlap val="100"/>
        <c:axId val="131092864"/>
        <c:axId val="131094400"/>
      </c:barChart>
      <c:lineChart>
        <c:grouping val="standard"/>
        <c:varyColors val="0"/>
        <c:ser>
          <c:idx val="0"/>
          <c:order val="0"/>
          <c:tx>
            <c:strRef>
              <c:f>'D_Ch2-2'!$E$41</c:f>
              <c:strCache>
                <c:ptCount val="1"/>
                <c:pt idx="0">
                  <c:v>Nb de demandeurs Cat A</c:v>
                </c:pt>
              </c:strCache>
            </c:strRef>
          </c:tx>
          <c:marker>
            <c:symbol val="none"/>
          </c:marker>
          <c:cat>
            <c:strRef>
              <c:f>'D_Ch2-2'!$A$42:$A$54</c:f>
              <c:strCache>
                <c:ptCount val="13"/>
                <c:pt idx="0">
                  <c:v>2015-11</c:v>
                </c:pt>
                <c:pt idx="1">
                  <c:v>2015-12</c:v>
                </c:pt>
                <c:pt idx="2">
                  <c:v>2016-01</c:v>
                </c:pt>
                <c:pt idx="3">
                  <c:v>2016-02</c:v>
                </c:pt>
                <c:pt idx="4">
                  <c:v>2016-03</c:v>
                </c:pt>
                <c:pt idx="5">
                  <c:v>2016-04</c:v>
                </c:pt>
                <c:pt idx="6">
                  <c:v>2016-05</c:v>
                </c:pt>
                <c:pt idx="7">
                  <c:v>2016-06</c:v>
                </c:pt>
                <c:pt idx="8">
                  <c:v>2016-07</c:v>
                </c:pt>
                <c:pt idx="9">
                  <c:v>2016-08</c:v>
                </c:pt>
                <c:pt idx="10">
                  <c:v>2016-09</c:v>
                </c:pt>
                <c:pt idx="11">
                  <c:v>2016-10</c:v>
                </c:pt>
                <c:pt idx="12">
                  <c:v>2016-11</c:v>
                </c:pt>
              </c:strCache>
            </c:strRef>
          </c:cat>
          <c:val>
            <c:numRef>
              <c:f>'D_Ch2-2'!$E$42:$E$54</c:f>
              <c:numCache>
                <c:formatCode>#,##0</c:formatCode>
                <c:ptCount val="13"/>
                <c:pt idx="0">
                  <c:v>50538</c:v>
                </c:pt>
                <c:pt idx="1">
                  <c:v>49943</c:v>
                </c:pt>
                <c:pt idx="2">
                  <c:v>51744</c:v>
                </c:pt>
                <c:pt idx="3">
                  <c:v>51193</c:v>
                </c:pt>
                <c:pt idx="4">
                  <c:v>49583</c:v>
                </c:pt>
                <c:pt idx="5">
                  <c:v>47668</c:v>
                </c:pt>
                <c:pt idx="6">
                  <c:v>47066</c:v>
                </c:pt>
                <c:pt idx="7">
                  <c:v>46008</c:v>
                </c:pt>
                <c:pt idx="8">
                  <c:v>47541</c:v>
                </c:pt>
                <c:pt idx="9">
                  <c:v>51703</c:v>
                </c:pt>
                <c:pt idx="10">
                  <c:v>49048</c:v>
                </c:pt>
                <c:pt idx="11">
                  <c:v>48673</c:v>
                </c:pt>
                <c:pt idx="12">
                  <c:v>48913</c:v>
                </c:pt>
              </c:numCache>
            </c:numRef>
          </c:val>
          <c:smooth val="0"/>
        </c:ser>
        <c:dLbls>
          <c:showLegendKey val="0"/>
          <c:showVal val="0"/>
          <c:showCatName val="0"/>
          <c:showSerName val="0"/>
          <c:showPercent val="0"/>
          <c:showBubbleSize val="0"/>
        </c:dLbls>
        <c:marker val="1"/>
        <c:smooth val="0"/>
        <c:axId val="131101824"/>
        <c:axId val="131095936"/>
      </c:lineChart>
      <c:catAx>
        <c:axId val="131092864"/>
        <c:scaling>
          <c:orientation val="minMax"/>
        </c:scaling>
        <c:delete val="0"/>
        <c:axPos val="b"/>
        <c:numFmt formatCode="General" sourceLinked="1"/>
        <c:majorTickMark val="out"/>
        <c:minorTickMark val="none"/>
        <c:tickLblPos val="nextTo"/>
        <c:txPr>
          <a:bodyPr rot="-5400000" vert="horz"/>
          <a:lstStyle/>
          <a:p>
            <a:pPr>
              <a:defRPr sz="800"/>
            </a:pPr>
            <a:endParaRPr lang="fr-FR"/>
          </a:p>
        </c:txPr>
        <c:crossAx val="131094400"/>
        <c:crosses val="autoZero"/>
        <c:auto val="1"/>
        <c:lblAlgn val="ctr"/>
        <c:lblOffset val="100"/>
        <c:noMultiLvlLbl val="0"/>
      </c:catAx>
      <c:valAx>
        <c:axId val="131094400"/>
        <c:scaling>
          <c:orientation val="minMax"/>
        </c:scaling>
        <c:delete val="0"/>
        <c:axPos val="l"/>
        <c:majorGridlines>
          <c:spPr>
            <a:ln>
              <a:solidFill>
                <a:schemeClr val="bg2">
                  <a:lumMod val="90000"/>
                </a:schemeClr>
              </a:solidFill>
              <a:prstDash val="sysDash"/>
            </a:ln>
          </c:spPr>
        </c:majorGridlines>
        <c:numFmt formatCode="0%" sourceLinked="1"/>
        <c:majorTickMark val="out"/>
        <c:minorTickMark val="none"/>
        <c:tickLblPos val="nextTo"/>
        <c:txPr>
          <a:bodyPr/>
          <a:lstStyle/>
          <a:p>
            <a:pPr>
              <a:defRPr sz="900"/>
            </a:pPr>
            <a:endParaRPr lang="fr-FR"/>
          </a:p>
        </c:txPr>
        <c:crossAx val="131092864"/>
        <c:crosses val="autoZero"/>
        <c:crossBetween val="between"/>
        <c:majorUnit val="0.1"/>
      </c:valAx>
      <c:valAx>
        <c:axId val="131095936"/>
        <c:scaling>
          <c:orientation val="minMax"/>
        </c:scaling>
        <c:delete val="0"/>
        <c:axPos val="r"/>
        <c:numFmt formatCode="General" sourceLinked="0"/>
        <c:majorTickMark val="out"/>
        <c:minorTickMark val="none"/>
        <c:tickLblPos val="nextTo"/>
        <c:txPr>
          <a:bodyPr/>
          <a:lstStyle/>
          <a:p>
            <a:pPr>
              <a:defRPr sz="800"/>
            </a:pPr>
            <a:endParaRPr lang="fr-FR"/>
          </a:p>
        </c:txPr>
        <c:crossAx val="131101824"/>
        <c:crosses val="max"/>
        <c:crossBetween val="between"/>
      </c:valAx>
      <c:catAx>
        <c:axId val="131101824"/>
        <c:scaling>
          <c:orientation val="minMax"/>
        </c:scaling>
        <c:delete val="1"/>
        <c:axPos val="b"/>
        <c:numFmt formatCode="General" sourceLinked="1"/>
        <c:majorTickMark val="out"/>
        <c:minorTickMark val="none"/>
        <c:tickLblPos val="nextTo"/>
        <c:crossAx val="131095936"/>
        <c:crosses val="autoZero"/>
        <c:auto val="1"/>
        <c:lblAlgn val="ctr"/>
        <c:lblOffset val="100"/>
        <c:noMultiLvlLbl val="0"/>
      </c:catAx>
    </c:plotArea>
    <c:legend>
      <c:legendPos val="b"/>
      <c:layout>
        <c:manualLayout>
          <c:xMode val="edge"/>
          <c:yMode val="edge"/>
          <c:x val="1.5400481189851269E-2"/>
          <c:y val="0.89380669567031878"/>
          <c:w val="0.94455807845086759"/>
          <c:h val="0.10180008748906387"/>
        </c:manualLayout>
      </c:layout>
      <c:overlay val="0"/>
      <c:txPr>
        <a:bodyPr/>
        <a:lstStyle/>
        <a:p>
          <a:pPr>
            <a:defRPr sz="8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5469784115825098E-2"/>
          <c:y val="5.1400554097404488E-2"/>
          <c:w val="0.79382620981771934"/>
          <c:h val="0.6292468722065323"/>
        </c:manualLayout>
      </c:layout>
      <c:barChart>
        <c:barDir val="col"/>
        <c:grouping val="percentStacked"/>
        <c:varyColors val="0"/>
        <c:ser>
          <c:idx val="3"/>
          <c:order val="1"/>
          <c:tx>
            <c:strRef>
              <c:f>'D_Ch2-2'!$F$41</c:f>
              <c:strCache>
                <c:ptCount val="1"/>
                <c:pt idx="0">
                  <c:v>&lt; 6 mois</c:v>
                </c:pt>
              </c:strCache>
            </c:strRef>
          </c:tx>
          <c:spPr>
            <a:gradFill>
              <a:gsLst>
                <a:gs pos="0">
                  <a:schemeClr val="accent6">
                    <a:lumMod val="40000"/>
                    <a:lumOff val="60000"/>
                  </a:schemeClr>
                </a:gs>
                <a:gs pos="50000">
                  <a:srgbClr val="FFC000"/>
                </a:gs>
                <a:gs pos="100000">
                  <a:srgbClr val="FFFF00"/>
                </a:gs>
              </a:gsLst>
              <a:lin ang="5400000" scaled="0"/>
            </a:gradFill>
            <a:ln>
              <a:noFill/>
            </a:ln>
          </c:spPr>
          <c:invertIfNegative val="0"/>
          <c:cat>
            <c:strRef>
              <c:f>'D_Ch2-2'!$A$42:$A$54</c:f>
              <c:strCache>
                <c:ptCount val="13"/>
                <c:pt idx="0">
                  <c:v>2015-11</c:v>
                </c:pt>
                <c:pt idx="1">
                  <c:v>2015-12</c:v>
                </c:pt>
                <c:pt idx="2">
                  <c:v>2016-01</c:v>
                </c:pt>
                <c:pt idx="3">
                  <c:v>2016-02</c:v>
                </c:pt>
                <c:pt idx="4">
                  <c:v>2016-03</c:v>
                </c:pt>
                <c:pt idx="5">
                  <c:v>2016-04</c:v>
                </c:pt>
                <c:pt idx="6">
                  <c:v>2016-05</c:v>
                </c:pt>
                <c:pt idx="7">
                  <c:v>2016-06</c:v>
                </c:pt>
                <c:pt idx="8">
                  <c:v>2016-07</c:v>
                </c:pt>
                <c:pt idx="9">
                  <c:v>2016-08</c:v>
                </c:pt>
                <c:pt idx="10">
                  <c:v>2016-09</c:v>
                </c:pt>
                <c:pt idx="11">
                  <c:v>2016-10</c:v>
                </c:pt>
                <c:pt idx="12">
                  <c:v>2016-11</c:v>
                </c:pt>
              </c:strCache>
            </c:strRef>
          </c:cat>
          <c:val>
            <c:numRef>
              <c:f>'D_Ch2-2'!$F$42:$F$54</c:f>
              <c:numCache>
                <c:formatCode>#,##0</c:formatCode>
                <c:ptCount val="13"/>
                <c:pt idx="0">
                  <c:v>23569</c:v>
                </c:pt>
                <c:pt idx="1">
                  <c:v>23107</c:v>
                </c:pt>
                <c:pt idx="2">
                  <c:v>23737</c:v>
                </c:pt>
                <c:pt idx="3">
                  <c:v>23080</c:v>
                </c:pt>
                <c:pt idx="4">
                  <c:v>21169</c:v>
                </c:pt>
                <c:pt idx="5">
                  <c:v>19526</c:v>
                </c:pt>
                <c:pt idx="6">
                  <c:v>19120</c:v>
                </c:pt>
                <c:pt idx="7">
                  <c:v>18850</c:v>
                </c:pt>
                <c:pt idx="8">
                  <c:v>19832</c:v>
                </c:pt>
                <c:pt idx="9">
                  <c:v>22278</c:v>
                </c:pt>
                <c:pt idx="10">
                  <c:v>22596</c:v>
                </c:pt>
                <c:pt idx="11">
                  <c:v>22613</c:v>
                </c:pt>
                <c:pt idx="12">
                  <c:v>22880</c:v>
                </c:pt>
              </c:numCache>
            </c:numRef>
          </c:val>
        </c:ser>
        <c:ser>
          <c:idx val="1"/>
          <c:order val="2"/>
          <c:tx>
            <c:strRef>
              <c:f>'D_Ch2-2'!$H$41</c:f>
              <c:strCache>
                <c:ptCount val="1"/>
                <c:pt idx="0">
                  <c:v>12 à 23 mois</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noFill/>
            </a:ln>
          </c:spPr>
          <c:invertIfNegative val="0"/>
          <c:cat>
            <c:strRef>
              <c:f>'D_Ch2-2'!$A$42:$A$54</c:f>
              <c:strCache>
                <c:ptCount val="13"/>
                <c:pt idx="0">
                  <c:v>2015-11</c:v>
                </c:pt>
                <c:pt idx="1">
                  <c:v>2015-12</c:v>
                </c:pt>
                <c:pt idx="2">
                  <c:v>2016-01</c:v>
                </c:pt>
                <c:pt idx="3">
                  <c:v>2016-02</c:v>
                </c:pt>
                <c:pt idx="4">
                  <c:v>2016-03</c:v>
                </c:pt>
                <c:pt idx="5">
                  <c:v>2016-04</c:v>
                </c:pt>
                <c:pt idx="6">
                  <c:v>2016-05</c:v>
                </c:pt>
                <c:pt idx="7">
                  <c:v>2016-06</c:v>
                </c:pt>
                <c:pt idx="8">
                  <c:v>2016-07</c:v>
                </c:pt>
                <c:pt idx="9">
                  <c:v>2016-08</c:v>
                </c:pt>
                <c:pt idx="10">
                  <c:v>2016-09</c:v>
                </c:pt>
                <c:pt idx="11">
                  <c:v>2016-10</c:v>
                </c:pt>
                <c:pt idx="12">
                  <c:v>2016-11</c:v>
                </c:pt>
              </c:strCache>
            </c:strRef>
          </c:cat>
          <c:val>
            <c:numRef>
              <c:f>'D_Ch2-2'!$H$42:$H$54</c:f>
              <c:numCache>
                <c:formatCode>#,##0</c:formatCode>
                <c:ptCount val="13"/>
                <c:pt idx="0">
                  <c:v>9396</c:v>
                </c:pt>
                <c:pt idx="1">
                  <c:v>9190</c:v>
                </c:pt>
                <c:pt idx="2">
                  <c:v>9461</c:v>
                </c:pt>
                <c:pt idx="3">
                  <c:v>9331</c:v>
                </c:pt>
                <c:pt idx="4">
                  <c:v>8977</c:v>
                </c:pt>
                <c:pt idx="5">
                  <c:v>8578</c:v>
                </c:pt>
                <c:pt idx="6">
                  <c:v>8341</c:v>
                </c:pt>
                <c:pt idx="7">
                  <c:v>8153</c:v>
                </c:pt>
                <c:pt idx="8">
                  <c:v>8306</c:v>
                </c:pt>
                <c:pt idx="9">
                  <c:v>8954</c:v>
                </c:pt>
                <c:pt idx="10">
                  <c:v>8437</c:v>
                </c:pt>
                <c:pt idx="11">
                  <c:v>8337</c:v>
                </c:pt>
                <c:pt idx="12">
                  <c:v>8499</c:v>
                </c:pt>
              </c:numCache>
            </c:numRef>
          </c:val>
        </c:ser>
        <c:ser>
          <c:idx val="2"/>
          <c:order val="3"/>
          <c:tx>
            <c:strRef>
              <c:f>'D_Ch2-2'!$I$41</c:f>
              <c:strCache>
                <c:ptCount val="1"/>
                <c:pt idx="0">
                  <c:v>24 à 35 mois</c:v>
                </c:pt>
              </c:strCache>
            </c:strRef>
          </c:tx>
          <c:spPr>
            <a:gradFill>
              <a:gsLst>
                <a:gs pos="0">
                  <a:srgbClr val="CCFF99"/>
                </a:gs>
                <a:gs pos="50000">
                  <a:srgbClr val="89FF89"/>
                </a:gs>
                <a:gs pos="100000">
                  <a:srgbClr val="D9FFD9"/>
                </a:gs>
              </a:gsLst>
              <a:lin ang="5400000" scaled="0"/>
            </a:gradFill>
            <a:ln>
              <a:noFill/>
            </a:ln>
          </c:spPr>
          <c:invertIfNegative val="0"/>
          <c:cat>
            <c:strRef>
              <c:f>'D_Ch2-2'!$A$42:$A$54</c:f>
              <c:strCache>
                <c:ptCount val="13"/>
                <c:pt idx="0">
                  <c:v>2015-11</c:v>
                </c:pt>
                <c:pt idx="1">
                  <c:v>2015-12</c:v>
                </c:pt>
                <c:pt idx="2">
                  <c:v>2016-01</c:v>
                </c:pt>
                <c:pt idx="3">
                  <c:v>2016-02</c:v>
                </c:pt>
                <c:pt idx="4">
                  <c:v>2016-03</c:v>
                </c:pt>
                <c:pt idx="5">
                  <c:v>2016-04</c:v>
                </c:pt>
                <c:pt idx="6">
                  <c:v>2016-05</c:v>
                </c:pt>
                <c:pt idx="7">
                  <c:v>2016-06</c:v>
                </c:pt>
                <c:pt idx="8">
                  <c:v>2016-07</c:v>
                </c:pt>
                <c:pt idx="9">
                  <c:v>2016-08</c:v>
                </c:pt>
                <c:pt idx="10">
                  <c:v>2016-09</c:v>
                </c:pt>
                <c:pt idx="11">
                  <c:v>2016-10</c:v>
                </c:pt>
                <c:pt idx="12">
                  <c:v>2016-11</c:v>
                </c:pt>
              </c:strCache>
            </c:strRef>
          </c:cat>
          <c:val>
            <c:numRef>
              <c:f>'D_Ch2-2'!$I$42:$I$54</c:f>
              <c:numCache>
                <c:formatCode>#,##0</c:formatCode>
                <c:ptCount val="13"/>
                <c:pt idx="0">
                  <c:v>3892</c:v>
                </c:pt>
                <c:pt idx="1">
                  <c:v>3831</c:v>
                </c:pt>
                <c:pt idx="2">
                  <c:v>4015</c:v>
                </c:pt>
                <c:pt idx="3">
                  <c:v>3981</c:v>
                </c:pt>
                <c:pt idx="4">
                  <c:v>3873</c:v>
                </c:pt>
                <c:pt idx="5">
                  <c:v>3709</c:v>
                </c:pt>
                <c:pt idx="6">
                  <c:v>3652</c:v>
                </c:pt>
                <c:pt idx="7">
                  <c:v>3592</c:v>
                </c:pt>
                <c:pt idx="8">
                  <c:v>3671</c:v>
                </c:pt>
                <c:pt idx="9">
                  <c:v>3940</c:v>
                </c:pt>
                <c:pt idx="10">
                  <c:v>3696</c:v>
                </c:pt>
                <c:pt idx="11">
                  <c:v>3684</c:v>
                </c:pt>
                <c:pt idx="12">
                  <c:v>3712</c:v>
                </c:pt>
              </c:numCache>
            </c:numRef>
          </c:val>
        </c:ser>
        <c:dLbls>
          <c:showLegendKey val="0"/>
          <c:showVal val="0"/>
          <c:showCatName val="0"/>
          <c:showSerName val="0"/>
          <c:showPercent val="0"/>
          <c:showBubbleSize val="0"/>
        </c:dLbls>
        <c:gapWidth val="54"/>
        <c:overlap val="100"/>
        <c:axId val="131121536"/>
        <c:axId val="131123072"/>
      </c:barChart>
      <c:lineChart>
        <c:grouping val="standard"/>
        <c:varyColors val="0"/>
        <c:ser>
          <c:idx val="0"/>
          <c:order val="0"/>
          <c:tx>
            <c:strRef>
              <c:f>'D_Ch2-2'!$K$41</c:f>
              <c:strCache>
                <c:ptCount val="1"/>
                <c:pt idx="0">
                  <c:v>Nb de demandeurs Cat A</c:v>
                </c:pt>
              </c:strCache>
            </c:strRef>
          </c:tx>
          <c:marker>
            <c:symbol val="none"/>
          </c:marker>
          <c:cat>
            <c:strRef>
              <c:f>'D_Ch2-2'!$A$42:$A$54</c:f>
              <c:strCache>
                <c:ptCount val="13"/>
                <c:pt idx="0">
                  <c:v>2015-11</c:v>
                </c:pt>
                <c:pt idx="1">
                  <c:v>2015-12</c:v>
                </c:pt>
                <c:pt idx="2">
                  <c:v>2016-01</c:v>
                </c:pt>
                <c:pt idx="3">
                  <c:v>2016-02</c:v>
                </c:pt>
                <c:pt idx="4">
                  <c:v>2016-03</c:v>
                </c:pt>
                <c:pt idx="5">
                  <c:v>2016-04</c:v>
                </c:pt>
                <c:pt idx="6">
                  <c:v>2016-05</c:v>
                </c:pt>
                <c:pt idx="7">
                  <c:v>2016-06</c:v>
                </c:pt>
                <c:pt idx="8">
                  <c:v>2016-07</c:v>
                </c:pt>
                <c:pt idx="9">
                  <c:v>2016-08</c:v>
                </c:pt>
                <c:pt idx="10">
                  <c:v>2016-09</c:v>
                </c:pt>
                <c:pt idx="11">
                  <c:v>2016-10</c:v>
                </c:pt>
                <c:pt idx="12">
                  <c:v>2016-11</c:v>
                </c:pt>
              </c:strCache>
            </c:strRef>
          </c:cat>
          <c:val>
            <c:numRef>
              <c:f>'D_Ch2-2'!$K$42:$K$54</c:f>
              <c:numCache>
                <c:formatCode>#,##0</c:formatCode>
                <c:ptCount val="13"/>
                <c:pt idx="0">
                  <c:v>50538</c:v>
                </c:pt>
                <c:pt idx="1">
                  <c:v>49943</c:v>
                </c:pt>
                <c:pt idx="2">
                  <c:v>51744</c:v>
                </c:pt>
                <c:pt idx="3">
                  <c:v>51193</c:v>
                </c:pt>
                <c:pt idx="4">
                  <c:v>49583</c:v>
                </c:pt>
                <c:pt idx="5">
                  <c:v>47668</c:v>
                </c:pt>
                <c:pt idx="6">
                  <c:v>47066</c:v>
                </c:pt>
                <c:pt idx="7">
                  <c:v>46008</c:v>
                </c:pt>
                <c:pt idx="8">
                  <c:v>47541</c:v>
                </c:pt>
                <c:pt idx="9">
                  <c:v>51703</c:v>
                </c:pt>
                <c:pt idx="10">
                  <c:v>49048</c:v>
                </c:pt>
                <c:pt idx="11">
                  <c:v>48673</c:v>
                </c:pt>
                <c:pt idx="12">
                  <c:v>48913</c:v>
                </c:pt>
              </c:numCache>
            </c:numRef>
          </c:val>
          <c:smooth val="0"/>
        </c:ser>
        <c:dLbls>
          <c:showLegendKey val="0"/>
          <c:showVal val="0"/>
          <c:showCatName val="0"/>
          <c:showSerName val="0"/>
          <c:showPercent val="0"/>
          <c:showBubbleSize val="0"/>
        </c:dLbls>
        <c:marker val="1"/>
        <c:smooth val="0"/>
        <c:axId val="131126400"/>
        <c:axId val="131124608"/>
      </c:lineChart>
      <c:catAx>
        <c:axId val="131121536"/>
        <c:scaling>
          <c:orientation val="minMax"/>
        </c:scaling>
        <c:delete val="0"/>
        <c:axPos val="b"/>
        <c:numFmt formatCode="General" sourceLinked="1"/>
        <c:majorTickMark val="out"/>
        <c:minorTickMark val="none"/>
        <c:tickLblPos val="nextTo"/>
        <c:txPr>
          <a:bodyPr rot="-5400000" vert="horz"/>
          <a:lstStyle/>
          <a:p>
            <a:pPr>
              <a:defRPr sz="800"/>
            </a:pPr>
            <a:endParaRPr lang="fr-FR"/>
          </a:p>
        </c:txPr>
        <c:crossAx val="131123072"/>
        <c:crosses val="autoZero"/>
        <c:auto val="1"/>
        <c:lblAlgn val="ctr"/>
        <c:lblOffset val="100"/>
        <c:noMultiLvlLbl val="0"/>
      </c:catAx>
      <c:valAx>
        <c:axId val="131123072"/>
        <c:scaling>
          <c:orientation val="minMax"/>
        </c:scaling>
        <c:delete val="0"/>
        <c:axPos val="l"/>
        <c:majorGridlines>
          <c:spPr>
            <a:ln>
              <a:solidFill>
                <a:schemeClr val="bg2">
                  <a:lumMod val="90000"/>
                </a:schemeClr>
              </a:solidFill>
              <a:prstDash val="sysDash"/>
            </a:ln>
          </c:spPr>
        </c:majorGridlines>
        <c:numFmt formatCode="0%" sourceLinked="1"/>
        <c:majorTickMark val="out"/>
        <c:minorTickMark val="none"/>
        <c:tickLblPos val="nextTo"/>
        <c:txPr>
          <a:bodyPr/>
          <a:lstStyle/>
          <a:p>
            <a:pPr>
              <a:defRPr sz="800"/>
            </a:pPr>
            <a:endParaRPr lang="fr-FR"/>
          </a:p>
        </c:txPr>
        <c:crossAx val="131121536"/>
        <c:crosses val="autoZero"/>
        <c:crossBetween val="between"/>
        <c:majorUnit val="0.1"/>
      </c:valAx>
      <c:valAx>
        <c:axId val="131124608"/>
        <c:scaling>
          <c:orientation val="minMax"/>
        </c:scaling>
        <c:delete val="0"/>
        <c:axPos val="r"/>
        <c:numFmt formatCode="General" sourceLinked="0"/>
        <c:majorTickMark val="out"/>
        <c:minorTickMark val="none"/>
        <c:tickLblPos val="nextTo"/>
        <c:txPr>
          <a:bodyPr/>
          <a:lstStyle/>
          <a:p>
            <a:pPr>
              <a:defRPr sz="800"/>
            </a:pPr>
            <a:endParaRPr lang="fr-FR"/>
          </a:p>
        </c:txPr>
        <c:crossAx val="131126400"/>
        <c:crosses val="max"/>
        <c:crossBetween val="between"/>
      </c:valAx>
      <c:catAx>
        <c:axId val="131126400"/>
        <c:scaling>
          <c:orientation val="minMax"/>
        </c:scaling>
        <c:delete val="1"/>
        <c:axPos val="b"/>
        <c:numFmt formatCode="General" sourceLinked="1"/>
        <c:majorTickMark val="out"/>
        <c:minorTickMark val="none"/>
        <c:tickLblPos val="nextTo"/>
        <c:crossAx val="131124608"/>
        <c:crosses val="autoZero"/>
        <c:auto val="1"/>
        <c:lblAlgn val="ctr"/>
        <c:lblOffset val="100"/>
        <c:noMultiLvlLbl val="0"/>
      </c:catAx>
    </c:plotArea>
    <c:legend>
      <c:legendPos val="b"/>
      <c:layout>
        <c:manualLayout>
          <c:xMode val="edge"/>
          <c:yMode val="edge"/>
          <c:x val="1.5400616584346593E-2"/>
          <c:y val="0.85751572195883785"/>
          <c:w val="0.94455807845086759"/>
          <c:h val="0.12494818039744623"/>
        </c:manualLayout>
      </c:layout>
      <c:overlay val="0"/>
      <c:txPr>
        <a:bodyPr/>
        <a:lstStyle/>
        <a:p>
          <a:pPr>
            <a:defRPr sz="8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812724132393579E-2"/>
          <c:y val="2.0527773916472973E-2"/>
          <c:w val="0.66260349335561197"/>
          <c:h val="0.76671494195650702"/>
        </c:manualLayout>
      </c:layout>
      <c:barChart>
        <c:barDir val="col"/>
        <c:grouping val="stacked"/>
        <c:varyColors val="0"/>
        <c:ser>
          <c:idx val="0"/>
          <c:order val="0"/>
          <c:tx>
            <c:strRef>
              <c:f>'D_Ch2-2'!$B$118</c:f>
              <c:strCache>
                <c:ptCount val="1"/>
                <c:pt idx="0">
                  <c:v>Agroalimentaire</c:v>
                </c:pt>
              </c:strCache>
            </c:strRef>
          </c:tx>
          <c:spPr>
            <a:solidFill>
              <a:srgbClr val="FF0000"/>
            </a:solidFill>
          </c:spPr>
          <c:invertIfNegative val="0"/>
          <c:cat>
            <c:strRef>
              <c:f>'D_Ch2-2'!$A$119:$A$134</c:f>
              <c:strCache>
                <c:ptCount val="16"/>
                <c:pt idx="0">
                  <c:v>Rhône</c:v>
                </c:pt>
                <c:pt idx="1">
                  <c:v>Hte-Garonne</c:v>
                </c:pt>
                <c:pt idx="2">
                  <c:v>Loire-Atlant.</c:v>
                </c:pt>
                <c:pt idx="3">
                  <c:v>Bouches-du-R.</c:v>
                </c:pt>
                <c:pt idx="4">
                  <c:v>Gironde</c:v>
                </c:pt>
                <c:pt idx="5">
                  <c:v>Ille-et-Vilaine</c:v>
                </c:pt>
                <c:pt idx="6">
                  <c:v>Nord</c:v>
                </c:pt>
                <c:pt idx="7">
                  <c:v>Bas-Rhin</c:v>
                </c:pt>
                <c:pt idx="8">
                  <c:v>F. Métro</c:v>
                </c:pt>
                <c:pt idx="9">
                  <c:v>Isère</c:v>
                </c:pt>
                <c:pt idx="10">
                  <c:v>Alpes-M.</c:v>
                </c:pt>
                <c:pt idx="11">
                  <c:v>Seine-Marit.</c:v>
                </c:pt>
                <c:pt idx="12">
                  <c:v>Hérault</c:v>
                </c:pt>
                <c:pt idx="13">
                  <c:v>Vaucluse</c:v>
                </c:pt>
                <c:pt idx="14">
                  <c:v>Var</c:v>
                </c:pt>
                <c:pt idx="15">
                  <c:v>Pas-de-Calais</c:v>
                </c:pt>
              </c:strCache>
            </c:strRef>
          </c:cat>
          <c:val>
            <c:numRef>
              <c:f>'D_Ch2-2'!$B$119:$B$134</c:f>
              <c:numCache>
                <c:formatCode>0.00</c:formatCode>
                <c:ptCount val="16"/>
                <c:pt idx="0">
                  <c:v>2.0837058968849065</c:v>
                </c:pt>
                <c:pt idx="1">
                  <c:v>0.98720292765729856</c:v>
                </c:pt>
                <c:pt idx="2">
                  <c:v>2.3116587702562872</c:v>
                </c:pt>
                <c:pt idx="3">
                  <c:v>1.9247693544380411</c:v>
                </c:pt>
                <c:pt idx="4">
                  <c:v>1.6791852580452475</c:v>
                </c:pt>
                <c:pt idx="5">
                  <c:v>4.6613947269338816</c:v>
                </c:pt>
                <c:pt idx="6">
                  <c:v>2.0813899341004825</c:v>
                </c:pt>
                <c:pt idx="7">
                  <c:v>3.0978967775413477</c:v>
                </c:pt>
                <c:pt idx="8">
                  <c:v>2.1042457410161481</c:v>
                </c:pt>
                <c:pt idx="9">
                  <c:v>0.92599635335992891</c:v>
                </c:pt>
                <c:pt idx="10">
                  <c:v>0.91112289403812052</c:v>
                </c:pt>
                <c:pt idx="11">
                  <c:v>2.9759170145501859</c:v>
                </c:pt>
                <c:pt idx="12">
                  <c:v>1.2997301999716648</c:v>
                </c:pt>
                <c:pt idx="13">
                  <c:v>3.6446545394477767</c:v>
                </c:pt>
                <c:pt idx="14">
                  <c:v>0.57699360898230134</c:v>
                </c:pt>
                <c:pt idx="15">
                  <c:v>4.1107043168053616</c:v>
                </c:pt>
              </c:numCache>
            </c:numRef>
          </c:val>
        </c:ser>
        <c:ser>
          <c:idx val="1"/>
          <c:order val="1"/>
          <c:tx>
            <c:strRef>
              <c:f>'D_Ch2-2'!$C$118</c:f>
              <c:strCache>
                <c:ptCount val="1"/>
                <c:pt idx="0">
                  <c:v>Industries manufacturières, industries extractives et autres</c:v>
                </c:pt>
              </c:strCache>
            </c:strRef>
          </c:tx>
          <c:spPr>
            <a:solidFill>
              <a:srgbClr val="FFFF89"/>
            </a:solidFill>
          </c:spPr>
          <c:invertIfNegative val="0"/>
          <c:cat>
            <c:strRef>
              <c:f>'D_Ch2-2'!$A$119:$A$134</c:f>
              <c:strCache>
                <c:ptCount val="16"/>
                <c:pt idx="0">
                  <c:v>Rhône</c:v>
                </c:pt>
                <c:pt idx="1">
                  <c:v>Hte-Garonne</c:v>
                </c:pt>
                <c:pt idx="2">
                  <c:v>Loire-Atlant.</c:v>
                </c:pt>
                <c:pt idx="3">
                  <c:v>Bouches-du-R.</c:v>
                </c:pt>
                <c:pt idx="4">
                  <c:v>Gironde</c:v>
                </c:pt>
                <c:pt idx="5">
                  <c:v>Ille-et-Vilaine</c:v>
                </c:pt>
                <c:pt idx="6">
                  <c:v>Nord</c:v>
                </c:pt>
                <c:pt idx="7">
                  <c:v>Bas-Rhin</c:v>
                </c:pt>
                <c:pt idx="8">
                  <c:v>F. Métro</c:v>
                </c:pt>
                <c:pt idx="9">
                  <c:v>Isère</c:v>
                </c:pt>
                <c:pt idx="10">
                  <c:v>Alpes-M.</c:v>
                </c:pt>
                <c:pt idx="11">
                  <c:v>Seine-Marit.</c:v>
                </c:pt>
                <c:pt idx="12">
                  <c:v>Hérault</c:v>
                </c:pt>
                <c:pt idx="13">
                  <c:v>Vaucluse</c:v>
                </c:pt>
                <c:pt idx="14">
                  <c:v>Var</c:v>
                </c:pt>
                <c:pt idx="15">
                  <c:v>Pas-de-Calais</c:v>
                </c:pt>
              </c:strCache>
            </c:strRef>
          </c:cat>
          <c:val>
            <c:numRef>
              <c:f>'D_Ch2-2'!$C$119:$C$134</c:f>
              <c:numCache>
                <c:formatCode>0.00</c:formatCode>
                <c:ptCount val="16"/>
                <c:pt idx="0">
                  <c:v>32.956572858893928</c:v>
                </c:pt>
                <c:pt idx="1">
                  <c:v>20.710257163193543</c:v>
                </c:pt>
                <c:pt idx="2">
                  <c:v>17.488201131504084</c:v>
                </c:pt>
                <c:pt idx="3">
                  <c:v>13.191085975748708</c:v>
                </c:pt>
                <c:pt idx="4">
                  <c:v>15.866716551491697</c:v>
                </c:pt>
                <c:pt idx="5">
                  <c:v>13.130689371644737</c:v>
                </c:pt>
                <c:pt idx="6">
                  <c:v>17.935545974888168</c:v>
                </c:pt>
                <c:pt idx="7">
                  <c:v>21.99340158464166</c:v>
                </c:pt>
                <c:pt idx="8">
                  <c:v>15.999323529039822</c:v>
                </c:pt>
                <c:pt idx="9">
                  <c:v>20.310186683694443</c:v>
                </c:pt>
                <c:pt idx="10">
                  <c:v>9.4924130082951113</c:v>
                </c:pt>
                <c:pt idx="11">
                  <c:v>16.430525950704336</c:v>
                </c:pt>
                <c:pt idx="12">
                  <c:v>10.275403247602075</c:v>
                </c:pt>
                <c:pt idx="13">
                  <c:v>12.543531866728896</c:v>
                </c:pt>
                <c:pt idx="14">
                  <c:v>14.775157772868216</c:v>
                </c:pt>
                <c:pt idx="15">
                  <c:v>6.8299846638329633</c:v>
                </c:pt>
              </c:numCache>
            </c:numRef>
          </c:val>
        </c:ser>
        <c:ser>
          <c:idx val="2"/>
          <c:order val="2"/>
          <c:tx>
            <c:strRef>
              <c:f>'D_Ch2-2'!$D$118</c:f>
              <c:strCache>
                <c:ptCount val="1"/>
                <c:pt idx="0">
                  <c:v>Construction</c:v>
                </c:pt>
              </c:strCache>
            </c:strRef>
          </c:tx>
          <c:spPr>
            <a:solidFill>
              <a:srgbClr val="92D050"/>
            </a:solidFill>
          </c:spPr>
          <c:invertIfNegative val="0"/>
          <c:cat>
            <c:strRef>
              <c:f>'D_Ch2-2'!$A$119:$A$134</c:f>
              <c:strCache>
                <c:ptCount val="16"/>
                <c:pt idx="0">
                  <c:v>Rhône</c:v>
                </c:pt>
                <c:pt idx="1">
                  <c:v>Hte-Garonne</c:v>
                </c:pt>
                <c:pt idx="2">
                  <c:v>Loire-Atlant.</c:v>
                </c:pt>
                <c:pt idx="3">
                  <c:v>Bouches-du-R.</c:v>
                </c:pt>
                <c:pt idx="4">
                  <c:v>Gironde</c:v>
                </c:pt>
                <c:pt idx="5">
                  <c:v>Ille-et-Vilaine</c:v>
                </c:pt>
                <c:pt idx="6">
                  <c:v>Nord</c:v>
                </c:pt>
                <c:pt idx="7">
                  <c:v>Bas-Rhin</c:v>
                </c:pt>
                <c:pt idx="8">
                  <c:v>F. Métro</c:v>
                </c:pt>
                <c:pt idx="9">
                  <c:v>Isère</c:v>
                </c:pt>
                <c:pt idx="10">
                  <c:v>Alpes-M.</c:v>
                </c:pt>
                <c:pt idx="11">
                  <c:v>Seine-Marit.</c:v>
                </c:pt>
                <c:pt idx="12">
                  <c:v>Hérault</c:v>
                </c:pt>
                <c:pt idx="13">
                  <c:v>Vaucluse</c:v>
                </c:pt>
                <c:pt idx="14">
                  <c:v>Var</c:v>
                </c:pt>
                <c:pt idx="15">
                  <c:v>Pas-de-Calais</c:v>
                </c:pt>
              </c:strCache>
            </c:strRef>
          </c:cat>
          <c:val>
            <c:numRef>
              <c:f>'D_Ch2-2'!$D$119:$D$134</c:f>
              <c:numCache>
                <c:formatCode>0.00</c:formatCode>
                <c:ptCount val="16"/>
                <c:pt idx="0">
                  <c:v>11.215865924559063</c:v>
                </c:pt>
                <c:pt idx="1">
                  <c:v>8.7027889296313639</c:v>
                </c:pt>
                <c:pt idx="2">
                  <c:v>6.1739954733553022</c:v>
                </c:pt>
                <c:pt idx="3">
                  <c:v>6.3029780459997715</c:v>
                </c:pt>
                <c:pt idx="4">
                  <c:v>9.5491780523554262</c:v>
                </c:pt>
                <c:pt idx="5">
                  <c:v>4.2580949819476501</c:v>
                </c:pt>
                <c:pt idx="6">
                  <c:v>3.9151795786425425</c:v>
                </c:pt>
                <c:pt idx="7">
                  <c:v>4.688483563859621</c:v>
                </c:pt>
                <c:pt idx="8">
                  <c:v>4.5484574436741854</c:v>
                </c:pt>
                <c:pt idx="9">
                  <c:v>3.426186507431737</c:v>
                </c:pt>
                <c:pt idx="10">
                  <c:v>3.1424442671927011</c:v>
                </c:pt>
                <c:pt idx="11">
                  <c:v>9.6992850844598664</c:v>
                </c:pt>
                <c:pt idx="12">
                  <c:v>3.343508847753196</c:v>
                </c:pt>
                <c:pt idx="13">
                  <c:v>2.5531082560598644</c:v>
                </c:pt>
                <c:pt idx="14">
                  <c:v>2.1225122044706084</c:v>
                </c:pt>
                <c:pt idx="15">
                  <c:v>2.5215145036074125</c:v>
                </c:pt>
              </c:numCache>
            </c:numRef>
          </c:val>
        </c:ser>
        <c:ser>
          <c:idx val="3"/>
          <c:order val="3"/>
          <c:tx>
            <c:strRef>
              <c:f>'D_Ch2-2'!$E$118</c:f>
              <c:strCache>
                <c:ptCount val="1"/>
                <c:pt idx="0">
                  <c:v>Commerce interentreprises</c:v>
                </c:pt>
              </c:strCache>
            </c:strRef>
          </c:tx>
          <c:invertIfNegative val="0"/>
          <c:cat>
            <c:strRef>
              <c:f>'D_Ch2-2'!$A$119:$A$134</c:f>
              <c:strCache>
                <c:ptCount val="16"/>
                <c:pt idx="0">
                  <c:v>Rhône</c:v>
                </c:pt>
                <c:pt idx="1">
                  <c:v>Hte-Garonne</c:v>
                </c:pt>
                <c:pt idx="2">
                  <c:v>Loire-Atlant.</c:v>
                </c:pt>
                <c:pt idx="3">
                  <c:v>Bouches-du-R.</c:v>
                </c:pt>
                <c:pt idx="4">
                  <c:v>Gironde</c:v>
                </c:pt>
                <c:pt idx="5">
                  <c:v>Ille-et-Vilaine</c:v>
                </c:pt>
                <c:pt idx="6">
                  <c:v>Nord</c:v>
                </c:pt>
                <c:pt idx="7">
                  <c:v>Bas-Rhin</c:v>
                </c:pt>
                <c:pt idx="8">
                  <c:v>F. Métro</c:v>
                </c:pt>
                <c:pt idx="9">
                  <c:v>Isère</c:v>
                </c:pt>
                <c:pt idx="10">
                  <c:v>Alpes-M.</c:v>
                </c:pt>
                <c:pt idx="11">
                  <c:v>Seine-Marit.</c:v>
                </c:pt>
                <c:pt idx="12">
                  <c:v>Hérault</c:v>
                </c:pt>
                <c:pt idx="13">
                  <c:v>Vaucluse</c:v>
                </c:pt>
                <c:pt idx="14">
                  <c:v>Var</c:v>
                </c:pt>
                <c:pt idx="15">
                  <c:v>Pas-de-Calais</c:v>
                </c:pt>
              </c:strCache>
            </c:strRef>
          </c:cat>
          <c:val>
            <c:numRef>
              <c:f>'D_Ch2-2'!$E$119:$E$134</c:f>
              <c:numCache>
                <c:formatCode>0.00</c:formatCode>
                <c:ptCount val="16"/>
                <c:pt idx="0">
                  <c:v>14.681621651010488</c:v>
                </c:pt>
                <c:pt idx="1">
                  <c:v>7.8626162252421716</c:v>
                </c:pt>
                <c:pt idx="2">
                  <c:v>8.500012372619393</c:v>
                </c:pt>
                <c:pt idx="3">
                  <c:v>7.1550092802310123</c:v>
                </c:pt>
                <c:pt idx="4">
                  <c:v>7.4137613279733561</c:v>
                </c:pt>
                <c:pt idx="5">
                  <c:v>6.7716840902339293</c:v>
                </c:pt>
                <c:pt idx="6">
                  <c:v>7.1146395702802723</c:v>
                </c:pt>
                <c:pt idx="7">
                  <c:v>6.7620757617300375</c:v>
                </c:pt>
                <c:pt idx="8">
                  <c:v>5.7412400853737147</c:v>
                </c:pt>
                <c:pt idx="9">
                  <c:v>4.3830494059036633</c:v>
                </c:pt>
                <c:pt idx="10">
                  <c:v>4.5184257806380259</c:v>
                </c:pt>
                <c:pt idx="11">
                  <c:v>5.5975581940348738</c:v>
                </c:pt>
                <c:pt idx="12">
                  <c:v>5.0953191172802228</c:v>
                </c:pt>
                <c:pt idx="13">
                  <c:v>9.2318914476367553</c:v>
                </c:pt>
                <c:pt idx="14">
                  <c:v>3.2868028797384663</c:v>
                </c:pt>
                <c:pt idx="15">
                  <c:v>2.0836044217484222</c:v>
                </c:pt>
              </c:numCache>
            </c:numRef>
          </c:val>
        </c:ser>
        <c:ser>
          <c:idx val="4"/>
          <c:order val="4"/>
          <c:tx>
            <c:strRef>
              <c:f>'D_Ch2-2'!$F$118</c:f>
              <c:strCache>
                <c:ptCount val="1"/>
                <c:pt idx="0">
                  <c:v>Transports et logistique</c:v>
                </c:pt>
              </c:strCache>
            </c:strRef>
          </c:tx>
          <c:spPr>
            <a:solidFill>
              <a:srgbClr val="FF00FF"/>
            </a:solidFill>
            <a:ln>
              <a:noFill/>
            </a:ln>
          </c:spPr>
          <c:invertIfNegative val="0"/>
          <c:cat>
            <c:strRef>
              <c:f>'D_Ch2-2'!$A$119:$A$134</c:f>
              <c:strCache>
                <c:ptCount val="16"/>
                <c:pt idx="0">
                  <c:v>Rhône</c:v>
                </c:pt>
                <c:pt idx="1">
                  <c:v>Hte-Garonne</c:v>
                </c:pt>
                <c:pt idx="2">
                  <c:v>Loire-Atlant.</c:v>
                </c:pt>
                <c:pt idx="3">
                  <c:v>Bouches-du-R.</c:v>
                </c:pt>
                <c:pt idx="4">
                  <c:v>Gironde</c:v>
                </c:pt>
                <c:pt idx="5">
                  <c:v>Ille-et-Vilaine</c:v>
                </c:pt>
                <c:pt idx="6">
                  <c:v>Nord</c:v>
                </c:pt>
                <c:pt idx="7">
                  <c:v>Bas-Rhin</c:v>
                </c:pt>
                <c:pt idx="8">
                  <c:v>F. Métro</c:v>
                </c:pt>
                <c:pt idx="9">
                  <c:v>Isère</c:v>
                </c:pt>
                <c:pt idx="10">
                  <c:v>Alpes-M.</c:v>
                </c:pt>
                <c:pt idx="11">
                  <c:v>Seine-Marit.</c:v>
                </c:pt>
                <c:pt idx="12">
                  <c:v>Hérault</c:v>
                </c:pt>
                <c:pt idx="13">
                  <c:v>Vaucluse</c:v>
                </c:pt>
                <c:pt idx="14">
                  <c:v>Var</c:v>
                </c:pt>
                <c:pt idx="15">
                  <c:v>Pas-de-Calais</c:v>
                </c:pt>
              </c:strCache>
            </c:strRef>
          </c:cat>
          <c:val>
            <c:numRef>
              <c:f>'D_Ch2-2'!$F$119:$F$134</c:f>
              <c:numCache>
                <c:formatCode>0.00</c:formatCode>
                <c:ptCount val="16"/>
                <c:pt idx="0">
                  <c:v>0.75481182999402219</c:v>
                </c:pt>
                <c:pt idx="1">
                  <c:v>0.41308491299135192</c:v>
                </c:pt>
                <c:pt idx="2">
                  <c:v>0.35177416069117418</c:v>
                </c:pt>
                <c:pt idx="3">
                  <c:v>0.80070405144622514</c:v>
                </c:pt>
                <c:pt idx="4">
                  <c:v>0.32950050346548254</c:v>
                </c:pt>
                <c:pt idx="5">
                  <c:v>0.68467166009290414</c:v>
                </c:pt>
                <c:pt idx="6">
                  <c:v>0.17022519907141492</c:v>
                </c:pt>
                <c:pt idx="7">
                  <c:v>0.34143485989030986</c:v>
                </c:pt>
                <c:pt idx="8">
                  <c:v>0.47054587952320753</c:v>
                </c:pt>
                <c:pt idx="9">
                  <c:v>0.26236563345197988</c:v>
                </c:pt>
                <c:pt idx="10">
                  <c:v>0.39048124030205161</c:v>
                </c:pt>
                <c:pt idx="11">
                  <c:v>0.18894711203493245</c:v>
                </c:pt>
                <c:pt idx="12">
                  <c:v>0.76288511737467291</c:v>
                </c:pt>
                <c:pt idx="13">
                  <c:v>7.4003137856807663E-2</c:v>
                </c:pt>
                <c:pt idx="14">
                  <c:v>0.1030345730325538</c:v>
                </c:pt>
                <c:pt idx="15">
                  <c:v>0</c:v>
                </c:pt>
              </c:numCache>
            </c:numRef>
          </c:val>
        </c:ser>
        <c:ser>
          <c:idx val="5"/>
          <c:order val="5"/>
          <c:tx>
            <c:strRef>
              <c:f>'D_Ch2-2'!$G$118</c:f>
              <c:strCache>
                <c:ptCount val="1"/>
                <c:pt idx="0">
                  <c:v>Hôtellerie - Restauration - Loisirs</c:v>
                </c:pt>
              </c:strCache>
            </c:strRef>
          </c:tx>
          <c:spPr>
            <a:solidFill>
              <a:schemeClr val="bg1"/>
            </a:solidFill>
            <a:ln w="3175">
              <a:solidFill>
                <a:schemeClr val="bg1">
                  <a:lumMod val="75000"/>
                </a:schemeClr>
              </a:solidFill>
            </a:ln>
          </c:spPr>
          <c:invertIfNegative val="0"/>
          <c:cat>
            <c:strRef>
              <c:f>'D_Ch2-2'!$A$119:$A$134</c:f>
              <c:strCache>
                <c:ptCount val="16"/>
                <c:pt idx="0">
                  <c:v>Rhône</c:v>
                </c:pt>
                <c:pt idx="1">
                  <c:v>Hte-Garonne</c:v>
                </c:pt>
                <c:pt idx="2">
                  <c:v>Loire-Atlant.</c:v>
                </c:pt>
                <c:pt idx="3">
                  <c:v>Bouches-du-R.</c:v>
                </c:pt>
                <c:pt idx="4">
                  <c:v>Gironde</c:v>
                </c:pt>
                <c:pt idx="5">
                  <c:v>Ille-et-Vilaine</c:v>
                </c:pt>
                <c:pt idx="6">
                  <c:v>Nord</c:v>
                </c:pt>
                <c:pt idx="7">
                  <c:v>Bas-Rhin</c:v>
                </c:pt>
                <c:pt idx="8">
                  <c:v>F. Métro</c:v>
                </c:pt>
                <c:pt idx="9">
                  <c:v>Isère</c:v>
                </c:pt>
                <c:pt idx="10">
                  <c:v>Alpes-M.</c:v>
                </c:pt>
                <c:pt idx="11">
                  <c:v>Seine-Marit.</c:v>
                </c:pt>
                <c:pt idx="12">
                  <c:v>Hérault</c:v>
                </c:pt>
                <c:pt idx="13">
                  <c:v>Vaucluse</c:v>
                </c:pt>
                <c:pt idx="14">
                  <c:v>Var</c:v>
                </c:pt>
                <c:pt idx="15">
                  <c:v>Pas-de-Calais</c:v>
                </c:pt>
              </c:strCache>
            </c:strRef>
          </c:cat>
          <c:val>
            <c:numRef>
              <c:f>'D_Ch2-2'!$G$119:$G$134</c:f>
              <c:numCache>
                <c:formatCode>0.00</c:formatCode>
                <c:ptCount val="16"/>
                <c:pt idx="0">
                  <c:v>2.2325420323766854</c:v>
                </c:pt>
                <c:pt idx="1">
                  <c:v>0.73515111634054153</c:v>
                </c:pt>
                <c:pt idx="2">
                  <c:v>1.0050690305462118</c:v>
                </c:pt>
                <c:pt idx="3">
                  <c:v>1.7810532426400008</c:v>
                </c:pt>
                <c:pt idx="4">
                  <c:v>1.1088959251242199</c:v>
                </c:pt>
                <c:pt idx="5">
                  <c:v>0.60963914939779129</c:v>
                </c:pt>
                <c:pt idx="6">
                  <c:v>0.64608200556650663</c:v>
                </c:pt>
                <c:pt idx="7">
                  <c:v>0.87440634849957388</c:v>
                </c:pt>
                <c:pt idx="8">
                  <c:v>1.0980931106043044</c:v>
                </c:pt>
                <c:pt idx="9">
                  <c:v>0.46299817667996446</c:v>
                </c:pt>
                <c:pt idx="10">
                  <c:v>1.4875475821030539</c:v>
                </c:pt>
                <c:pt idx="11">
                  <c:v>0.38576702040465372</c:v>
                </c:pt>
                <c:pt idx="12">
                  <c:v>0.9512518130227402</c:v>
                </c:pt>
                <c:pt idx="13">
                  <c:v>0.55502353392605741</c:v>
                </c:pt>
                <c:pt idx="14">
                  <c:v>0.36062100561393834</c:v>
                </c:pt>
                <c:pt idx="15">
                  <c:v>0.35315329182176641</c:v>
                </c:pt>
              </c:numCache>
            </c:numRef>
          </c:val>
        </c:ser>
        <c:ser>
          <c:idx val="6"/>
          <c:order val="6"/>
          <c:tx>
            <c:strRef>
              <c:f>'D_Ch2-2'!$H$118</c:f>
              <c:strCache>
                <c:ptCount val="1"/>
                <c:pt idx="0">
                  <c:v>Information et communication</c:v>
                </c:pt>
              </c:strCache>
            </c:strRef>
          </c:tx>
          <c:spPr>
            <a:solidFill>
              <a:srgbClr val="E46C0A"/>
            </a:solidFill>
          </c:spPr>
          <c:invertIfNegative val="0"/>
          <c:cat>
            <c:strRef>
              <c:f>'D_Ch2-2'!$A$119:$A$134</c:f>
              <c:strCache>
                <c:ptCount val="16"/>
                <c:pt idx="0">
                  <c:v>Rhône</c:v>
                </c:pt>
                <c:pt idx="1">
                  <c:v>Hte-Garonne</c:v>
                </c:pt>
                <c:pt idx="2">
                  <c:v>Loire-Atlant.</c:v>
                </c:pt>
                <c:pt idx="3">
                  <c:v>Bouches-du-R.</c:v>
                </c:pt>
                <c:pt idx="4">
                  <c:v>Gironde</c:v>
                </c:pt>
                <c:pt idx="5">
                  <c:v>Ille-et-Vilaine</c:v>
                </c:pt>
                <c:pt idx="6">
                  <c:v>Nord</c:v>
                </c:pt>
                <c:pt idx="7">
                  <c:v>Bas-Rhin</c:v>
                </c:pt>
                <c:pt idx="8">
                  <c:v>F. Métro</c:v>
                </c:pt>
                <c:pt idx="9">
                  <c:v>Isère</c:v>
                </c:pt>
                <c:pt idx="10">
                  <c:v>Alpes-M.</c:v>
                </c:pt>
                <c:pt idx="11">
                  <c:v>Seine-Marit.</c:v>
                </c:pt>
                <c:pt idx="12">
                  <c:v>Hérault</c:v>
                </c:pt>
                <c:pt idx="13">
                  <c:v>Vaucluse</c:v>
                </c:pt>
                <c:pt idx="14">
                  <c:v>Var</c:v>
                </c:pt>
                <c:pt idx="15">
                  <c:v>Pas-de-Calais</c:v>
                </c:pt>
              </c:strCache>
            </c:strRef>
          </c:cat>
          <c:val>
            <c:numRef>
              <c:f>'D_Ch2-2'!$H$119:$H$134</c:f>
              <c:numCache>
                <c:formatCode>0.00</c:formatCode>
                <c:ptCount val="16"/>
                <c:pt idx="0">
                  <c:v>8.0849915029641402</c:v>
                </c:pt>
                <c:pt idx="1">
                  <c:v>4.8940060030670329</c:v>
                </c:pt>
                <c:pt idx="2">
                  <c:v>4.7022872500554911</c:v>
                </c:pt>
                <c:pt idx="3">
                  <c:v>6.1028020331382153</c:v>
                </c:pt>
                <c:pt idx="4">
                  <c:v>3.8082654342837499</c:v>
                </c:pt>
                <c:pt idx="5">
                  <c:v>3.2357770237267385</c:v>
                </c:pt>
                <c:pt idx="6">
                  <c:v>5.0835434449963453</c:v>
                </c:pt>
                <c:pt idx="7">
                  <c:v>3.5559191505649341</c:v>
                </c:pt>
                <c:pt idx="8">
                  <c:v>4.5614390729372412</c:v>
                </c:pt>
                <c:pt idx="9">
                  <c:v>3.3721700534857408</c:v>
                </c:pt>
                <c:pt idx="10">
                  <c:v>5.2436052269132647</c:v>
                </c:pt>
                <c:pt idx="11">
                  <c:v>4.7787873752168331</c:v>
                </c:pt>
                <c:pt idx="12">
                  <c:v>2.401675369512859</c:v>
                </c:pt>
                <c:pt idx="13">
                  <c:v>6.1977627955076402</c:v>
                </c:pt>
                <c:pt idx="14">
                  <c:v>1.4115736505459873</c:v>
                </c:pt>
                <c:pt idx="15">
                  <c:v>2.2036765409678227</c:v>
                </c:pt>
              </c:numCache>
            </c:numRef>
          </c:val>
        </c:ser>
        <c:ser>
          <c:idx val="7"/>
          <c:order val="7"/>
          <c:tx>
            <c:strRef>
              <c:f>'D_Ch2-2'!$I$118</c:f>
              <c:strCache>
                <c:ptCount val="1"/>
                <c:pt idx="0">
                  <c:v>Activités financières et d'assurance</c:v>
                </c:pt>
              </c:strCache>
            </c:strRef>
          </c:tx>
          <c:spPr>
            <a:solidFill>
              <a:srgbClr val="A41045"/>
            </a:solidFill>
          </c:spPr>
          <c:invertIfNegative val="0"/>
          <c:cat>
            <c:strRef>
              <c:f>'D_Ch2-2'!$A$119:$A$134</c:f>
              <c:strCache>
                <c:ptCount val="16"/>
                <c:pt idx="0">
                  <c:v>Rhône</c:v>
                </c:pt>
                <c:pt idx="1">
                  <c:v>Hte-Garonne</c:v>
                </c:pt>
                <c:pt idx="2">
                  <c:v>Loire-Atlant.</c:v>
                </c:pt>
                <c:pt idx="3">
                  <c:v>Bouches-du-R.</c:v>
                </c:pt>
                <c:pt idx="4">
                  <c:v>Gironde</c:v>
                </c:pt>
                <c:pt idx="5">
                  <c:v>Ille-et-Vilaine</c:v>
                </c:pt>
                <c:pt idx="6">
                  <c:v>Nord</c:v>
                </c:pt>
                <c:pt idx="7">
                  <c:v>Bas-Rhin</c:v>
                </c:pt>
                <c:pt idx="8">
                  <c:v>F. Métro</c:v>
                </c:pt>
                <c:pt idx="9">
                  <c:v>Isère</c:v>
                </c:pt>
                <c:pt idx="10">
                  <c:v>Alpes-M.</c:v>
                </c:pt>
                <c:pt idx="11">
                  <c:v>Seine-Marit.</c:v>
                </c:pt>
                <c:pt idx="12">
                  <c:v>Hérault</c:v>
                </c:pt>
                <c:pt idx="13">
                  <c:v>Vaucluse</c:v>
                </c:pt>
                <c:pt idx="14">
                  <c:v>Var</c:v>
                </c:pt>
                <c:pt idx="15">
                  <c:v>Pas-de-Calais</c:v>
                </c:pt>
              </c:strCache>
            </c:strRef>
          </c:cat>
          <c:val>
            <c:numRef>
              <c:f>'D_Ch2-2'!$I$119:$I$134</c:f>
              <c:numCache>
                <c:formatCode>0.00</c:formatCode>
                <c:ptCount val="16"/>
                <c:pt idx="0">
                  <c:v>15.096236599880445</c:v>
                </c:pt>
                <c:pt idx="1">
                  <c:v>10.124081087889742</c:v>
                </c:pt>
                <c:pt idx="2">
                  <c:v>8.3492520180374594</c:v>
                </c:pt>
                <c:pt idx="3">
                  <c:v>6.3081107642782737</c:v>
                </c:pt>
                <c:pt idx="4">
                  <c:v>8.6937440529738836</c:v>
                </c:pt>
                <c:pt idx="5">
                  <c:v>5.0740735357570017</c:v>
                </c:pt>
                <c:pt idx="6">
                  <c:v>5.625169078405392</c:v>
                </c:pt>
                <c:pt idx="7">
                  <c:v>5.4129916811878385</c:v>
                </c:pt>
                <c:pt idx="8">
                  <c:v>6.6432342315808111</c:v>
                </c:pt>
                <c:pt idx="9">
                  <c:v>4.5219488589076526</c:v>
                </c:pt>
                <c:pt idx="10">
                  <c:v>3.737463300033923</c:v>
                </c:pt>
                <c:pt idx="11">
                  <c:v>4.3772747621426014</c:v>
                </c:pt>
                <c:pt idx="12">
                  <c:v>3.8426805912205739</c:v>
                </c:pt>
                <c:pt idx="13">
                  <c:v>4.2181788578380361</c:v>
                </c:pt>
                <c:pt idx="14">
                  <c:v>2.4110090089617588</c:v>
                </c:pt>
                <c:pt idx="15">
                  <c:v>1.8787755124917973</c:v>
                </c:pt>
              </c:numCache>
            </c:numRef>
          </c:val>
        </c:ser>
        <c:ser>
          <c:idx val="8"/>
          <c:order val="8"/>
          <c:tx>
            <c:strRef>
              <c:f>'D_Ch2-2'!$J$118</c:f>
              <c:strCache>
                <c:ptCount val="1"/>
                <c:pt idx="0">
                  <c:v>Immobilier</c:v>
                </c:pt>
              </c:strCache>
            </c:strRef>
          </c:tx>
          <c:spPr>
            <a:solidFill>
              <a:srgbClr val="00B050"/>
            </a:solidFill>
          </c:spPr>
          <c:invertIfNegative val="0"/>
          <c:cat>
            <c:strRef>
              <c:f>'D_Ch2-2'!$A$119:$A$134</c:f>
              <c:strCache>
                <c:ptCount val="16"/>
                <c:pt idx="0">
                  <c:v>Rhône</c:v>
                </c:pt>
                <c:pt idx="1">
                  <c:v>Hte-Garonne</c:v>
                </c:pt>
                <c:pt idx="2">
                  <c:v>Loire-Atlant.</c:v>
                </c:pt>
                <c:pt idx="3">
                  <c:v>Bouches-du-R.</c:v>
                </c:pt>
                <c:pt idx="4">
                  <c:v>Gironde</c:v>
                </c:pt>
                <c:pt idx="5">
                  <c:v>Ille-et-Vilaine</c:v>
                </c:pt>
                <c:pt idx="6">
                  <c:v>Nord</c:v>
                </c:pt>
                <c:pt idx="7">
                  <c:v>Bas-Rhin</c:v>
                </c:pt>
                <c:pt idx="8">
                  <c:v>F. Métro</c:v>
                </c:pt>
                <c:pt idx="9">
                  <c:v>Isère</c:v>
                </c:pt>
                <c:pt idx="10">
                  <c:v>Alpes-M.</c:v>
                </c:pt>
                <c:pt idx="11">
                  <c:v>Seine-Marit.</c:v>
                </c:pt>
                <c:pt idx="12">
                  <c:v>Hérault</c:v>
                </c:pt>
                <c:pt idx="13">
                  <c:v>Vaucluse</c:v>
                </c:pt>
                <c:pt idx="14">
                  <c:v>Var</c:v>
                </c:pt>
                <c:pt idx="15">
                  <c:v>Pas-de-Calais</c:v>
                </c:pt>
              </c:strCache>
            </c:strRef>
          </c:cat>
          <c:val>
            <c:numRef>
              <c:f>'D_Ch2-2'!$J$119:$J$134</c:f>
              <c:numCache>
                <c:formatCode>0.00</c:formatCode>
                <c:ptCount val="16"/>
                <c:pt idx="0">
                  <c:v>5.1667401320717579</c:v>
                </c:pt>
                <c:pt idx="1">
                  <c:v>2.9966159789881117</c:v>
                </c:pt>
                <c:pt idx="2">
                  <c:v>2.4049866088070071</c:v>
                </c:pt>
                <c:pt idx="3">
                  <c:v>3.1874180509493963</c:v>
                </c:pt>
                <c:pt idx="4">
                  <c:v>3.5167842196796695</c:v>
                </c:pt>
                <c:pt idx="5">
                  <c:v>1.7257477459875938</c:v>
                </c:pt>
                <c:pt idx="6">
                  <c:v>2.0156211071865262</c:v>
                </c:pt>
                <c:pt idx="7">
                  <c:v>2.1318859544370565</c:v>
                </c:pt>
                <c:pt idx="8">
                  <c:v>1.8389623288993642</c:v>
                </c:pt>
                <c:pt idx="9">
                  <c:v>0.96457953474992597</c:v>
                </c:pt>
                <c:pt idx="10">
                  <c:v>2.4823450276344712</c:v>
                </c:pt>
                <c:pt idx="11">
                  <c:v>2.0862910287190459</c:v>
                </c:pt>
                <c:pt idx="12">
                  <c:v>2.175635334735178</c:v>
                </c:pt>
                <c:pt idx="13">
                  <c:v>1.4430611882077491</c:v>
                </c:pt>
                <c:pt idx="14">
                  <c:v>1.3497529067264549</c:v>
                </c:pt>
                <c:pt idx="15">
                  <c:v>0.44497314769542573</c:v>
                </c:pt>
              </c:numCache>
            </c:numRef>
          </c:val>
        </c:ser>
        <c:ser>
          <c:idx val="9"/>
          <c:order val="9"/>
          <c:tx>
            <c:strRef>
              <c:f>'D_Ch2-2'!$K$118</c:f>
              <c:strCache>
                <c:ptCount val="1"/>
                <c:pt idx="0">
                  <c:v>Activités scientifiques ; services administratifs, de soutien</c:v>
                </c:pt>
              </c:strCache>
            </c:strRef>
          </c:tx>
          <c:spPr>
            <a:solidFill>
              <a:schemeClr val="bg2">
                <a:lumMod val="75000"/>
              </a:schemeClr>
            </a:solidFill>
          </c:spPr>
          <c:invertIfNegative val="0"/>
          <c:cat>
            <c:strRef>
              <c:f>'D_Ch2-2'!$A$119:$A$134</c:f>
              <c:strCache>
                <c:ptCount val="16"/>
                <c:pt idx="0">
                  <c:v>Rhône</c:v>
                </c:pt>
                <c:pt idx="1">
                  <c:v>Hte-Garonne</c:v>
                </c:pt>
                <c:pt idx="2">
                  <c:v>Loire-Atlant.</c:v>
                </c:pt>
                <c:pt idx="3">
                  <c:v>Bouches-du-R.</c:v>
                </c:pt>
                <c:pt idx="4">
                  <c:v>Gironde</c:v>
                </c:pt>
                <c:pt idx="5">
                  <c:v>Ille-et-Vilaine</c:v>
                </c:pt>
                <c:pt idx="6">
                  <c:v>Nord</c:v>
                </c:pt>
                <c:pt idx="7">
                  <c:v>Bas-Rhin</c:v>
                </c:pt>
                <c:pt idx="8">
                  <c:v>F. Métro</c:v>
                </c:pt>
                <c:pt idx="9">
                  <c:v>Isère</c:v>
                </c:pt>
                <c:pt idx="10">
                  <c:v>Alpes-M.</c:v>
                </c:pt>
                <c:pt idx="11">
                  <c:v>Seine-Marit.</c:v>
                </c:pt>
                <c:pt idx="12">
                  <c:v>Hérault</c:v>
                </c:pt>
                <c:pt idx="13">
                  <c:v>Vaucluse</c:v>
                </c:pt>
                <c:pt idx="14">
                  <c:v>Var</c:v>
                </c:pt>
                <c:pt idx="15">
                  <c:v>Pas-de-Calais</c:v>
                </c:pt>
              </c:strCache>
            </c:strRef>
          </c:cat>
          <c:val>
            <c:numRef>
              <c:f>'D_Ch2-2'!$K$119:$K$134</c:f>
              <c:numCache>
                <c:formatCode>0.00</c:formatCode>
                <c:ptCount val="16"/>
                <c:pt idx="0">
                  <c:v>258.83667077273884</c:v>
                </c:pt>
                <c:pt idx="1">
                  <c:v>214.75514468108028</c:v>
                </c:pt>
                <c:pt idx="2">
                  <c:v>161.32793753167479</c:v>
                </c:pt>
                <c:pt idx="3">
                  <c:v>133.84076183020363</c:v>
                </c:pt>
                <c:pt idx="4">
                  <c:v>105.01561238333539</c:v>
                </c:pt>
                <c:pt idx="5">
                  <c:v>98.142523989207518</c:v>
                </c:pt>
                <c:pt idx="6">
                  <c:v>97.922045765831413</c:v>
                </c:pt>
                <c:pt idx="7">
                  <c:v>90.505220909460661</c:v>
                </c:pt>
                <c:pt idx="8">
                  <c:v>91.722236095791061</c:v>
                </c:pt>
                <c:pt idx="9">
                  <c:v>91.403556712902983</c:v>
                </c:pt>
                <c:pt idx="10">
                  <c:v>91.465581954561529</c:v>
                </c:pt>
                <c:pt idx="11">
                  <c:v>69.989159416272898</c:v>
                </c:pt>
                <c:pt idx="12">
                  <c:v>78.709023776544967</c:v>
                </c:pt>
                <c:pt idx="13">
                  <c:v>51.617188655123329</c:v>
                </c:pt>
                <c:pt idx="14">
                  <c:v>32.86802879738466</c:v>
                </c:pt>
                <c:pt idx="15">
                  <c:v>17.791862841980592</c:v>
                </c:pt>
              </c:numCache>
            </c:numRef>
          </c:val>
        </c:ser>
        <c:ser>
          <c:idx val="10"/>
          <c:order val="10"/>
          <c:tx>
            <c:strRef>
              <c:f>'D_Ch2-2'!$L$118</c:f>
              <c:strCache>
                <c:ptCount val="1"/>
                <c:pt idx="0">
                  <c:v>Admin. Pub., enseignement, santé action soc.</c:v>
                </c:pt>
              </c:strCache>
            </c:strRef>
          </c:tx>
          <c:spPr>
            <a:solidFill>
              <a:srgbClr val="3DA5C1"/>
            </a:solidFill>
          </c:spPr>
          <c:invertIfNegative val="0"/>
          <c:cat>
            <c:strRef>
              <c:f>'D_Ch2-2'!$A$119:$A$134</c:f>
              <c:strCache>
                <c:ptCount val="16"/>
                <c:pt idx="0">
                  <c:v>Rhône</c:v>
                </c:pt>
                <c:pt idx="1">
                  <c:v>Hte-Garonne</c:v>
                </c:pt>
                <c:pt idx="2">
                  <c:v>Loire-Atlant.</c:v>
                </c:pt>
                <c:pt idx="3">
                  <c:v>Bouches-du-R.</c:v>
                </c:pt>
                <c:pt idx="4">
                  <c:v>Gironde</c:v>
                </c:pt>
                <c:pt idx="5">
                  <c:v>Ille-et-Vilaine</c:v>
                </c:pt>
                <c:pt idx="6">
                  <c:v>Nord</c:v>
                </c:pt>
                <c:pt idx="7">
                  <c:v>Bas-Rhin</c:v>
                </c:pt>
                <c:pt idx="8">
                  <c:v>F. Métro</c:v>
                </c:pt>
                <c:pt idx="9">
                  <c:v>Isère</c:v>
                </c:pt>
                <c:pt idx="10">
                  <c:v>Alpes-M.</c:v>
                </c:pt>
                <c:pt idx="11">
                  <c:v>Seine-Marit.</c:v>
                </c:pt>
                <c:pt idx="12">
                  <c:v>Hérault</c:v>
                </c:pt>
                <c:pt idx="13">
                  <c:v>Vaucluse</c:v>
                </c:pt>
                <c:pt idx="14">
                  <c:v>Var</c:v>
                </c:pt>
                <c:pt idx="15">
                  <c:v>Pas-de-Calais</c:v>
                </c:pt>
              </c:strCache>
            </c:strRef>
          </c:cat>
          <c:val>
            <c:numRef>
              <c:f>'D_Ch2-2'!$L$119:$L$134</c:f>
              <c:numCache>
                <c:formatCode>0.00</c:formatCode>
                <c:ptCount val="16"/>
                <c:pt idx="0">
                  <c:v>11.906890839342323</c:v>
                </c:pt>
                <c:pt idx="1">
                  <c:v>4.6349527525470329</c:v>
                </c:pt>
                <c:pt idx="2">
                  <c:v>8.6076983401779152</c:v>
                </c:pt>
                <c:pt idx="3">
                  <c:v>8.5973031164899183</c:v>
                </c:pt>
                <c:pt idx="4">
                  <c:v>5.8042780995073464</c:v>
                </c:pt>
                <c:pt idx="5">
                  <c:v>11.226739412756249</c:v>
                </c:pt>
                <c:pt idx="6">
                  <c:v>6.0081757763160759</c:v>
                </c:pt>
                <c:pt idx="7">
                  <c:v>5.646166707454392</c:v>
                </c:pt>
                <c:pt idx="8">
                  <c:v>7.17853553236914</c:v>
                </c:pt>
                <c:pt idx="9">
                  <c:v>4.4679324049616573</c:v>
                </c:pt>
                <c:pt idx="10">
                  <c:v>6.2569970172209706</c:v>
                </c:pt>
                <c:pt idx="11">
                  <c:v>5.4558478600086753</c:v>
                </c:pt>
                <c:pt idx="12">
                  <c:v>3.8426805912205739</c:v>
                </c:pt>
                <c:pt idx="13">
                  <c:v>5.4207298480111596</c:v>
                </c:pt>
                <c:pt idx="14">
                  <c:v>3.8328861168110011</c:v>
                </c:pt>
                <c:pt idx="15">
                  <c:v>2.5427037011167184</c:v>
                </c:pt>
              </c:numCache>
            </c:numRef>
          </c:val>
        </c:ser>
        <c:dLbls>
          <c:showLegendKey val="0"/>
          <c:showVal val="0"/>
          <c:showCatName val="0"/>
          <c:showSerName val="0"/>
          <c:showPercent val="0"/>
          <c:showBubbleSize val="0"/>
        </c:dLbls>
        <c:gapWidth val="150"/>
        <c:overlap val="100"/>
        <c:axId val="131269376"/>
        <c:axId val="131270912"/>
      </c:barChart>
      <c:catAx>
        <c:axId val="131269376"/>
        <c:scaling>
          <c:orientation val="minMax"/>
        </c:scaling>
        <c:delete val="0"/>
        <c:axPos val="b"/>
        <c:majorTickMark val="out"/>
        <c:minorTickMark val="none"/>
        <c:tickLblPos val="nextTo"/>
        <c:txPr>
          <a:bodyPr/>
          <a:lstStyle/>
          <a:p>
            <a:pPr>
              <a:defRPr sz="800"/>
            </a:pPr>
            <a:endParaRPr lang="fr-FR"/>
          </a:p>
        </c:txPr>
        <c:crossAx val="131270912"/>
        <c:crosses val="autoZero"/>
        <c:auto val="1"/>
        <c:lblAlgn val="ctr"/>
        <c:lblOffset val="100"/>
        <c:noMultiLvlLbl val="0"/>
      </c:catAx>
      <c:valAx>
        <c:axId val="131270912"/>
        <c:scaling>
          <c:orientation val="minMax"/>
        </c:scaling>
        <c:delete val="0"/>
        <c:axPos val="l"/>
        <c:majorGridlines/>
        <c:numFmt formatCode="0" sourceLinked="0"/>
        <c:majorTickMark val="out"/>
        <c:minorTickMark val="none"/>
        <c:tickLblPos val="nextTo"/>
        <c:txPr>
          <a:bodyPr/>
          <a:lstStyle/>
          <a:p>
            <a:pPr>
              <a:defRPr sz="800"/>
            </a:pPr>
            <a:endParaRPr lang="fr-FR"/>
          </a:p>
        </c:txPr>
        <c:crossAx val="131269376"/>
        <c:crosses val="autoZero"/>
        <c:crossBetween val="between"/>
      </c:valAx>
    </c:plotArea>
    <c:legend>
      <c:legendPos val="r"/>
      <c:layout>
        <c:manualLayout>
          <c:xMode val="edge"/>
          <c:yMode val="edge"/>
          <c:x val="0.71501097527700086"/>
          <c:y val="1.7418172148224081E-2"/>
          <c:w val="0.28112148815498406"/>
          <c:h val="0.96516365570355178"/>
        </c:manualLayout>
      </c:layout>
      <c:overlay val="0"/>
      <c:txPr>
        <a:bodyPr/>
        <a:lstStyle/>
        <a:p>
          <a:pPr>
            <a:defRPr sz="8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852959391312045"/>
          <c:y val="3.8033490481835026E-2"/>
          <c:w val="0.69274646848919152"/>
          <c:h val="0.89877631693047899"/>
        </c:manualLayout>
      </c:layout>
      <c:barChart>
        <c:barDir val="col"/>
        <c:grouping val="percentStacked"/>
        <c:varyColors val="0"/>
        <c:ser>
          <c:idx val="0"/>
          <c:order val="0"/>
          <c:tx>
            <c:strRef>
              <c:f>'Population active'!$A$28:$B$28</c:f>
              <c:strCache>
                <c:ptCount val="1"/>
                <c:pt idx="0">
                  <c:v>Agriculteurs</c:v>
                </c:pt>
              </c:strCache>
            </c:strRef>
          </c:tx>
          <c:spPr>
            <a:solidFill>
              <a:schemeClr val="accent5">
                <a:lumMod val="75000"/>
              </a:schemeClr>
            </a:solidFill>
          </c:spPr>
          <c:invertIfNegative val="0"/>
          <c:cat>
            <c:strRef>
              <c:f>'Population active'!$C$27:$F$27</c:f>
              <c:strCache>
                <c:ptCount val="3"/>
                <c:pt idx="0">
                  <c:v>Gironde</c:v>
                </c:pt>
                <c:pt idx="2">
                  <c:v>Aquitaine</c:v>
                </c:pt>
              </c:strCache>
            </c:strRef>
          </c:cat>
          <c:val>
            <c:numRef>
              <c:f>'Population active'!$C$28:$F$28</c:f>
              <c:numCache>
                <c:formatCode>0.0%</c:formatCode>
                <c:ptCount val="4"/>
                <c:pt idx="0">
                  <c:v>1.2346023772948425E-2</c:v>
                </c:pt>
                <c:pt idx="2">
                  <c:v>2.4161830879302938E-2</c:v>
                </c:pt>
              </c:numCache>
            </c:numRef>
          </c:val>
        </c:ser>
        <c:ser>
          <c:idx val="1"/>
          <c:order val="1"/>
          <c:tx>
            <c:strRef>
              <c:f>'Population active'!$A$29:$B$29</c:f>
              <c:strCache>
                <c:ptCount val="1"/>
                <c:pt idx="0">
                  <c:v>Artisans</c:v>
                </c:pt>
              </c:strCache>
            </c:strRef>
          </c:tx>
          <c:spPr>
            <a:solidFill>
              <a:srgbClr val="FF9999"/>
            </a:solidFill>
          </c:spPr>
          <c:invertIfNegative val="0"/>
          <c:dLbls>
            <c:dLbl>
              <c:idx val="3"/>
              <c:layout>
                <c:manualLayout>
                  <c:x val="0"/>
                  <c:y val="-7.4696611185317589E-3"/>
                </c:manualLayout>
              </c:layout>
              <c:showLegendKey val="0"/>
              <c:showVal val="1"/>
              <c:showCatName val="0"/>
              <c:showSerName val="0"/>
              <c:showPercent val="0"/>
              <c:showBubbleSize val="0"/>
            </c:dLbl>
            <c:numFmt formatCode="0%" sourceLinked="0"/>
            <c:txPr>
              <a:bodyPr/>
              <a:lstStyle/>
              <a:p>
                <a:pPr>
                  <a:defRPr sz="900" b="1"/>
                </a:pPr>
                <a:endParaRPr lang="fr-FR"/>
              </a:p>
            </c:txPr>
            <c:showLegendKey val="0"/>
            <c:showVal val="1"/>
            <c:showCatName val="0"/>
            <c:showSerName val="0"/>
            <c:showPercent val="0"/>
            <c:showBubbleSize val="0"/>
            <c:showLeaderLines val="0"/>
          </c:dLbls>
          <c:cat>
            <c:strRef>
              <c:f>'Population active'!$C$27:$F$27</c:f>
              <c:strCache>
                <c:ptCount val="3"/>
                <c:pt idx="0">
                  <c:v>Gironde</c:v>
                </c:pt>
                <c:pt idx="2">
                  <c:v>Aquitaine</c:v>
                </c:pt>
              </c:strCache>
            </c:strRef>
          </c:cat>
          <c:val>
            <c:numRef>
              <c:f>'Population active'!$C$29:$F$29</c:f>
              <c:numCache>
                <c:formatCode>0.0%</c:formatCode>
                <c:ptCount val="4"/>
                <c:pt idx="0">
                  <c:v>7.0054319938053916E-2</c:v>
                </c:pt>
                <c:pt idx="2">
                  <c:v>7.8398675570172674E-2</c:v>
                </c:pt>
              </c:numCache>
            </c:numRef>
          </c:val>
        </c:ser>
        <c:ser>
          <c:idx val="2"/>
          <c:order val="2"/>
          <c:tx>
            <c:strRef>
              <c:f>'Population active'!$A$30:$B$30</c:f>
              <c:strCache>
                <c:ptCount val="1"/>
                <c:pt idx="0">
                  <c:v>Cadres / prof. intellectuelles</c:v>
                </c:pt>
              </c:strCache>
            </c:strRef>
          </c:tx>
          <c:spPr>
            <a:solidFill>
              <a:schemeClr val="accent3">
                <a:lumMod val="60000"/>
                <a:lumOff val="40000"/>
              </a:schemeClr>
            </a:solidFill>
          </c:spPr>
          <c:invertIfNegative val="0"/>
          <c:dLbls>
            <c:numFmt formatCode="0%" sourceLinked="0"/>
            <c:txPr>
              <a:bodyPr/>
              <a:lstStyle/>
              <a:p>
                <a:pPr>
                  <a:defRPr sz="900" b="1"/>
                </a:pPr>
                <a:endParaRPr lang="fr-FR"/>
              </a:p>
            </c:txPr>
            <c:showLegendKey val="0"/>
            <c:showVal val="1"/>
            <c:showCatName val="0"/>
            <c:showSerName val="0"/>
            <c:showPercent val="0"/>
            <c:showBubbleSize val="0"/>
            <c:showLeaderLines val="0"/>
          </c:dLbls>
          <c:cat>
            <c:strRef>
              <c:f>'Population active'!$C$27:$F$27</c:f>
              <c:strCache>
                <c:ptCount val="3"/>
                <c:pt idx="0">
                  <c:v>Gironde</c:v>
                </c:pt>
                <c:pt idx="2">
                  <c:v>Aquitaine</c:v>
                </c:pt>
              </c:strCache>
            </c:strRef>
          </c:cat>
          <c:val>
            <c:numRef>
              <c:f>'Population active'!$C$30:$F$30</c:f>
              <c:numCache>
                <c:formatCode>0.0%</c:formatCode>
                <c:ptCount val="4"/>
                <c:pt idx="0">
                  <c:v>0.17464410446775738</c:v>
                </c:pt>
                <c:pt idx="2">
                  <c:v>0.14015318787773937</c:v>
                </c:pt>
              </c:numCache>
            </c:numRef>
          </c:val>
        </c:ser>
        <c:ser>
          <c:idx val="3"/>
          <c:order val="3"/>
          <c:tx>
            <c:strRef>
              <c:f>'Population active'!$A$31:$B$31</c:f>
              <c:strCache>
                <c:ptCount val="1"/>
                <c:pt idx="0">
                  <c:v>Prof. intermédiaires</c:v>
                </c:pt>
              </c:strCache>
            </c:strRef>
          </c:tx>
          <c:spPr>
            <a:solidFill>
              <a:srgbClr val="FFFF99"/>
            </a:solidFill>
          </c:spPr>
          <c:invertIfNegative val="0"/>
          <c:dLbls>
            <c:numFmt formatCode="0%" sourceLinked="0"/>
            <c:txPr>
              <a:bodyPr/>
              <a:lstStyle/>
              <a:p>
                <a:pPr>
                  <a:defRPr sz="900" b="1"/>
                </a:pPr>
                <a:endParaRPr lang="fr-FR"/>
              </a:p>
            </c:txPr>
            <c:showLegendKey val="0"/>
            <c:showVal val="1"/>
            <c:showCatName val="0"/>
            <c:showSerName val="0"/>
            <c:showPercent val="0"/>
            <c:showBubbleSize val="0"/>
            <c:showLeaderLines val="0"/>
          </c:dLbls>
          <c:cat>
            <c:strRef>
              <c:f>'Population active'!$C$27:$F$27</c:f>
              <c:strCache>
                <c:ptCount val="3"/>
                <c:pt idx="0">
                  <c:v>Gironde</c:v>
                </c:pt>
                <c:pt idx="2">
                  <c:v>Aquitaine</c:v>
                </c:pt>
              </c:strCache>
            </c:strRef>
          </c:cat>
          <c:val>
            <c:numRef>
              <c:f>'Population active'!$C$31:$F$31</c:f>
              <c:numCache>
                <c:formatCode>0.0%</c:formatCode>
                <c:ptCount val="4"/>
                <c:pt idx="0">
                  <c:v>0.2674040139138702</c:v>
                </c:pt>
                <c:pt idx="2">
                  <c:v>0.25407809846680091</c:v>
                </c:pt>
              </c:numCache>
            </c:numRef>
          </c:val>
        </c:ser>
        <c:ser>
          <c:idx val="4"/>
          <c:order val="4"/>
          <c:tx>
            <c:strRef>
              <c:f>'Population active'!$A$32:$B$32</c:f>
              <c:strCache>
                <c:ptCount val="1"/>
                <c:pt idx="0">
                  <c:v>Employés</c:v>
                </c:pt>
              </c:strCache>
            </c:strRef>
          </c:tx>
          <c:invertIfNegative val="0"/>
          <c:dLbls>
            <c:numFmt formatCode="0%" sourceLinked="0"/>
            <c:txPr>
              <a:bodyPr/>
              <a:lstStyle/>
              <a:p>
                <a:pPr algn="ctr">
                  <a:defRPr lang="fr-FR" sz="9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dLbls>
          <c:cat>
            <c:strRef>
              <c:f>'Population active'!$C$27:$F$27</c:f>
              <c:strCache>
                <c:ptCount val="3"/>
                <c:pt idx="0">
                  <c:v>Gironde</c:v>
                </c:pt>
                <c:pt idx="2">
                  <c:v>Aquitaine</c:v>
                </c:pt>
              </c:strCache>
            </c:strRef>
          </c:cat>
          <c:val>
            <c:numRef>
              <c:f>'Population active'!$C$32:$F$32</c:f>
              <c:numCache>
                <c:formatCode>0.0%</c:formatCode>
                <c:ptCount val="4"/>
                <c:pt idx="0">
                  <c:v>0.28292477059473897</c:v>
                </c:pt>
                <c:pt idx="2">
                  <c:v>0.29053375470569159</c:v>
                </c:pt>
              </c:numCache>
            </c:numRef>
          </c:val>
        </c:ser>
        <c:ser>
          <c:idx val="5"/>
          <c:order val="5"/>
          <c:tx>
            <c:strRef>
              <c:f>'Population active'!$A$33:$B$33</c:f>
              <c:strCache>
                <c:ptCount val="1"/>
                <c:pt idx="0">
                  <c:v>Ouvriers</c:v>
                </c:pt>
              </c:strCache>
            </c:strRef>
          </c:tx>
          <c:invertIfNegative val="0"/>
          <c:dLbls>
            <c:numFmt formatCode="0%" sourceLinked="0"/>
            <c:txPr>
              <a:bodyPr/>
              <a:lstStyle/>
              <a:p>
                <a:pPr algn="ctr">
                  <a:defRPr lang="fr-FR" sz="9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dLbls>
          <c:cat>
            <c:strRef>
              <c:f>'Population active'!$C$27:$F$27</c:f>
              <c:strCache>
                <c:ptCount val="3"/>
                <c:pt idx="0">
                  <c:v>Gironde</c:v>
                </c:pt>
                <c:pt idx="2">
                  <c:v>Aquitaine</c:v>
                </c:pt>
              </c:strCache>
            </c:strRef>
          </c:cat>
          <c:val>
            <c:numRef>
              <c:f>'Population active'!$C$33:$F$33</c:f>
              <c:numCache>
                <c:formatCode>0.0%</c:formatCode>
                <c:ptCount val="4"/>
                <c:pt idx="0">
                  <c:v>0.19311416560890984</c:v>
                </c:pt>
                <c:pt idx="2">
                  <c:v>0.21352617118510375</c:v>
                </c:pt>
              </c:numCache>
            </c:numRef>
          </c:val>
        </c:ser>
        <c:dLbls>
          <c:showLegendKey val="0"/>
          <c:showVal val="0"/>
          <c:showCatName val="0"/>
          <c:showSerName val="0"/>
          <c:showPercent val="0"/>
          <c:showBubbleSize val="0"/>
        </c:dLbls>
        <c:gapWidth val="195"/>
        <c:overlap val="100"/>
        <c:serLines>
          <c:spPr>
            <a:ln>
              <a:solidFill>
                <a:schemeClr val="bg1">
                  <a:lumMod val="75000"/>
                </a:schemeClr>
              </a:solidFill>
              <a:prstDash val="dashDot"/>
            </a:ln>
          </c:spPr>
        </c:serLines>
        <c:axId val="131552000"/>
        <c:axId val="131553536"/>
      </c:barChart>
      <c:catAx>
        <c:axId val="131552000"/>
        <c:scaling>
          <c:orientation val="minMax"/>
        </c:scaling>
        <c:delete val="1"/>
        <c:axPos val="b"/>
        <c:majorTickMark val="out"/>
        <c:minorTickMark val="none"/>
        <c:tickLblPos val="nextTo"/>
        <c:crossAx val="131553536"/>
        <c:crosses val="autoZero"/>
        <c:auto val="1"/>
        <c:lblAlgn val="ctr"/>
        <c:lblOffset val="100"/>
        <c:noMultiLvlLbl val="0"/>
      </c:catAx>
      <c:valAx>
        <c:axId val="131553536"/>
        <c:scaling>
          <c:orientation val="minMax"/>
        </c:scaling>
        <c:delete val="1"/>
        <c:axPos val="l"/>
        <c:majorGridlines>
          <c:spPr>
            <a:ln>
              <a:noFill/>
            </a:ln>
          </c:spPr>
        </c:majorGridlines>
        <c:numFmt formatCode="0%" sourceLinked="1"/>
        <c:majorTickMark val="out"/>
        <c:minorTickMark val="none"/>
        <c:tickLblPos val="nextTo"/>
        <c:crossAx val="131552000"/>
        <c:crosses val="autoZero"/>
        <c:crossBetween val="between"/>
      </c:valAx>
    </c:plotArea>
    <c:legend>
      <c:legendPos val="l"/>
      <c:layout>
        <c:manualLayout>
          <c:xMode val="edge"/>
          <c:yMode val="edge"/>
          <c:x val="1.2779552715654952E-2"/>
          <c:y val="2.3353164048253446E-2"/>
          <c:w val="0.29180296283189322"/>
          <c:h val="0.92294837973933808"/>
        </c:manualLayout>
      </c:layout>
      <c:overlay val="0"/>
      <c:txPr>
        <a:bodyPr/>
        <a:lstStyle/>
        <a:p>
          <a:pPr>
            <a:defRPr sz="9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874829670681409"/>
          <c:y val="3.0651340996168581E-2"/>
          <c:w val="0.81125170329318597"/>
          <c:h val="0.88505747126436785"/>
        </c:manualLayout>
      </c:layout>
      <c:barChart>
        <c:barDir val="col"/>
        <c:grouping val="percentStacked"/>
        <c:varyColors val="0"/>
        <c:ser>
          <c:idx val="2"/>
          <c:order val="0"/>
          <c:tx>
            <c:strRef>
              <c:f>'Population active'!$A$44</c:f>
              <c:strCache>
                <c:ptCount val="1"/>
                <c:pt idx="0">
                  <c:v>Sans diplôme</c:v>
                </c:pt>
              </c:strCache>
            </c:strRef>
          </c:tx>
          <c:spPr>
            <a:solidFill>
              <a:srgbClr val="92D050"/>
            </a:solidFill>
          </c:spPr>
          <c:invertIfNegative val="0"/>
          <c:dLbls>
            <c:numFmt formatCode="0%" sourceLinked="0"/>
            <c:txPr>
              <a:bodyPr/>
              <a:lstStyle/>
              <a:p>
                <a:pPr>
                  <a:defRPr sz="800" b="1">
                    <a:latin typeface="Avenir LT Std 35 Light" pitchFamily="34" charset="0"/>
                  </a:defRPr>
                </a:pPr>
                <a:endParaRPr lang="fr-FR"/>
              </a:p>
            </c:txPr>
            <c:dLblPos val="ctr"/>
            <c:showLegendKey val="0"/>
            <c:showVal val="1"/>
            <c:showCatName val="0"/>
            <c:showSerName val="0"/>
            <c:showPercent val="0"/>
            <c:showBubbleSize val="0"/>
            <c:showLeaderLines val="0"/>
          </c:dLbls>
          <c:val>
            <c:numRef>
              <c:f>'Population active'!$B$44:$F$44</c:f>
              <c:numCache>
                <c:formatCode>0.0%</c:formatCode>
                <c:ptCount val="5"/>
                <c:pt idx="1">
                  <c:v>0.28563952629102846</c:v>
                </c:pt>
                <c:pt idx="3">
                  <c:v>0.3077110142849826</c:v>
                </c:pt>
              </c:numCache>
            </c:numRef>
          </c:val>
        </c:ser>
        <c:ser>
          <c:idx val="3"/>
          <c:order val="1"/>
          <c:tx>
            <c:strRef>
              <c:f>'Population active'!$A$43</c:f>
              <c:strCache>
                <c:ptCount val="1"/>
                <c:pt idx="0">
                  <c:v>CAP BEP</c:v>
                </c:pt>
              </c:strCache>
            </c:strRef>
          </c:tx>
          <c:spPr>
            <a:solidFill>
              <a:schemeClr val="accent4">
                <a:lumMod val="40000"/>
                <a:lumOff val="60000"/>
              </a:schemeClr>
            </a:solidFill>
          </c:spPr>
          <c:invertIfNegative val="0"/>
          <c:dLbls>
            <c:numFmt formatCode="0%" sourceLinked="0"/>
            <c:txPr>
              <a:bodyPr/>
              <a:lstStyle/>
              <a:p>
                <a:pPr>
                  <a:defRPr sz="800" b="1">
                    <a:latin typeface="Avenir LT Std 35 Light" pitchFamily="34" charset="0"/>
                  </a:defRPr>
                </a:pPr>
                <a:endParaRPr lang="fr-FR"/>
              </a:p>
            </c:txPr>
            <c:dLblPos val="ctr"/>
            <c:showLegendKey val="0"/>
            <c:showVal val="1"/>
            <c:showCatName val="0"/>
            <c:showSerName val="0"/>
            <c:showPercent val="0"/>
            <c:showBubbleSize val="0"/>
            <c:showLeaderLines val="0"/>
          </c:dLbls>
          <c:val>
            <c:numRef>
              <c:f>'Population active'!$B$43:$F$43</c:f>
              <c:numCache>
                <c:formatCode>0.0%</c:formatCode>
                <c:ptCount val="5"/>
                <c:pt idx="1">
                  <c:v>0.24912431625984402</c:v>
                </c:pt>
                <c:pt idx="3">
                  <c:v>0.26278158347991137</c:v>
                </c:pt>
              </c:numCache>
            </c:numRef>
          </c:val>
        </c:ser>
        <c:ser>
          <c:idx val="4"/>
          <c:order val="2"/>
          <c:tx>
            <c:strRef>
              <c:f>'Population active'!$A$42</c:f>
              <c:strCache>
                <c:ptCount val="1"/>
                <c:pt idx="0">
                  <c:v>BAC, BAC Pro</c:v>
                </c:pt>
              </c:strCache>
            </c:strRef>
          </c:tx>
          <c:spPr>
            <a:solidFill>
              <a:schemeClr val="accent5">
                <a:lumMod val="75000"/>
              </a:schemeClr>
            </a:solidFill>
          </c:spPr>
          <c:invertIfNegative val="0"/>
          <c:dLbls>
            <c:numFmt formatCode="0%" sourceLinked="0"/>
            <c:txPr>
              <a:bodyPr/>
              <a:lstStyle/>
              <a:p>
                <a:pPr>
                  <a:defRPr sz="800" b="1">
                    <a:latin typeface="Avenir LT Std 35 Light" pitchFamily="34" charset="0"/>
                  </a:defRPr>
                </a:pPr>
                <a:endParaRPr lang="fr-FR"/>
              </a:p>
            </c:txPr>
            <c:showLegendKey val="0"/>
            <c:showVal val="1"/>
            <c:showCatName val="0"/>
            <c:showSerName val="0"/>
            <c:showPercent val="0"/>
            <c:showBubbleSize val="0"/>
            <c:showLeaderLines val="0"/>
          </c:dLbls>
          <c:val>
            <c:numRef>
              <c:f>'Population active'!$B$42:$F$42</c:f>
              <c:numCache>
                <c:formatCode>0.0%</c:formatCode>
                <c:ptCount val="5"/>
                <c:pt idx="1">
                  <c:v>0.17343122371443548</c:v>
                </c:pt>
                <c:pt idx="3">
                  <c:v>0.17259652950035487</c:v>
                </c:pt>
              </c:numCache>
            </c:numRef>
          </c:val>
        </c:ser>
        <c:ser>
          <c:idx val="5"/>
          <c:order val="3"/>
          <c:tx>
            <c:strRef>
              <c:f>'Population active'!$A$41</c:f>
              <c:strCache>
                <c:ptCount val="1"/>
                <c:pt idx="0">
                  <c:v>Diplôme d'études supérieures</c:v>
                </c:pt>
              </c:strCache>
            </c:strRef>
          </c:tx>
          <c:spPr>
            <a:solidFill>
              <a:schemeClr val="accent6">
                <a:lumMod val="40000"/>
                <a:lumOff val="60000"/>
              </a:schemeClr>
            </a:solidFill>
          </c:spPr>
          <c:invertIfNegative val="0"/>
          <c:dLbls>
            <c:numFmt formatCode="0%" sourceLinked="0"/>
            <c:txPr>
              <a:bodyPr/>
              <a:lstStyle/>
              <a:p>
                <a:pPr>
                  <a:defRPr sz="800" b="1">
                    <a:latin typeface="Avenir LT Std 35 Light" pitchFamily="34" charset="0"/>
                  </a:defRPr>
                </a:pPr>
                <a:endParaRPr lang="fr-FR"/>
              </a:p>
            </c:txPr>
            <c:showLegendKey val="0"/>
            <c:showVal val="1"/>
            <c:showCatName val="0"/>
            <c:showSerName val="0"/>
            <c:showPercent val="0"/>
            <c:showBubbleSize val="0"/>
            <c:showLeaderLines val="0"/>
          </c:dLbls>
          <c:val>
            <c:numRef>
              <c:f>'Population active'!$B$41:$F$41</c:f>
              <c:numCache>
                <c:formatCode>0.0%</c:formatCode>
                <c:ptCount val="5"/>
                <c:pt idx="1">
                  <c:v>0.29180493373469202</c:v>
                </c:pt>
                <c:pt idx="3">
                  <c:v>0.25691087273475111</c:v>
                </c:pt>
              </c:numCache>
            </c:numRef>
          </c:val>
        </c:ser>
        <c:dLbls>
          <c:showLegendKey val="0"/>
          <c:showVal val="0"/>
          <c:showCatName val="0"/>
          <c:showSerName val="0"/>
          <c:showPercent val="0"/>
          <c:showBubbleSize val="0"/>
        </c:dLbls>
        <c:gapWidth val="200"/>
        <c:overlap val="100"/>
        <c:serLines>
          <c:spPr>
            <a:ln>
              <a:solidFill>
                <a:schemeClr val="bg1">
                  <a:lumMod val="75000"/>
                </a:schemeClr>
              </a:solidFill>
              <a:prstDash val="dashDot"/>
            </a:ln>
          </c:spPr>
        </c:serLines>
        <c:axId val="131602688"/>
        <c:axId val="131612672"/>
      </c:barChart>
      <c:catAx>
        <c:axId val="131602688"/>
        <c:scaling>
          <c:orientation val="minMax"/>
        </c:scaling>
        <c:delete val="1"/>
        <c:axPos val="b"/>
        <c:majorTickMark val="out"/>
        <c:minorTickMark val="none"/>
        <c:tickLblPos val="nextTo"/>
        <c:crossAx val="131612672"/>
        <c:crosses val="autoZero"/>
        <c:auto val="1"/>
        <c:lblAlgn val="ctr"/>
        <c:lblOffset val="100"/>
        <c:noMultiLvlLbl val="0"/>
      </c:catAx>
      <c:valAx>
        <c:axId val="131612672"/>
        <c:scaling>
          <c:orientation val="minMax"/>
        </c:scaling>
        <c:delete val="1"/>
        <c:axPos val="l"/>
        <c:majorGridlines>
          <c:spPr>
            <a:ln>
              <a:noFill/>
            </a:ln>
          </c:spPr>
        </c:majorGridlines>
        <c:numFmt formatCode="0%" sourceLinked="1"/>
        <c:majorTickMark val="out"/>
        <c:minorTickMark val="none"/>
        <c:tickLblPos val="nextTo"/>
        <c:crossAx val="131602688"/>
        <c:crosses val="autoZero"/>
        <c:crossBetween val="between"/>
      </c:valAx>
    </c:plotArea>
    <c:legend>
      <c:legendPos val="l"/>
      <c:layout>
        <c:manualLayout>
          <c:xMode val="edge"/>
          <c:yMode val="edge"/>
          <c:x val="1.4109347442680775E-2"/>
          <c:y val="3.0660994961836666E-2"/>
          <c:w val="0.38082562850375407"/>
          <c:h val="0.9270972091791278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156824146981621E-2"/>
          <c:y val="5.9141207349081362E-2"/>
          <c:w val="0.43063168671827423"/>
          <c:h val="0.87179002624671909"/>
        </c:manualLayout>
      </c:layout>
      <c:doughnutChart>
        <c:varyColors val="1"/>
        <c:ser>
          <c:idx val="0"/>
          <c:order val="0"/>
          <c:tx>
            <c:strRef>
              <c:f>Entreprises!$A$28</c:f>
              <c:strCache>
                <c:ptCount val="1"/>
                <c:pt idx="0">
                  <c:v>Gironde</c:v>
                </c:pt>
              </c:strCache>
            </c:strRef>
          </c:tx>
          <c:dPt>
            <c:idx val="0"/>
            <c:bubble3D val="0"/>
            <c:spPr>
              <a:solidFill>
                <a:schemeClr val="accent3">
                  <a:lumMod val="75000"/>
                </a:schemeClr>
              </a:solidFill>
            </c:spPr>
          </c:dPt>
          <c:dPt>
            <c:idx val="1"/>
            <c:bubble3D val="0"/>
            <c:spPr>
              <a:solidFill>
                <a:schemeClr val="bg2">
                  <a:lumMod val="25000"/>
                </a:schemeClr>
              </a:solidFill>
            </c:spPr>
          </c:dPt>
          <c:dPt>
            <c:idx val="2"/>
            <c:bubble3D val="0"/>
            <c:spPr>
              <a:solidFill>
                <a:schemeClr val="accent2">
                  <a:lumMod val="75000"/>
                </a:schemeClr>
              </a:solidFill>
            </c:spPr>
          </c:dPt>
          <c:dPt>
            <c:idx val="3"/>
            <c:bubble3D val="0"/>
            <c:spPr>
              <a:solidFill>
                <a:schemeClr val="accent4">
                  <a:lumMod val="60000"/>
                  <a:lumOff val="40000"/>
                </a:schemeClr>
              </a:solidFill>
            </c:spPr>
          </c:dPt>
          <c:dPt>
            <c:idx val="4"/>
            <c:bubble3D val="0"/>
            <c:spPr>
              <a:solidFill>
                <a:schemeClr val="tx2">
                  <a:lumMod val="60000"/>
                  <a:lumOff val="40000"/>
                </a:schemeClr>
              </a:solidFill>
            </c:spPr>
          </c:dPt>
          <c:dPt>
            <c:idx val="5"/>
            <c:bubble3D val="0"/>
            <c:spPr>
              <a:solidFill>
                <a:schemeClr val="accent6">
                  <a:lumMod val="75000"/>
                </a:schemeClr>
              </a:solidFill>
            </c:spPr>
          </c:dPt>
          <c:dLbls>
            <c:dLbl>
              <c:idx val="0"/>
              <c:layout>
                <c:manualLayout>
                  <c:x val="0"/>
                  <c:y val="-4.6296296296296294E-2"/>
                </c:manualLayout>
              </c:layout>
              <c:showLegendKey val="0"/>
              <c:showVal val="0"/>
              <c:showCatName val="0"/>
              <c:showSerName val="0"/>
              <c:showPercent val="1"/>
              <c:showBubbleSize val="0"/>
            </c:dLbl>
            <c:dLbl>
              <c:idx val="1"/>
              <c:layout>
                <c:manualLayout>
                  <c:x val="-2.7777777777777779E-3"/>
                  <c:y val="2.7777777777777776E-2"/>
                </c:manualLayout>
              </c:layout>
              <c:showLegendKey val="0"/>
              <c:showVal val="0"/>
              <c:showCatName val="0"/>
              <c:showSerName val="0"/>
              <c:showPercent val="1"/>
              <c:showBubbleSize val="0"/>
            </c:dLbl>
            <c:txPr>
              <a:bodyPr/>
              <a:lstStyle/>
              <a:p>
                <a:pPr>
                  <a:defRPr sz="900">
                    <a:solidFill>
                      <a:schemeClr val="bg1"/>
                    </a:solidFill>
                  </a:defRPr>
                </a:pPr>
                <a:endParaRPr lang="fr-FR"/>
              </a:p>
            </c:txPr>
            <c:showLegendKey val="0"/>
            <c:showVal val="0"/>
            <c:showCatName val="0"/>
            <c:showSerName val="0"/>
            <c:showPercent val="1"/>
            <c:showBubbleSize val="0"/>
            <c:showLeaderLines val="1"/>
          </c:dLbls>
          <c:cat>
            <c:strRef>
              <c:f>Entreprises!$B$27:$G$27</c:f>
              <c:strCache>
                <c:ptCount val="6"/>
                <c:pt idx="0">
                  <c:v>Agriculture</c:v>
                </c:pt>
                <c:pt idx="1">
                  <c:v>Industrie</c:v>
                </c:pt>
                <c:pt idx="2">
                  <c:v>Construction</c:v>
                </c:pt>
                <c:pt idx="3">
                  <c:v>Services</c:v>
                </c:pt>
                <c:pt idx="4">
                  <c:v>Commerce &amp; rep auto</c:v>
                </c:pt>
                <c:pt idx="5">
                  <c:v>Administration publique</c:v>
                </c:pt>
              </c:strCache>
            </c:strRef>
          </c:cat>
          <c:val>
            <c:numRef>
              <c:f>Entreprises!$B$28:$G$28</c:f>
              <c:numCache>
                <c:formatCode>General</c:formatCode>
                <c:ptCount val="6"/>
                <c:pt idx="0">
                  <c:v>9783</c:v>
                </c:pt>
                <c:pt idx="1">
                  <c:v>8023</c:v>
                </c:pt>
                <c:pt idx="2">
                  <c:v>18636</c:v>
                </c:pt>
                <c:pt idx="3">
                  <c:v>78446</c:v>
                </c:pt>
                <c:pt idx="4">
                  <c:v>28172</c:v>
                </c:pt>
                <c:pt idx="5">
                  <c:v>23400</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45249900703654949"/>
          <c:y val="0.20519668309381178"/>
          <c:w val="0.4125697280290373"/>
          <c:h val="0.69725831980926045"/>
        </c:manualLayout>
      </c:layout>
      <c:overlay val="0"/>
      <c:txPr>
        <a:bodyPr/>
        <a:lstStyle/>
        <a:p>
          <a:pPr>
            <a:defRPr sz="9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48592584080352"/>
          <c:y val="6.984130475755769E-2"/>
          <c:w val="0.7548719355857092"/>
          <c:h val="0.90036334843619403"/>
        </c:manualLayout>
      </c:layout>
      <c:doughnutChart>
        <c:varyColors val="1"/>
        <c:ser>
          <c:idx val="0"/>
          <c:order val="0"/>
          <c:tx>
            <c:strRef>
              <c:f>Entreprises!$A$29</c:f>
              <c:strCache>
                <c:ptCount val="1"/>
                <c:pt idx="0">
                  <c:v>Aquitaine</c:v>
                </c:pt>
              </c:strCache>
            </c:strRef>
          </c:tx>
          <c:dPt>
            <c:idx val="0"/>
            <c:bubble3D val="0"/>
            <c:spPr>
              <a:solidFill>
                <a:schemeClr val="accent3">
                  <a:lumMod val="75000"/>
                </a:schemeClr>
              </a:solidFill>
            </c:spPr>
          </c:dPt>
          <c:dPt>
            <c:idx val="1"/>
            <c:bubble3D val="0"/>
            <c:spPr>
              <a:solidFill>
                <a:schemeClr val="bg2">
                  <a:lumMod val="25000"/>
                </a:schemeClr>
              </a:solidFill>
            </c:spPr>
          </c:dPt>
          <c:dPt>
            <c:idx val="2"/>
            <c:bubble3D val="0"/>
            <c:spPr>
              <a:solidFill>
                <a:schemeClr val="accent2">
                  <a:lumMod val="75000"/>
                </a:schemeClr>
              </a:solidFill>
            </c:spPr>
          </c:dPt>
          <c:dPt>
            <c:idx val="3"/>
            <c:bubble3D val="0"/>
            <c:spPr>
              <a:solidFill>
                <a:schemeClr val="accent4">
                  <a:lumMod val="60000"/>
                  <a:lumOff val="40000"/>
                </a:schemeClr>
              </a:solidFill>
            </c:spPr>
          </c:dPt>
          <c:dPt>
            <c:idx val="4"/>
            <c:bubble3D val="0"/>
            <c:spPr>
              <a:solidFill>
                <a:schemeClr val="tx2">
                  <a:lumMod val="60000"/>
                  <a:lumOff val="40000"/>
                </a:schemeClr>
              </a:solidFill>
            </c:spPr>
          </c:dPt>
          <c:dPt>
            <c:idx val="5"/>
            <c:bubble3D val="0"/>
            <c:spPr>
              <a:solidFill>
                <a:schemeClr val="accent6">
                  <a:lumMod val="75000"/>
                </a:schemeClr>
              </a:solidFill>
            </c:spPr>
          </c:dPt>
          <c:dLbls>
            <c:dLbl>
              <c:idx val="0"/>
              <c:layout>
                <c:manualLayout>
                  <c:x val="1.118123354507757E-2"/>
                  <c:y val="-7.2040352497837218E-2"/>
                </c:manualLayout>
              </c:layout>
              <c:showLegendKey val="0"/>
              <c:showVal val="0"/>
              <c:showCatName val="0"/>
              <c:showSerName val="0"/>
              <c:showPercent val="1"/>
              <c:showBubbleSize val="0"/>
            </c:dLbl>
            <c:dLbl>
              <c:idx val="1"/>
              <c:layout>
                <c:manualLayout>
                  <c:x val="0"/>
                  <c:y val="3.8095257140486012E-2"/>
                </c:manualLayout>
              </c:layout>
              <c:showLegendKey val="0"/>
              <c:showVal val="0"/>
              <c:showCatName val="0"/>
              <c:showSerName val="0"/>
              <c:showPercent val="1"/>
              <c:showBubbleSize val="0"/>
            </c:dLbl>
            <c:txPr>
              <a:bodyPr/>
              <a:lstStyle/>
              <a:p>
                <a:pPr>
                  <a:defRPr sz="900">
                    <a:solidFill>
                      <a:schemeClr val="bg1"/>
                    </a:solidFill>
                  </a:defRPr>
                </a:pPr>
                <a:endParaRPr lang="fr-FR"/>
              </a:p>
            </c:txPr>
            <c:showLegendKey val="0"/>
            <c:showVal val="0"/>
            <c:showCatName val="0"/>
            <c:showSerName val="0"/>
            <c:showPercent val="1"/>
            <c:showBubbleSize val="0"/>
            <c:showLeaderLines val="1"/>
          </c:dLbls>
          <c:val>
            <c:numRef>
              <c:f>Entreprises!$B$29:$G$29</c:f>
              <c:numCache>
                <c:formatCode>General</c:formatCode>
                <c:ptCount val="6"/>
                <c:pt idx="0">
                  <c:v>34765</c:v>
                </c:pt>
                <c:pt idx="1">
                  <c:v>20413</c:v>
                </c:pt>
                <c:pt idx="2">
                  <c:v>40264</c:v>
                </c:pt>
                <c:pt idx="3">
                  <c:v>164528</c:v>
                </c:pt>
                <c:pt idx="4">
                  <c:v>59172</c:v>
                </c:pt>
                <c:pt idx="5">
                  <c:v>51438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947336806779748E-2"/>
          <c:y val="7.2209722222222231E-2"/>
          <c:w val="0.38685880696787239"/>
          <c:h val="0.85620922432750535"/>
        </c:manualLayout>
      </c:layout>
      <c:pieChart>
        <c:varyColors val="1"/>
        <c:ser>
          <c:idx val="0"/>
          <c:order val="0"/>
          <c:tx>
            <c:strRef>
              <c:f>Entreprises!$A$41</c:f>
              <c:strCache>
                <c:ptCount val="1"/>
                <c:pt idx="0">
                  <c:v>Gironde</c:v>
                </c:pt>
              </c:strCache>
            </c:strRef>
          </c:tx>
          <c:dPt>
            <c:idx val="0"/>
            <c:bubble3D val="0"/>
            <c:spPr>
              <a:solidFill>
                <a:schemeClr val="accent4">
                  <a:lumMod val="20000"/>
                  <a:lumOff val="80000"/>
                </a:schemeClr>
              </a:solidFill>
            </c:spPr>
          </c:dPt>
          <c:dPt>
            <c:idx val="1"/>
            <c:bubble3D val="0"/>
            <c:spPr>
              <a:solidFill>
                <a:schemeClr val="accent4">
                  <a:lumMod val="40000"/>
                  <a:lumOff val="60000"/>
                </a:schemeClr>
              </a:solidFill>
            </c:spPr>
          </c:dPt>
          <c:dPt>
            <c:idx val="2"/>
            <c:bubble3D val="0"/>
            <c:spPr>
              <a:solidFill>
                <a:schemeClr val="accent4">
                  <a:lumMod val="60000"/>
                  <a:lumOff val="40000"/>
                  <a:alpha val="99000"/>
                </a:schemeClr>
              </a:solidFill>
            </c:spPr>
          </c:dPt>
          <c:dPt>
            <c:idx val="3"/>
            <c:bubble3D val="0"/>
            <c:spPr>
              <a:solidFill>
                <a:schemeClr val="accent4">
                  <a:lumMod val="75000"/>
                </a:schemeClr>
              </a:solidFill>
            </c:spPr>
          </c:dPt>
          <c:dPt>
            <c:idx val="4"/>
            <c:bubble3D val="0"/>
            <c:spPr>
              <a:solidFill>
                <a:schemeClr val="accent4">
                  <a:lumMod val="50000"/>
                </a:schemeClr>
              </a:solidFill>
            </c:spPr>
          </c:dPt>
          <c:dPt>
            <c:idx val="5"/>
            <c:bubble3D val="0"/>
            <c:spPr>
              <a:solidFill>
                <a:srgbClr val="FF0000"/>
              </a:solidFill>
            </c:spPr>
          </c:dPt>
          <c:cat>
            <c:strRef>
              <c:f>Entreprises!$B$40:$G$40</c:f>
              <c:strCache>
                <c:ptCount val="6"/>
                <c:pt idx="0">
                  <c:v>0 salarié</c:v>
                </c:pt>
                <c:pt idx="1">
                  <c:v>1 à 9 salariés</c:v>
                </c:pt>
                <c:pt idx="2">
                  <c:v>10 à 49 salariés</c:v>
                </c:pt>
                <c:pt idx="3">
                  <c:v>50 à 199 salariés</c:v>
                </c:pt>
                <c:pt idx="4">
                  <c:v>200 à 499 salariés</c:v>
                </c:pt>
                <c:pt idx="5">
                  <c:v>500 salariés et +</c:v>
                </c:pt>
              </c:strCache>
            </c:strRef>
          </c:cat>
          <c:val>
            <c:numRef>
              <c:f>Entreprises!$B$41:$G$41</c:f>
              <c:numCache>
                <c:formatCode>General</c:formatCode>
                <c:ptCount val="6"/>
                <c:pt idx="0">
                  <c:v>120170</c:v>
                </c:pt>
                <c:pt idx="1">
                  <c:v>37072</c:v>
                </c:pt>
                <c:pt idx="2">
                  <c:v>7493</c:v>
                </c:pt>
                <c:pt idx="3">
                  <c:v>1460</c:v>
                </c:pt>
                <c:pt idx="4">
                  <c:v>187</c:v>
                </c:pt>
                <c:pt idx="5">
                  <c:v>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54101254308181912"/>
          <c:y val="2.6213194444444435E-2"/>
          <c:w val="0.2640816102543449"/>
          <c:h val="0.90627583401783851"/>
        </c:manualLayout>
      </c:layout>
      <c:overlay val="0"/>
      <c:txPr>
        <a:bodyPr/>
        <a:lstStyle/>
        <a:p>
          <a:pPr>
            <a:defRPr sz="9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150981735438636"/>
          <c:y val="8.3134722222222207E-2"/>
          <c:w val="0.65165676349750812"/>
          <c:h val="0.8555007462864106"/>
        </c:manualLayout>
      </c:layout>
      <c:pieChart>
        <c:varyColors val="1"/>
        <c:ser>
          <c:idx val="0"/>
          <c:order val="0"/>
          <c:tx>
            <c:strRef>
              <c:f>Entreprises!$A$42</c:f>
              <c:strCache>
                <c:ptCount val="1"/>
                <c:pt idx="0">
                  <c:v>Aquitaine</c:v>
                </c:pt>
              </c:strCache>
            </c:strRef>
          </c:tx>
          <c:dPt>
            <c:idx val="0"/>
            <c:bubble3D val="0"/>
            <c:spPr>
              <a:solidFill>
                <a:schemeClr val="accent4">
                  <a:lumMod val="20000"/>
                  <a:lumOff val="80000"/>
                </a:schemeClr>
              </a:solidFill>
            </c:spPr>
          </c:dPt>
          <c:dPt>
            <c:idx val="1"/>
            <c:bubble3D val="0"/>
            <c:spPr>
              <a:solidFill>
                <a:schemeClr val="accent4">
                  <a:lumMod val="40000"/>
                  <a:lumOff val="60000"/>
                </a:schemeClr>
              </a:solidFill>
            </c:spPr>
          </c:dPt>
          <c:dPt>
            <c:idx val="2"/>
            <c:bubble3D val="0"/>
            <c:spPr>
              <a:solidFill>
                <a:schemeClr val="accent4">
                  <a:lumMod val="60000"/>
                  <a:lumOff val="40000"/>
                </a:schemeClr>
              </a:solidFill>
            </c:spPr>
          </c:dPt>
          <c:dPt>
            <c:idx val="3"/>
            <c:bubble3D val="0"/>
            <c:spPr>
              <a:solidFill>
                <a:schemeClr val="accent4">
                  <a:lumMod val="75000"/>
                </a:schemeClr>
              </a:solidFill>
            </c:spPr>
          </c:dPt>
          <c:dPt>
            <c:idx val="4"/>
            <c:bubble3D val="0"/>
            <c:spPr>
              <a:solidFill>
                <a:srgbClr val="FF0000"/>
              </a:solidFill>
            </c:spPr>
          </c:dPt>
          <c:val>
            <c:numRef>
              <c:f>Entreprises!$B$42:$G$42</c:f>
              <c:numCache>
                <c:formatCode>General</c:formatCode>
                <c:ptCount val="6"/>
                <c:pt idx="0">
                  <c:v>267004</c:v>
                </c:pt>
                <c:pt idx="1">
                  <c:v>84300</c:v>
                </c:pt>
                <c:pt idx="2">
                  <c:v>15814</c:v>
                </c:pt>
                <c:pt idx="3">
                  <c:v>2986</c:v>
                </c:pt>
                <c:pt idx="4">
                  <c:v>355</c:v>
                </c:pt>
                <c:pt idx="5">
                  <c:v>121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533278077082469E-2"/>
          <c:y val="5.0925925925925923E-2"/>
          <c:w val="0.45063019754109684"/>
          <c:h val="0.85026975794692328"/>
        </c:manualLayout>
      </c:layout>
      <c:barChart>
        <c:barDir val="bar"/>
        <c:grouping val="clustered"/>
        <c:varyColors val="1"/>
        <c:ser>
          <c:idx val="0"/>
          <c:order val="0"/>
          <c:tx>
            <c:strRef>
              <c:f>'Richesse et échanges'!$A$11</c:f>
              <c:strCache>
                <c:ptCount val="1"/>
                <c:pt idx="0">
                  <c:v>Nouvelle-Aquitaine</c:v>
                </c:pt>
              </c:strCache>
            </c:strRef>
          </c:tx>
          <c:invertIfNegative val="0"/>
          <c:cat>
            <c:strRef>
              <c:f>'Richesse et échanges'!$B$10:$M$10</c:f>
              <c:strCache>
                <c:ptCount val="12"/>
                <c:pt idx="0">
                  <c:v>Agriculture, sylviculture et pêche</c:v>
                </c:pt>
                <c:pt idx="1">
                  <c:v>Industries manufacturières, extractives et autres</c:v>
                </c:pt>
                <c:pt idx="2">
                  <c:v>Construction</c:v>
                </c:pt>
                <c:pt idx="3">
                  <c:v>Commerce, réparation d'auto /moto</c:v>
                </c:pt>
                <c:pt idx="4">
                  <c:v>Transport et entreposage</c:v>
                </c:pt>
                <c:pt idx="5">
                  <c:v>Hébergement et restauration</c:v>
                </c:pt>
                <c:pt idx="6">
                  <c:v>Information et communication</c:v>
                </c:pt>
                <c:pt idx="7">
                  <c:v>Activités financières et d'assurance</c:v>
                </c:pt>
                <c:pt idx="8">
                  <c:v>Activités immobilières</c:v>
                </c:pt>
                <c:pt idx="9">
                  <c:v>Activités scientif et techn; services admin et de soutien</c:v>
                </c:pt>
                <c:pt idx="10">
                  <c:v>Administration pub, enseignement, santé, action sociale</c:v>
                </c:pt>
                <c:pt idx="11">
                  <c:v>Autres activités de services</c:v>
                </c:pt>
              </c:strCache>
            </c:strRef>
          </c:cat>
          <c:val>
            <c:numRef>
              <c:f>'Richesse et échanges'!$B$11:$M$11</c:f>
              <c:numCache>
                <c:formatCode>General</c:formatCode>
                <c:ptCount val="12"/>
                <c:pt idx="0">
                  <c:v>2.4081849260149264</c:v>
                </c:pt>
                <c:pt idx="1">
                  <c:v>0.99181492246022152</c:v>
                </c:pt>
                <c:pt idx="2">
                  <c:v>1.1358167549325993</c:v>
                </c:pt>
                <c:pt idx="3">
                  <c:v>0.97204657996443555</c:v>
                </c:pt>
                <c:pt idx="4">
                  <c:v>0.90968716468043842</c:v>
                </c:pt>
                <c:pt idx="5">
                  <c:v>1.0216181946297835</c:v>
                </c:pt>
                <c:pt idx="6">
                  <c:v>0.46169482185427657</c:v>
                </c:pt>
                <c:pt idx="7">
                  <c:v>0.81610436355467175</c:v>
                </c:pt>
                <c:pt idx="8">
                  <c:v>1.0241271555118341</c:v>
                </c:pt>
                <c:pt idx="9">
                  <c:v>0.71634990366618567</c:v>
                </c:pt>
                <c:pt idx="10">
                  <c:v>1.1842016165264628</c:v>
                </c:pt>
                <c:pt idx="11">
                  <c:v>1.0557954674722436</c:v>
                </c:pt>
              </c:numCache>
            </c:numRef>
          </c:val>
        </c:ser>
        <c:dLbls>
          <c:showLegendKey val="0"/>
          <c:showVal val="0"/>
          <c:showCatName val="0"/>
          <c:showSerName val="0"/>
          <c:showPercent val="0"/>
          <c:showBubbleSize val="0"/>
        </c:dLbls>
        <c:gapWidth val="150"/>
        <c:axId val="131960192"/>
        <c:axId val="127571072"/>
      </c:barChart>
      <c:catAx>
        <c:axId val="131960192"/>
        <c:scaling>
          <c:orientation val="minMax"/>
        </c:scaling>
        <c:delete val="0"/>
        <c:axPos val="l"/>
        <c:majorTickMark val="out"/>
        <c:minorTickMark val="none"/>
        <c:tickLblPos val="high"/>
        <c:txPr>
          <a:bodyPr/>
          <a:lstStyle/>
          <a:p>
            <a:pPr>
              <a:defRPr sz="700"/>
            </a:pPr>
            <a:endParaRPr lang="fr-FR"/>
          </a:p>
        </c:txPr>
        <c:crossAx val="127571072"/>
        <c:crossesAt val="1"/>
        <c:auto val="1"/>
        <c:lblAlgn val="ctr"/>
        <c:lblOffset val="100"/>
        <c:noMultiLvlLbl val="0"/>
      </c:catAx>
      <c:valAx>
        <c:axId val="127571072"/>
        <c:scaling>
          <c:orientation val="minMax"/>
          <c:max val="2.5"/>
        </c:scaling>
        <c:delete val="0"/>
        <c:axPos val="b"/>
        <c:majorGridlines/>
        <c:numFmt formatCode="General" sourceLinked="1"/>
        <c:majorTickMark val="out"/>
        <c:minorTickMark val="none"/>
        <c:tickLblPos val="nextTo"/>
        <c:txPr>
          <a:bodyPr/>
          <a:lstStyle/>
          <a:p>
            <a:pPr>
              <a:defRPr sz="800"/>
            </a:pPr>
            <a:endParaRPr lang="fr-FR"/>
          </a:p>
        </c:txPr>
        <c:crossAx val="131960192"/>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79216787944818"/>
          <c:y val="0.10695610965296004"/>
          <c:w val="0.44348129050240404"/>
          <c:h val="0.77706401283172932"/>
        </c:manualLayout>
      </c:layout>
      <c:barChart>
        <c:barDir val="col"/>
        <c:grouping val="stacked"/>
        <c:varyColors val="0"/>
        <c:ser>
          <c:idx val="0"/>
          <c:order val="0"/>
          <c:tx>
            <c:strRef>
              <c:f>'Emploi-old'!$B$73</c:f>
              <c:strCache>
                <c:ptCount val="1"/>
                <c:pt idx="0">
                  <c:v>Privée</c:v>
                </c:pt>
              </c:strCache>
            </c:strRef>
          </c:tx>
          <c:spPr>
            <a:solidFill>
              <a:schemeClr val="accent4">
                <a:lumMod val="60000"/>
                <a:lumOff val="40000"/>
              </a:schemeClr>
            </a:solidFill>
          </c:spPr>
          <c:invertIfNegative val="0"/>
          <c:cat>
            <c:strRef>
              <c:f>'Emploi-old'!$A$74:$A$75</c:f>
              <c:strCache>
                <c:ptCount val="2"/>
                <c:pt idx="0">
                  <c:v>Bordeaux Métropole</c:v>
                </c:pt>
                <c:pt idx="1">
                  <c:v>Gironde</c:v>
                </c:pt>
              </c:strCache>
            </c:strRef>
          </c:cat>
          <c:val>
            <c:numRef>
              <c:f>'Emploi-old'!$B$74:$B$75</c:f>
              <c:numCache>
                <c:formatCode>#,##0</c:formatCode>
                <c:ptCount val="2"/>
                <c:pt idx="0">
                  <c:v>152752</c:v>
                </c:pt>
                <c:pt idx="1">
                  <c:v>227086</c:v>
                </c:pt>
              </c:numCache>
            </c:numRef>
          </c:val>
        </c:ser>
        <c:ser>
          <c:idx val="1"/>
          <c:order val="1"/>
          <c:tx>
            <c:strRef>
              <c:f>'Emploi-old'!$C$73</c:f>
              <c:strCache>
                <c:ptCount val="1"/>
                <c:pt idx="0">
                  <c:v>Publique</c:v>
                </c:pt>
              </c:strCache>
            </c:strRef>
          </c:tx>
          <c:spPr>
            <a:solidFill>
              <a:srgbClr val="FFC000"/>
            </a:solidFill>
          </c:spPr>
          <c:invertIfNegative val="0"/>
          <c:cat>
            <c:strRef>
              <c:f>'Emploi-old'!$A$74:$A$75</c:f>
              <c:strCache>
                <c:ptCount val="2"/>
                <c:pt idx="0">
                  <c:v>Bordeaux Métropole</c:v>
                </c:pt>
                <c:pt idx="1">
                  <c:v>Gironde</c:v>
                </c:pt>
              </c:strCache>
            </c:strRef>
          </c:cat>
          <c:val>
            <c:numRef>
              <c:f>'Emploi-old'!$C$74:$C$75</c:f>
              <c:numCache>
                <c:formatCode>#,##0</c:formatCode>
                <c:ptCount val="2"/>
                <c:pt idx="0">
                  <c:v>92603</c:v>
                </c:pt>
                <c:pt idx="1">
                  <c:v>130873</c:v>
                </c:pt>
              </c:numCache>
            </c:numRef>
          </c:val>
        </c:ser>
        <c:ser>
          <c:idx val="2"/>
          <c:order val="2"/>
          <c:tx>
            <c:strRef>
              <c:f>'Emploi-old'!$D$73</c:f>
              <c:strCache>
                <c:ptCount val="1"/>
                <c:pt idx="0">
                  <c:v>Privée</c:v>
                </c:pt>
              </c:strCache>
            </c:strRef>
          </c:tx>
          <c:spPr>
            <a:solidFill>
              <a:srgbClr val="CCCCFF"/>
            </a:solidFill>
          </c:spPr>
          <c:invertIfNegative val="0"/>
          <c:cat>
            <c:strRef>
              <c:f>'Emploi-old'!$A$74:$A$75</c:f>
              <c:strCache>
                <c:ptCount val="2"/>
                <c:pt idx="0">
                  <c:v>Bordeaux Métropole</c:v>
                </c:pt>
                <c:pt idx="1">
                  <c:v>Gironde</c:v>
                </c:pt>
              </c:strCache>
            </c:strRef>
          </c:cat>
          <c:val>
            <c:numRef>
              <c:f>'Emploi-old'!$D$74:$D$75</c:f>
              <c:numCache>
                <c:formatCode>#,##0</c:formatCode>
                <c:ptCount val="2"/>
                <c:pt idx="0">
                  <c:v>107847</c:v>
                </c:pt>
                <c:pt idx="1">
                  <c:v>179078</c:v>
                </c:pt>
              </c:numCache>
            </c:numRef>
          </c:val>
        </c:ser>
        <c:ser>
          <c:idx val="3"/>
          <c:order val="3"/>
          <c:tx>
            <c:strRef>
              <c:f>'Emploi-old'!$E$73</c:f>
              <c:strCache>
                <c:ptCount val="1"/>
                <c:pt idx="0">
                  <c:v>Publique</c:v>
                </c:pt>
              </c:strCache>
            </c:strRef>
          </c:tx>
          <c:spPr>
            <a:solidFill>
              <a:schemeClr val="accent6">
                <a:lumMod val="75000"/>
              </a:schemeClr>
            </a:solidFill>
          </c:spPr>
          <c:invertIfNegative val="0"/>
          <c:cat>
            <c:strRef>
              <c:f>'Emploi-old'!$A$74:$A$75</c:f>
              <c:strCache>
                <c:ptCount val="2"/>
                <c:pt idx="0">
                  <c:v>Bordeaux Métropole</c:v>
                </c:pt>
                <c:pt idx="1">
                  <c:v>Gironde</c:v>
                </c:pt>
              </c:strCache>
            </c:strRef>
          </c:cat>
          <c:val>
            <c:numRef>
              <c:f>'Emploi-old'!$E$74:$E$75</c:f>
              <c:numCache>
                <c:formatCode>#,##0</c:formatCode>
                <c:ptCount val="2"/>
                <c:pt idx="0">
                  <c:v>2683</c:v>
                </c:pt>
                <c:pt idx="1">
                  <c:v>3195</c:v>
                </c:pt>
              </c:numCache>
            </c:numRef>
          </c:val>
        </c:ser>
        <c:dLbls>
          <c:showLegendKey val="0"/>
          <c:showVal val="0"/>
          <c:showCatName val="0"/>
          <c:showSerName val="0"/>
          <c:showPercent val="0"/>
          <c:showBubbleSize val="0"/>
        </c:dLbls>
        <c:gapWidth val="150"/>
        <c:overlap val="100"/>
        <c:axId val="106899712"/>
        <c:axId val="106905600"/>
      </c:barChart>
      <c:catAx>
        <c:axId val="106899712"/>
        <c:scaling>
          <c:orientation val="minMax"/>
        </c:scaling>
        <c:delete val="0"/>
        <c:axPos val="b"/>
        <c:majorTickMark val="out"/>
        <c:minorTickMark val="none"/>
        <c:tickLblPos val="nextTo"/>
        <c:crossAx val="106905600"/>
        <c:crosses val="autoZero"/>
        <c:auto val="1"/>
        <c:lblAlgn val="ctr"/>
        <c:lblOffset val="100"/>
        <c:noMultiLvlLbl val="0"/>
      </c:catAx>
      <c:valAx>
        <c:axId val="106905600"/>
        <c:scaling>
          <c:orientation val="minMax"/>
        </c:scaling>
        <c:delete val="0"/>
        <c:axPos val="l"/>
        <c:majorGridlines/>
        <c:numFmt formatCode="#,##0" sourceLinked="1"/>
        <c:majorTickMark val="out"/>
        <c:minorTickMark val="none"/>
        <c:tickLblPos val="nextTo"/>
        <c:crossAx val="106899712"/>
        <c:crosses val="autoZero"/>
        <c:crossBetween val="between"/>
      </c:valAx>
    </c:plotArea>
    <c:legend>
      <c:legendPos val="r"/>
      <c:layout>
        <c:manualLayout>
          <c:xMode val="edge"/>
          <c:yMode val="edge"/>
          <c:x val="0.57609179383550513"/>
          <c:y val="0.20293598716827063"/>
          <c:w val="0.29362227951594544"/>
          <c:h val="0.691350247885681"/>
        </c:manualLayout>
      </c:layout>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1"/>
        <c:ser>
          <c:idx val="0"/>
          <c:order val="0"/>
          <c:tx>
            <c:strRef>
              <c:f>'Richesse et échanges'!$A$12</c:f>
              <c:strCache>
                <c:ptCount val="1"/>
                <c:pt idx="0">
                  <c:v>Pays de la Loire</c:v>
                </c:pt>
              </c:strCache>
            </c:strRef>
          </c:tx>
          <c:invertIfNegative val="0"/>
          <c:val>
            <c:numRef>
              <c:f>'Richesse et échanges'!$B$12:$M$12</c:f>
              <c:numCache>
                <c:formatCode>General</c:formatCode>
                <c:ptCount val="12"/>
                <c:pt idx="0">
                  <c:v>1.638416288696285</c:v>
                </c:pt>
                <c:pt idx="1">
                  <c:v>1.2823485015137586</c:v>
                </c:pt>
                <c:pt idx="2">
                  <c:v>1.2369676555859086</c:v>
                </c:pt>
                <c:pt idx="3">
                  <c:v>1.094668729639416</c:v>
                </c:pt>
                <c:pt idx="4">
                  <c:v>0.88765239268029728</c:v>
                </c:pt>
                <c:pt idx="5">
                  <c:v>0.84863626201493536</c:v>
                </c:pt>
                <c:pt idx="6">
                  <c:v>0.670234273530675</c:v>
                </c:pt>
                <c:pt idx="7">
                  <c:v>0.8903747488720487</c:v>
                </c:pt>
                <c:pt idx="8">
                  <c:v>0.93575750898579968</c:v>
                </c:pt>
                <c:pt idx="9">
                  <c:v>0.73550516376337782</c:v>
                </c:pt>
                <c:pt idx="10">
                  <c:v>0.99287296559131377</c:v>
                </c:pt>
                <c:pt idx="11">
                  <c:v>1.031583514417143</c:v>
                </c:pt>
              </c:numCache>
            </c:numRef>
          </c:val>
        </c:ser>
        <c:dLbls>
          <c:showLegendKey val="0"/>
          <c:showVal val="0"/>
          <c:showCatName val="0"/>
          <c:showSerName val="0"/>
          <c:showPercent val="0"/>
          <c:showBubbleSize val="0"/>
        </c:dLbls>
        <c:gapWidth val="150"/>
        <c:axId val="108290432"/>
        <c:axId val="108291968"/>
      </c:barChart>
      <c:catAx>
        <c:axId val="108290432"/>
        <c:scaling>
          <c:orientation val="minMax"/>
        </c:scaling>
        <c:delete val="0"/>
        <c:axPos val="l"/>
        <c:majorTickMark val="out"/>
        <c:minorTickMark val="none"/>
        <c:tickLblPos val="none"/>
        <c:crossAx val="108291968"/>
        <c:crossesAt val="1"/>
        <c:auto val="1"/>
        <c:lblAlgn val="ctr"/>
        <c:lblOffset val="100"/>
        <c:noMultiLvlLbl val="0"/>
      </c:catAx>
      <c:valAx>
        <c:axId val="108291968"/>
        <c:scaling>
          <c:orientation val="minMax"/>
          <c:max val="2.5"/>
        </c:scaling>
        <c:delete val="0"/>
        <c:axPos val="b"/>
        <c:majorGridlines/>
        <c:numFmt formatCode="General" sourceLinked="1"/>
        <c:majorTickMark val="out"/>
        <c:minorTickMark val="none"/>
        <c:tickLblPos val="nextTo"/>
        <c:txPr>
          <a:bodyPr/>
          <a:lstStyle/>
          <a:p>
            <a:pPr>
              <a:defRPr sz="800"/>
            </a:pPr>
            <a:endParaRPr lang="fr-FR"/>
          </a:p>
        </c:txPr>
        <c:crossAx val="108290432"/>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5.1400554097404488E-2"/>
          <c:w val="0.71951268591426076"/>
          <c:h val="0.75831000291630213"/>
        </c:manualLayout>
      </c:layout>
      <c:barChart>
        <c:barDir val="col"/>
        <c:grouping val="clustered"/>
        <c:varyColors val="0"/>
        <c:ser>
          <c:idx val="0"/>
          <c:order val="0"/>
          <c:tx>
            <c:strRef>
              <c:f>'Richesse et échanges'!$A$64</c:f>
              <c:strCache>
                <c:ptCount val="1"/>
                <c:pt idx="0">
                  <c:v>Export</c:v>
                </c:pt>
              </c:strCache>
            </c:strRef>
          </c:tx>
          <c:invertIfNegative val="0"/>
          <c:dLbls>
            <c:numFmt formatCode="#,##0" sourceLinked="0"/>
            <c:txPr>
              <a:bodyPr/>
              <a:lstStyle/>
              <a:p>
                <a:pPr>
                  <a:defRPr sz="800" b="1"/>
                </a:pPr>
                <a:endParaRPr lang="fr-FR"/>
              </a:p>
            </c:txPr>
            <c:showLegendKey val="0"/>
            <c:showVal val="1"/>
            <c:showCatName val="0"/>
            <c:showSerName val="0"/>
            <c:showPercent val="0"/>
            <c:showBubbleSize val="0"/>
            <c:showLeaderLines val="0"/>
          </c:dLbls>
          <c:cat>
            <c:numRef>
              <c:f>('Richesse et échanges'!$B$61,'Richesse et échanges'!$D$61,'Richesse et échanges'!$F$61,'Richesse et échanges'!$H$61)</c:f>
              <c:numCache>
                <c:formatCode>General</c:formatCode>
                <c:ptCount val="4"/>
                <c:pt idx="0">
                  <c:v>2013</c:v>
                </c:pt>
                <c:pt idx="1">
                  <c:v>2014</c:v>
                </c:pt>
                <c:pt idx="2">
                  <c:v>2015</c:v>
                </c:pt>
                <c:pt idx="3">
                  <c:v>2016</c:v>
                </c:pt>
              </c:numCache>
            </c:numRef>
          </c:cat>
          <c:val>
            <c:numRef>
              <c:f>('Richesse et échanges'!$B$62,'Richesse et échanges'!$D$62,'Richesse et échanges'!$F$62,'Richesse et échanges'!$H$62)</c:f>
              <c:numCache>
                <c:formatCode>General</c:formatCode>
                <c:ptCount val="4"/>
                <c:pt idx="0">
                  <c:v>7043</c:v>
                </c:pt>
                <c:pt idx="1">
                  <c:v>6375</c:v>
                </c:pt>
                <c:pt idx="2">
                  <c:v>6852</c:v>
                </c:pt>
                <c:pt idx="3">
                  <c:v>6691.3166689999998</c:v>
                </c:pt>
              </c:numCache>
            </c:numRef>
          </c:val>
        </c:ser>
        <c:ser>
          <c:idx val="1"/>
          <c:order val="1"/>
          <c:tx>
            <c:strRef>
              <c:f>'Richesse et échanges'!$B$64</c:f>
              <c:strCache>
                <c:ptCount val="1"/>
                <c:pt idx="0">
                  <c:v>Import</c:v>
                </c:pt>
              </c:strCache>
            </c:strRef>
          </c:tx>
          <c:invertIfNegative val="0"/>
          <c:dLbls>
            <c:numFmt formatCode="#,##0" sourceLinked="0"/>
            <c:txPr>
              <a:bodyPr/>
              <a:lstStyle/>
              <a:p>
                <a:pPr>
                  <a:defRPr sz="800" b="1"/>
                </a:pPr>
                <a:endParaRPr lang="fr-FR"/>
              </a:p>
            </c:txPr>
            <c:showLegendKey val="0"/>
            <c:showVal val="1"/>
            <c:showCatName val="0"/>
            <c:showSerName val="0"/>
            <c:showPercent val="0"/>
            <c:showBubbleSize val="0"/>
            <c:showLeaderLines val="0"/>
          </c:dLbls>
          <c:cat>
            <c:numRef>
              <c:f>('Richesse et échanges'!$B$61,'Richesse et échanges'!$D$61,'Richesse et échanges'!$F$61,'Richesse et échanges'!$H$61)</c:f>
              <c:numCache>
                <c:formatCode>General</c:formatCode>
                <c:ptCount val="4"/>
                <c:pt idx="0">
                  <c:v>2013</c:v>
                </c:pt>
                <c:pt idx="1">
                  <c:v>2014</c:v>
                </c:pt>
                <c:pt idx="2">
                  <c:v>2015</c:v>
                </c:pt>
                <c:pt idx="3">
                  <c:v>2016</c:v>
                </c:pt>
              </c:numCache>
            </c:numRef>
          </c:cat>
          <c:val>
            <c:numRef>
              <c:f>('Richesse et échanges'!$C$62,'Richesse et échanges'!$E$62,'Richesse et échanges'!$G$62,'Richesse et échanges'!$I$62)</c:f>
              <c:numCache>
                <c:formatCode>General</c:formatCode>
                <c:ptCount val="4"/>
                <c:pt idx="0">
                  <c:v>-7533</c:v>
                </c:pt>
                <c:pt idx="1">
                  <c:v>-7099</c:v>
                </c:pt>
                <c:pt idx="2">
                  <c:v>-6906</c:v>
                </c:pt>
                <c:pt idx="3">
                  <c:v>-7278.8395309999996</c:v>
                </c:pt>
              </c:numCache>
            </c:numRef>
          </c:val>
        </c:ser>
        <c:dLbls>
          <c:showLegendKey val="0"/>
          <c:showVal val="0"/>
          <c:showCatName val="0"/>
          <c:showSerName val="0"/>
          <c:showPercent val="0"/>
          <c:showBubbleSize val="0"/>
        </c:dLbls>
        <c:gapWidth val="150"/>
        <c:overlap val="100"/>
        <c:axId val="129858176"/>
        <c:axId val="129868160"/>
      </c:barChart>
      <c:catAx>
        <c:axId val="129858176"/>
        <c:scaling>
          <c:orientation val="minMax"/>
        </c:scaling>
        <c:delete val="0"/>
        <c:axPos val="b"/>
        <c:numFmt formatCode="General" sourceLinked="1"/>
        <c:majorTickMark val="out"/>
        <c:minorTickMark val="none"/>
        <c:tickLblPos val="low"/>
        <c:txPr>
          <a:bodyPr/>
          <a:lstStyle/>
          <a:p>
            <a:pPr>
              <a:defRPr sz="900"/>
            </a:pPr>
            <a:endParaRPr lang="fr-FR"/>
          </a:p>
        </c:txPr>
        <c:crossAx val="129868160"/>
        <c:crosses val="autoZero"/>
        <c:auto val="1"/>
        <c:lblAlgn val="ctr"/>
        <c:lblOffset val="100"/>
        <c:noMultiLvlLbl val="0"/>
      </c:catAx>
      <c:valAx>
        <c:axId val="129868160"/>
        <c:scaling>
          <c:orientation val="minMax"/>
          <c:max val="50000"/>
          <c:min val="-40000"/>
        </c:scaling>
        <c:delete val="0"/>
        <c:axPos val="l"/>
        <c:majorGridlines/>
        <c:numFmt formatCode="General" sourceLinked="1"/>
        <c:majorTickMark val="out"/>
        <c:minorTickMark val="none"/>
        <c:tickLblPos val="nextTo"/>
        <c:txPr>
          <a:bodyPr/>
          <a:lstStyle/>
          <a:p>
            <a:pPr>
              <a:defRPr sz="800"/>
            </a:pPr>
            <a:endParaRPr lang="fr-FR"/>
          </a:p>
        </c:txPr>
        <c:crossAx val="129858176"/>
        <c:crosses val="autoZero"/>
        <c:crossBetween val="between"/>
      </c:valAx>
    </c:plotArea>
    <c:legend>
      <c:legendPos val="r"/>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5.1400554097404488E-2"/>
          <c:w val="0.87281036394514855"/>
          <c:h val="0.81176208155490892"/>
        </c:manualLayout>
      </c:layout>
      <c:barChart>
        <c:barDir val="col"/>
        <c:grouping val="clustered"/>
        <c:varyColors val="0"/>
        <c:ser>
          <c:idx val="0"/>
          <c:order val="0"/>
          <c:tx>
            <c:strRef>
              <c:f>'Richesse et échanges'!$A$64</c:f>
              <c:strCache>
                <c:ptCount val="1"/>
                <c:pt idx="0">
                  <c:v>Export</c:v>
                </c:pt>
              </c:strCache>
            </c:strRef>
          </c:tx>
          <c:invertIfNegative val="0"/>
          <c:dLbls>
            <c:numFmt formatCode="#,##0" sourceLinked="0"/>
            <c:txPr>
              <a:bodyPr/>
              <a:lstStyle/>
              <a:p>
                <a:pPr>
                  <a:defRPr sz="800" b="1"/>
                </a:pPr>
                <a:endParaRPr lang="fr-FR"/>
              </a:p>
            </c:txPr>
            <c:showLegendKey val="0"/>
            <c:showVal val="1"/>
            <c:showCatName val="0"/>
            <c:showSerName val="0"/>
            <c:showPercent val="0"/>
            <c:showBubbleSize val="0"/>
            <c:showLeaderLines val="0"/>
          </c:dLbls>
          <c:cat>
            <c:numRef>
              <c:f>('Richesse et échanges'!$B$61,'Richesse et échanges'!$D$61,'Richesse et échanges'!$F$61,'Richesse et échanges'!$H$61)</c:f>
              <c:numCache>
                <c:formatCode>General</c:formatCode>
                <c:ptCount val="4"/>
                <c:pt idx="0">
                  <c:v>2013</c:v>
                </c:pt>
                <c:pt idx="1">
                  <c:v>2014</c:v>
                </c:pt>
                <c:pt idx="2">
                  <c:v>2015</c:v>
                </c:pt>
                <c:pt idx="3">
                  <c:v>2016</c:v>
                </c:pt>
              </c:numCache>
            </c:numRef>
          </c:cat>
          <c:val>
            <c:numRef>
              <c:f>('Richesse et échanges'!$B$63,'Richesse et échanges'!$D$63,'Richesse et échanges'!$F$63,'Richesse et échanges'!$H$63)</c:f>
              <c:numCache>
                <c:formatCode>General</c:formatCode>
                <c:ptCount val="4"/>
                <c:pt idx="0">
                  <c:v>8389</c:v>
                </c:pt>
                <c:pt idx="1">
                  <c:v>7365</c:v>
                </c:pt>
                <c:pt idx="2">
                  <c:v>6628</c:v>
                </c:pt>
                <c:pt idx="3">
                  <c:v>7325.4518989999997</c:v>
                </c:pt>
              </c:numCache>
            </c:numRef>
          </c:val>
        </c:ser>
        <c:ser>
          <c:idx val="1"/>
          <c:order val="1"/>
          <c:tx>
            <c:strRef>
              <c:f>'Richesse et échanges'!$B$64</c:f>
              <c:strCache>
                <c:ptCount val="1"/>
                <c:pt idx="0">
                  <c:v>Import</c:v>
                </c:pt>
              </c:strCache>
            </c:strRef>
          </c:tx>
          <c:invertIfNegative val="0"/>
          <c:dLbls>
            <c:numFmt formatCode="#,##0_ ;\-#,##0\ " sourceLinked="0"/>
            <c:txPr>
              <a:bodyPr/>
              <a:lstStyle/>
              <a:p>
                <a:pPr>
                  <a:defRPr sz="800" b="1"/>
                </a:pPr>
                <a:endParaRPr lang="fr-FR"/>
              </a:p>
            </c:txPr>
            <c:showLegendKey val="0"/>
            <c:showVal val="1"/>
            <c:showCatName val="0"/>
            <c:showSerName val="0"/>
            <c:showPercent val="0"/>
            <c:showBubbleSize val="0"/>
            <c:showLeaderLines val="0"/>
          </c:dLbls>
          <c:cat>
            <c:numRef>
              <c:f>('Richesse et échanges'!$B$61,'Richesse et échanges'!$D$61,'Richesse et échanges'!$F$61,'Richesse et échanges'!$H$61)</c:f>
              <c:numCache>
                <c:formatCode>General</c:formatCode>
                <c:ptCount val="4"/>
                <c:pt idx="0">
                  <c:v>2013</c:v>
                </c:pt>
                <c:pt idx="1">
                  <c:v>2014</c:v>
                </c:pt>
                <c:pt idx="2">
                  <c:v>2015</c:v>
                </c:pt>
                <c:pt idx="3">
                  <c:v>2016</c:v>
                </c:pt>
              </c:numCache>
            </c:numRef>
          </c:cat>
          <c:val>
            <c:numRef>
              <c:f>('Richesse et échanges'!$C$63,'Richesse et échanges'!$E$63,'Richesse et échanges'!$G$63,'Richesse et échanges'!$I$63)</c:f>
              <c:numCache>
                <c:formatCode>General</c:formatCode>
                <c:ptCount val="4"/>
                <c:pt idx="0">
                  <c:v>-12685</c:v>
                </c:pt>
                <c:pt idx="1">
                  <c:v>-12060</c:v>
                </c:pt>
                <c:pt idx="2">
                  <c:v>-10674</c:v>
                </c:pt>
                <c:pt idx="3">
                  <c:v>-10540.343586999999</c:v>
                </c:pt>
              </c:numCache>
            </c:numRef>
          </c:val>
        </c:ser>
        <c:dLbls>
          <c:showLegendKey val="0"/>
          <c:showVal val="0"/>
          <c:showCatName val="0"/>
          <c:showSerName val="0"/>
          <c:showPercent val="0"/>
          <c:showBubbleSize val="0"/>
        </c:dLbls>
        <c:gapWidth val="150"/>
        <c:overlap val="100"/>
        <c:axId val="129885696"/>
        <c:axId val="129887232"/>
      </c:barChart>
      <c:catAx>
        <c:axId val="129885696"/>
        <c:scaling>
          <c:orientation val="minMax"/>
        </c:scaling>
        <c:delete val="0"/>
        <c:axPos val="b"/>
        <c:numFmt formatCode="General" sourceLinked="1"/>
        <c:majorTickMark val="out"/>
        <c:minorTickMark val="none"/>
        <c:tickLblPos val="low"/>
        <c:txPr>
          <a:bodyPr/>
          <a:lstStyle/>
          <a:p>
            <a:pPr>
              <a:defRPr sz="900"/>
            </a:pPr>
            <a:endParaRPr lang="fr-FR"/>
          </a:p>
        </c:txPr>
        <c:crossAx val="129887232"/>
        <c:crosses val="autoZero"/>
        <c:auto val="1"/>
        <c:lblAlgn val="ctr"/>
        <c:lblOffset val="100"/>
        <c:noMultiLvlLbl val="0"/>
      </c:catAx>
      <c:valAx>
        <c:axId val="129887232"/>
        <c:scaling>
          <c:orientation val="minMax"/>
          <c:max val="50000"/>
          <c:min val="-40000"/>
        </c:scaling>
        <c:delete val="0"/>
        <c:axPos val="l"/>
        <c:majorGridlines/>
        <c:numFmt formatCode="General" sourceLinked="1"/>
        <c:majorTickMark val="out"/>
        <c:minorTickMark val="none"/>
        <c:tickLblPos val="nextTo"/>
        <c:txPr>
          <a:bodyPr/>
          <a:lstStyle/>
          <a:p>
            <a:pPr>
              <a:defRPr sz="800"/>
            </a:pPr>
            <a:endParaRPr lang="fr-FR"/>
          </a:p>
        </c:txPr>
        <c:crossAx val="12988569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6"/>
          <c:order val="0"/>
          <c:tx>
            <c:strRef>
              <c:f>'D_Ch4-2'!$A$41</c:f>
              <c:strCache>
                <c:ptCount val="1"/>
                <c:pt idx="0">
                  <c:v>Bâle - Mulhouse </c:v>
                </c:pt>
              </c:strCache>
            </c:strRef>
          </c:tx>
          <c:marker>
            <c:symbol val="none"/>
          </c:marker>
          <c:cat>
            <c:numRef>
              <c:f>'D_Ch4-2'!$B$34:$F$34</c:f>
              <c:numCache>
                <c:formatCode>#,##0</c:formatCode>
                <c:ptCount val="5"/>
                <c:pt idx="0">
                  <c:v>2011</c:v>
                </c:pt>
                <c:pt idx="1">
                  <c:v>2012</c:v>
                </c:pt>
                <c:pt idx="2">
                  <c:v>2013</c:v>
                </c:pt>
                <c:pt idx="3">
                  <c:v>2014</c:v>
                </c:pt>
                <c:pt idx="4">
                  <c:v>2015</c:v>
                </c:pt>
              </c:numCache>
            </c:numRef>
          </c:cat>
          <c:val>
            <c:numRef>
              <c:f>'D_Ch4-2'!$B$41:$F$41</c:f>
              <c:numCache>
                <c:formatCode>General</c:formatCode>
                <c:ptCount val="5"/>
                <c:pt idx="0">
                  <c:v>100</c:v>
                </c:pt>
                <c:pt idx="1">
                  <c:v>105.97104682883464</c:v>
                </c:pt>
                <c:pt idx="2">
                  <c:v>116.39522243359714</c:v>
                </c:pt>
                <c:pt idx="3">
                  <c:v>129.13708980300402</c:v>
                </c:pt>
                <c:pt idx="4">
                  <c:v>139.76853784980196</c:v>
                </c:pt>
              </c:numCache>
            </c:numRef>
          </c:val>
          <c:smooth val="0"/>
        </c:ser>
        <c:ser>
          <c:idx val="9"/>
          <c:order val="1"/>
          <c:tx>
            <c:strRef>
              <c:f>'D_Ch4-2'!$A$44</c:f>
              <c:strCache>
                <c:ptCount val="1"/>
                <c:pt idx="0">
                  <c:v>Beauvais - Tillé </c:v>
                </c:pt>
              </c:strCache>
            </c:strRef>
          </c:tx>
          <c:marker>
            <c:symbol val="none"/>
          </c:marker>
          <c:cat>
            <c:numRef>
              <c:f>'D_Ch4-2'!$B$34:$F$34</c:f>
              <c:numCache>
                <c:formatCode>#,##0</c:formatCode>
                <c:ptCount val="5"/>
                <c:pt idx="0">
                  <c:v>2011</c:v>
                </c:pt>
                <c:pt idx="1">
                  <c:v>2012</c:v>
                </c:pt>
                <c:pt idx="2">
                  <c:v>2013</c:v>
                </c:pt>
                <c:pt idx="3">
                  <c:v>2014</c:v>
                </c:pt>
                <c:pt idx="4">
                  <c:v>2015</c:v>
                </c:pt>
              </c:numCache>
            </c:numRef>
          </c:cat>
          <c:val>
            <c:numRef>
              <c:f>'D_Ch4-2'!$B$44:$F$44</c:f>
              <c:numCache>
                <c:formatCode>General</c:formatCode>
                <c:ptCount val="5"/>
                <c:pt idx="0">
                  <c:v>100</c:v>
                </c:pt>
                <c:pt idx="1">
                  <c:v>105.02388116354533</c:v>
                </c:pt>
                <c:pt idx="2">
                  <c:v>107.48040809245978</c:v>
                </c:pt>
                <c:pt idx="3">
                  <c:v>109.41887990463847</c:v>
                </c:pt>
                <c:pt idx="4">
                  <c:v>117.73413627843212</c:v>
                </c:pt>
              </c:numCache>
            </c:numRef>
          </c:val>
          <c:smooth val="0"/>
        </c:ser>
        <c:ser>
          <c:idx val="8"/>
          <c:order val="2"/>
          <c:tx>
            <c:strRef>
              <c:f>'D_Ch4-2'!$A$43</c:f>
              <c:strCache>
                <c:ptCount val="1"/>
                <c:pt idx="0">
                  <c:v>Nantes Atlantique </c:v>
                </c:pt>
              </c:strCache>
            </c:strRef>
          </c:tx>
          <c:spPr>
            <a:ln>
              <a:solidFill>
                <a:schemeClr val="tx1">
                  <a:lumMod val="75000"/>
                  <a:lumOff val="25000"/>
                </a:schemeClr>
              </a:solidFill>
            </a:ln>
          </c:spPr>
          <c:marker>
            <c:symbol val="none"/>
          </c:marker>
          <c:cat>
            <c:numRef>
              <c:f>'D_Ch4-2'!$B$34:$F$34</c:f>
              <c:numCache>
                <c:formatCode>#,##0</c:formatCode>
                <c:ptCount val="5"/>
                <c:pt idx="0">
                  <c:v>2011</c:v>
                </c:pt>
                <c:pt idx="1">
                  <c:v>2012</c:v>
                </c:pt>
                <c:pt idx="2">
                  <c:v>2013</c:v>
                </c:pt>
                <c:pt idx="3">
                  <c:v>2014</c:v>
                </c:pt>
                <c:pt idx="4">
                  <c:v>2015</c:v>
                </c:pt>
              </c:numCache>
            </c:numRef>
          </c:cat>
          <c:val>
            <c:numRef>
              <c:f>'D_Ch4-2'!$B$43:$F$43</c:f>
              <c:numCache>
                <c:formatCode>General</c:formatCode>
                <c:ptCount val="5"/>
                <c:pt idx="0">
                  <c:v>100</c:v>
                </c:pt>
                <c:pt idx="1">
                  <c:v>111.87431189325696</c:v>
                </c:pt>
                <c:pt idx="2">
                  <c:v>121.08981321694792</c:v>
                </c:pt>
                <c:pt idx="3">
                  <c:v>128.06514395485712</c:v>
                </c:pt>
                <c:pt idx="4">
                  <c:v>135.38786270580053</c:v>
                </c:pt>
              </c:numCache>
            </c:numRef>
          </c:val>
          <c:smooth val="0"/>
        </c:ser>
        <c:ser>
          <c:idx val="7"/>
          <c:order val="3"/>
          <c:tx>
            <c:strRef>
              <c:f>'D_Ch4-2'!$A$42</c:f>
              <c:strCache>
                <c:ptCount val="1"/>
                <c:pt idx="0">
                  <c:v>Bordeaux - Mérignac</c:v>
                </c:pt>
              </c:strCache>
            </c:strRef>
          </c:tx>
          <c:spPr>
            <a:ln>
              <a:solidFill>
                <a:srgbClr val="EE4726"/>
              </a:solidFill>
            </a:ln>
          </c:spPr>
          <c:marker>
            <c:symbol val="none"/>
          </c:marker>
          <c:cat>
            <c:numRef>
              <c:f>'D_Ch4-2'!$B$34:$F$34</c:f>
              <c:numCache>
                <c:formatCode>#,##0</c:formatCode>
                <c:ptCount val="5"/>
                <c:pt idx="0">
                  <c:v>2011</c:v>
                </c:pt>
                <c:pt idx="1">
                  <c:v>2012</c:v>
                </c:pt>
                <c:pt idx="2">
                  <c:v>2013</c:v>
                </c:pt>
                <c:pt idx="3">
                  <c:v>2014</c:v>
                </c:pt>
                <c:pt idx="4">
                  <c:v>2015</c:v>
                </c:pt>
              </c:numCache>
            </c:numRef>
          </c:cat>
          <c:val>
            <c:numRef>
              <c:f>'D_Ch4-2'!$B$42:$F$42</c:f>
              <c:numCache>
                <c:formatCode>General</c:formatCode>
                <c:ptCount val="5"/>
                <c:pt idx="0">
                  <c:v>100</c:v>
                </c:pt>
                <c:pt idx="1">
                  <c:v>107.67151966833433</c:v>
                </c:pt>
                <c:pt idx="2">
                  <c:v>112.28021373470392</c:v>
                </c:pt>
                <c:pt idx="3">
                  <c:v>120.24167340413246</c:v>
                </c:pt>
                <c:pt idx="4">
                  <c:v>129.43943879442926</c:v>
                </c:pt>
              </c:numCache>
            </c:numRef>
          </c:val>
          <c:smooth val="0"/>
        </c:ser>
        <c:ser>
          <c:idx val="2"/>
          <c:order val="4"/>
          <c:tx>
            <c:strRef>
              <c:f>'D_Ch4-2'!$A$37</c:f>
              <c:strCache>
                <c:ptCount val="1"/>
                <c:pt idx="0">
                  <c:v>Nice Côte d'Azur </c:v>
                </c:pt>
              </c:strCache>
            </c:strRef>
          </c:tx>
          <c:marker>
            <c:symbol val="none"/>
          </c:marker>
          <c:cat>
            <c:numRef>
              <c:f>'D_Ch4-2'!$B$34:$F$34</c:f>
              <c:numCache>
                <c:formatCode>#,##0</c:formatCode>
                <c:ptCount val="5"/>
                <c:pt idx="0">
                  <c:v>2011</c:v>
                </c:pt>
                <c:pt idx="1">
                  <c:v>2012</c:v>
                </c:pt>
                <c:pt idx="2">
                  <c:v>2013</c:v>
                </c:pt>
                <c:pt idx="3">
                  <c:v>2014</c:v>
                </c:pt>
                <c:pt idx="4">
                  <c:v>2015</c:v>
                </c:pt>
              </c:numCache>
            </c:numRef>
          </c:cat>
          <c:val>
            <c:numRef>
              <c:f>'D_Ch4-2'!$B$37:$F$37</c:f>
              <c:numCache>
                <c:formatCode>General</c:formatCode>
                <c:ptCount val="5"/>
                <c:pt idx="0">
                  <c:v>100</c:v>
                </c:pt>
                <c:pt idx="1">
                  <c:v>107.36727712423431</c:v>
                </c:pt>
                <c:pt idx="2">
                  <c:v>110.86327067561319</c:v>
                </c:pt>
                <c:pt idx="3">
                  <c:v>111.87993022117577</c:v>
                </c:pt>
                <c:pt idx="4">
                  <c:v>115.30076598005023</c:v>
                </c:pt>
              </c:numCache>
            </c:numRef>
          </c:val>
          <c:smooth val="0"/>
        </c:ser>
        <c:ser>
          <c:idx val="5"/>
          <c:order val="5"/>
          <c:tx>
            <c:strRef>
              <c:f>'D_Ch4-2'!$A$40</c:f>
              <c:strCache>
                <c:ptCount val="1"/>
                <c:pt idx="0">
                  <c:v>Toulouse - Blagnac </c:v>
                </c:pt>
              </c:strCache>
            </c:strRef>
          </c:tx>
          <c:marker>
            <c:symbol val="none"/>
          </c:marker>
          <c:cat>
            <c:numRef>
              <c:f>'D_Ch4-2'!$B$34:$F$34</c:f>
              <c:numCache>
                <c:formatCode>#,##0</c:formatCode>
                <c:ptCount val="5"/>
                <c:pt idx="0">
                  <c:v>2011</c:v>
                </c:pt>
                <c:pt idx="1">
                  <c:v>2012</c:v>
                </c:pt>
                <c:pt idx="2">
                  <c:v>2013</c:v>
                </c:pt>
                <c:pt idx="3">
                  <c:v>2014</c:v>
                </c:pt>
                <c:pt idx="4">
                  <c:v>2015</c:v>
                </c:pt>
              </c:numCache>
            </c:numRef>
          </c:cat>
          <c:val>
            <c:numRef>
              <c:f>'D_Ch4-2'!$B$40:$F$40</c:f>
              <c:numCache>
                <c:formatCode>General</c:formatCode>
                <c:ptCount val="5"/>
                <c:pt idx="0">
                  <c:v>100</c:v>
                </c:pt>
                <c:pt idx="1">
                  <c:v>108.17399193490687</c:v>
                </c:pt>
                <c:pt idx="2">
                  <c:v>108.29253563895401</c:v>
                </c:pt>
                <c:pt idx="3">
                  <c:v>107.57849728253871</c:v>
                </c:pt>
                <c:pt idx="4">
                  <c:v>109.7438517259242</c:v>
                </c:pt>
              </c:numCache>
            </c:numRef>
          </c:val>
          <c:smooth val="0"/>
        </c:ser>
        <c:ser>
          <c:idx val="1"/>
          <c:order val="6"/>
          <c:tx>
            <c:strRef>
              <c:f>'D_Ch4-2'!$A$36</c:f>
              <c:strCache>
                <c:ptCount val="1"/>
                <c:pt idx="0">
                  <c:v>Paris - Orly </c:v>
                </c:pt>
              </c:strCache>
            </c:strRef>
          </c:tx>
          <c:marker>
            <c:symbol val="none"/>
          </c:marker>
          <c:cat>
            <c:numRef>
              <c:f>'D_Ch4-2'!$B$34:$F$34</c:f>
              <c:numCache>
                <c:formatCode>#,##0</c:formatCode>
                <c:ptCount val="5"/>
                <c:pt idx="0">
                  <c:v>2011</c:v>
                </c:pt>
                <c:pt idx="1">
                  <c:v>2012</c:v>
                </c:pt>
                <c:pt idx="2">
                  <c:v>2013</c:v>
                </c:pt>
                <c:pt idx="3">
                  <c:v>2014</c:v>
                </c:pt>
                <c:pt idx="4">
                  <c:v>2015</c:v>
                </c:pt>
              </c:numCache>
            </c:numRef>
          </c:cat>
          <c:val>
            <c:numRef>
              <c:f>'D_Ch4-2'!$B$36:$F$36</c:f>
              <c:numCache>
                <c:formatCode>General</c:formatCode>
                <c:ptCount val="5"/>
                <c:pt idx="0">
                  <c:v>100</c:v>
                </c:pt>
                <c:pt idx="1">
                  <c:v>100.34336835933544</c:v>
                </c:pt>
                <c:pt idx="2">
                  <c:v>104.18244895294151</c:v>
                </c:pt>
                <c:pt idx="3">
                  <c:v>106.35065836434521</c:v>
                </c:pt>
                <c:pt idx="4">
                  <c:v>109.30730655678917</c:v>
                </c:pt>
              </c:numCache>
            </c:numRef>
          </c:val>
          <c:smooth val="0"/>
        </c:ser>
        <c:ser>
          <c:idx val="4"/>
          <c:order val="7"/>
          <c:tx>
            <c:strRef>
              <c:f>'D_Ch4-2'!$A$39</c:f>
              <c:strCache>
                <c:ptCount val="1"/>
                <c:pt idx="0">
                  <c:v>Marseille Provence</c:v>
                </c:pt>
              </c:strCache>
            </c:strRef>
          </c:tx>
          <c:marker>
            <c:symbol val="none"/>
          </c:marker>
          <c:cat>
            <c:numRef>
              <c:f>'D_Ch4-2'!$B$34:$F$34</c:f>
              <c:numCache>
                <c:formatCode>#,##0</c:formatCode>
                <c:ptCount val="5"/>
                <c:pt idx="0">
                  <c:v>2011</c:v>
                </c:pt>
                <c:pt idx="1">
                  <c:v>2012</c:v>
                </c:pt>
                <c:pt idx="2">
                  <c:v>2013</c:v>
                </c:pt>
                <c:pt idx="3">
                  <c:v>2014</c:v>
                </c:pt>
                <c:pt idx="4">
                  <c:v>2015</c:v>
                </c:pt>
              </c:numCache>
            </c:numRef>
          </c:cat>
          <c:val>
            <c:numRef>
              <c:f>'D_Ch4-2'!$B$39:$F$39</c:f>
              <c:numCache>
                <c:formatCode>General</c:formatCode>
                <c:ptCount val="5"/>
                <c:pt idx="0">
                  <c:v>100</c:v>
                </c:pt>
                <c:pt idx="1">
                  <c:v>112.66334902787804</c:v>
                </c:pt>
                <c:pt idx="2">
                  <c:v>112.18990507761166</c:v>
                </c:pt>
                <c:pt idx="3">
                  <c:v>111.12537599815728</c:v>
                </c:pt>
                <c:pt idx="4">
                  <c:v>112.20599891240988</c:v>
                </c:pt>
              </c:numCache>
            </c:numRef>
          </c:val>
          <c:smooth val="0"/>
        </c:ser>
        <c:ser>
          <c:idx val="0"/>
          <c:order val="8"/>
          <c:tx>
            <c:strRef>
              <c:f>'D_Ch4-2'!$A$35</c:f>
              <c:strCache>
                <c:ptCount val="1"/>
                <c:pt idx="0">
                  <c:v>Paris Charles de Gaulle </c:v>
                </c:pt>
              </c:strCache>
            </c:strRef>
          </c:tx>
          <c:marker>
            <c:symbol val="none"/>
          </c:marker>
          <c:cat>
            <c:numRef>
              <c:f>'D_Ch4-2'!$B$34:$F$34</c:f>
              <c:numCache>
                <c:formatCode>#,##0</c:formatCode>
                <c:ptCount val="5"/>
                <c:pt idx="0">
                  <c:v>2011</c:v>
                </c:pt>
                <c:pt idx="1">
                  <c:v>2012</c:v>
                </c:pt>
                <c:pt idx="2">
                  <c:v>2013</c:v>
                </c:pt>
                <c:pt idx="3">
                  <c:v>2014</c:v>
                </c:pt>
                <c:pt idx="4">
                  <c:v>2015</c:v>
                </c:pt>
              </c:numCache>
            </c:numRef>
          </c:cat>
          <c:val>
            <c:numRef>
              <c:f>'D_Ch4-2'!$B$35:$F$35</c:f>
              <c:numCache>
                <c:formatCode>General</c:formatCode>
                <c:ptCount val="5"/>
                <c:pt idx="0">
                  <c:v>100</c:v>
                </c:pt>
                <c:pt idx="1">
                  <c:v>100.96054733046451</c:v>
                </c:pt>
                <c:pt idx="2">
                  <c:v>101.77522751926583</c:v>
                </c:pt>
                <c:pt idx="3">
                  <c:v>104.66324307943356</c:v>
                </c:pt>
                <c:pt idx="4">
                  <c:v>107.86680605855112</c:v>
                </c:pt>
              </c:numCache>
            </c:numRef>
          </c:val>
          <c:smooth val="0"/>
        </c:ser>
        <c:ser>
          <c:idx val="3"/>
          <c:order val="9"/>
          <c:tx>
            <c:strRef>
              <c:f>'D_Ch4-2'!$A$38</c:f>
              <c:strCache>
                <c:ptCount val="1"/>
                <c:pt idx="0">
                  <c:v>Lyon-Saint Exupéry </c:v>
                </c:pt>
              </c:strCache>
            </c:strRef>
          </c:tx>
          <c:marker>
            <c:symbol val="none"/>
          </c:marker>
          <c:cat>
            <c:numRef>
              <c:f>'D_Ch4-2'!$B$34:$F$34</c:f>
              <c:numCache>
                <c:formatCode>#,##0</c:formatCode>
                <c:ptCount val="5"/>
                <c:pt idx="0">
                  <c:v>2011</c:v>
                </c:pt>
                <c:pt idx="1">
                  <c:v>2012</c:v>
                </c:pt>
                <c:pt idx="2">
                  <c:v>2013</c:v>
                </c:pt>
                <c:pt idx="3">
                  <c:v>2014</c:v>
                </c:pt>
                <c:pt idx="4">
                  <c:v>2015</c:v>
                </c:pt>
              </c:numCache>
            </c:numRef>
          </c:cat>
          <c:val>
            <c:numRef>
              <c:f>'D_Ch4-2'!$B$38:$F$38</c:f>
              <c:numCache>
                <c:formatCode>General</c:formatCode>
                <c:ptCount val="5"/>
                <c:pt idx="0">
                  <c:v>100</c:v>
                </c:pt>
                <c:pt idx="1">
                  <c:v>100.16472404574013</c:v>
                </c:pt>
                <c:pt idx="2">
                  <c:v>101.48340533837232</c:v>
                </c:pt>
                <c:pt idx="3">
                  <c:v>100.35500177133463</c:v>
                </c:pt>
                <c:pt idx="4">
                  <c:v>103.15525128713625</c:v>
                </c:pt>
              </c:numCache>
            </c:numRef>
          </c:val>
          <c:smooth val="0"/>
        </c:ser>
        <c:dLbls>
          <c:showLegendKey val="0"/>
          <c:showVal val="0"/>
          <c:showCatName val="0"/>
          <c:showSerName val="0"/>
          <c:showPercent val="0"/>
          <c:showBubbleSize val="0"/>
        </c:dLbls>
        <c:marker val="1"/>
        <c:smooth val="0"/>
        <c:axId val="132257280"/>
        <c:axId val="132258816"/>
      </c:lineChart>
      <c:catAx>
        <c:axId val="132257280"/>
        <c:scaling>
          <c:orientation val="minMax"/>
        </c:scaling>
        <c:delete val="0"/>
        <c:axPos val="b"/>
        <c:numFmt formatCode="General" sourceLinked="0"/>
        <c:majorTickMark val="out"/>
        <c:minorTickMark val="none"/>
        <c:tickLblPos val="nextTo"/>
        <c:txPr>
          <a:bodyPr/>
          <a:lstStyle/>
          <a:p>
            <a:pPr>
              <a:defRPr sz="900"/>
            </a:pPr>
            <a:endParaRPr lang="fr-FR"/>
          </a:p>
        </c:txPr>
        <c:crossAx val="132258816"/>
        <c:crosses val="autoZero"/>
        <c:auto val="1"/>
        <c:lblAlgn val="ctr"/>
        <c:lblOffset val="100"/>
        <c:noMultiLvlLbl val="0"/>
      </c:catAx>
      <c:valAx>
        <c:axId val="132258816"/>
        <c:scaling>
          <c:orientation val="minMax"/>
          <c:min val="80"/>
        </c:scaling>
        <c:delete val="0"/>
        <c:axPos val="l"/>
        <c:majorGridlines/>
        <c:numFmt formatCode="General" sourceLinked="1"/>
        <c:majorTickMark val="out"/>
        <c:minorTickMark val="none"/>
        <c:tickLblPos val="nextTo"/>
        <c:txPr>
          <a:bodyPr/>
          <a:lstStyle/>
          <a:p>
            <a:pPr>
              <a:defRPr sz="900"/>
            </a:pPr>
            <a:endParaRPr lang="fr-FR"/>
          </a:p>
        </c:txPr>
        <c:crossAx val="132257280"/>
        <c:crossesAt val="1"/>
        <c:crossBetween val="midCat"/>
      </c:valAx>
    </c:plotArea>
    <c:legend>
      <c:legendPos val="r"/>
      <c:layout>
        <c:manualLayout>
          <c:xMode val="edge"/>
          <c:yMode val="edge"/>
          <c:x val="0.76146090270137146"/>
          <c:y val="5.3816365491530141E-2"/>
          <c:w val="0.23237430693686018"/>
          <c:h val="0.89699653579634575"/>
        </c:manualLayout>
      </c:layout>
      <c:overlay val="0"/>
      <c:txPr>
        <a:bodyPr/>
        <a:lstStyle/>
        <a:p>
          <a:pPr>
            <a:defRPr sz="9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08758420119152"/>
          <c:y val="3.5010476922836264E-2"/>
          <c:w val="0.81761156696200699"/>
          <c:h val="0.88599210959464647"/>
        </c:manualLayout>
      </c:layout>
      <c:lineChart>
        <c:grouping val="standard"/>
        <c:varyColors val="0"/>
        <c:ser>
          <c:idx val="0"/>
          <c:order val="0"/>
          <c:tx>
            <c:strRef>
              <c:f>'D_Ch4-1'!$A$162</c:f>
              <c:strCache>
                <c:ptCount val="1"/>
                <c:pt idx="0">
                  <c:v>Loire-Atl.</c:v>
                </c:pt>
              </c:strCache>
            </c:strRef>
          </c:tx>
          <c:spPr>
            <a:ln>
              <a:solidFill>
                <a:schemeClr val="bg2">
                  <a:lumMod val="25000"/>
                </a:schemeClr>
              </a:solidFill>
            </a:ln>
          </c:spPr>
          <c:marker>
            <c:symbol val="none"/>
          </c:marker>
          <c:dLbls>
            <c:dLbl>
              <c:idx val="0"/>
              <c:delete val="1"/>
            </c:dLbl>
            <c:dLbl>
              <c:idx val="1"/>
              <c:delete val="1"/>
            </c:dLbl>
            <c:dLbl>
              <c:idx val="2"/>
              <c:delete val="1"/>
            </c:dLbl>
            <c:dLbl>
              <c:idx val="3"/>
              <c:delete val="1"/>
            </c:dLbl>
            <c:dLbl>
              <c:idx val="4"/>
              <c:delete val="1"/>
            </c:dLbl>
            <c:dLbl>
              <c:idx val="5"/>
              <c:layout>
                <c:manualLayout>
                  <c:x val="-0.26458486449574359"/>
                  <c:y val="0.38471250722856776"/>
                </c:manualLayout>
              </c:layout>
              <c:showLegendKey val="0"/>
              <c:showVal val="0"/>
              <c:showCatName val="0"/>
              <c:showSerName val="1"/>
              <c:showPercent val="0"/>
              <c:showBubbleSize val="0"/>
            </c:dLbl>
            <c:txPr>
              <a:bodyPr/>
              <a:lstStyle/>
              <a:p>
                <a:pPr>
                  <a:defRPr sz="800" b="1" i="1">
                    <a:solidFill>
                      <a:schemeClr val="bg2">
                        <a:lumMod val="25000"/>
                      </a:schemeClr>
                    </a:solidFill>
                  </a:defRPr>
                </a:pPr>
                <a:endParaRPr lang="fr-FR"/>
              </a:p>
            </c:txPr>
            <c:showLegendKey val="0"/>
            <c:showVal val="0"/>
            <c:showCatName val="0"/>
            <c:showSerName val="1"/>
            <c:showPercent val="0"/>
            <c:showBubbleSize val="0"/>
            <c:showLeaderLines val="0"/>
          </c:dLbls>
          <c:cat>
            <c:strRef>
              <c:f>'D_Ch4-1'!$H$161:$M$161</c:f>
              <c:strCache>
                <c:ptCount val="6"/>
                <c:pt idx="0">
                  <c:v>2007</c:v>
                </c:pt>
                <c:pt idx="1">
                  <c:v>2008</c:v>
                </c:pt>
                <c:pt idx="2">
                  <c:v>2009</c:v>
                </c:pt>
                <c:pt idx="3">
                  <c:v>2010</c:v>
                </c:pt>
                <c:pt idx="4">
                  <c:v>2011</c:v>
                </c:pt>
                <c:pt idx="5">
                  <c:v>2012</c:v>
                </c:pt>
              </c:strCache>
            </c:strRef>
          </c:cat>
          <c:val>
            <c:numRef>
              <c:f>'D_Ch4-1'!$H$162:$M$162</c:f>
              <c:numCache>
                <c:formatCode>General</c:formatCode>
                <c:ptCount val="6"/>
                <c:pt idx="0">
                  <c:v>100</c:v>
                </c:pt>
                <c:pt idx="1">
                  <c:v>100.7</c:v>
                </c:pt>
                <c:pt idx="2">
                  <c:v>97.5</c:v>
                </c:pt>
                <c:pt idx="3">
                  <c:v>96.3</c:v>
                </c:pt>
                <c:pt idx="4">
                  <c:v>100.5</c:v>
                </c:pt>
                <c:pt idx="5">
                  <c:v>101.7</c:v>
                </c:pt>
              </c:numCache>
            </c:numRef>
          </c:val>
          <c:smooth val="0"/>
        </c:ser>
        <c:ser>
          <c:idx val="1"/>
          <c:order val="1"/>
          <c:tx>
            <c:strRef>
              <c:f>'D_Ch4-1'!$A$163</c:f>
              <c:strCache>
                <c:ptCount val="1"/>
                <c:pt idx="0">
                  <c:v>Gironde</c:v>
                </c:pt>
              </c:strCache>
            </c:strRef>
          </c:tx>
          <c:marker>
            <c:symbol val="none"/>
          </c:marker>
          <c:dLbls>
            <c:dLbl>
              <c:idx val="0"/>
              <c:delete val="1"/>
            </c:dLbl>
            <c:dLbl>
              <c:idx val="1"/>
              <c:delete val="1"/>
            </c:dLbl>
            <c:dLbl>
              <c:idx val="2"/>
              <c:delete val="1"/>
            </c:dLbl>
            <c:dLbl>
              <c:idx val="3"/>
              <c:delete val="1"/>
            </c:dLbl>
            <c:dLbl>
              <c:idx val="4"/>
              <c:delete val="1"/>
            </c:dLbl>
            <c:dLbl>
              <c:idx val="5"/>
              <c:layout>
                <c:manualLayout>
                  <c:x val="-0.67322148855028097"/>
                  <c:y val="0.22389006568219927"/>
                </c:manualLayout>
              </c:layout>
              <c:spPr/>
              <c:txPr>
                <a:bodyPr rot="3000000"/>
                <a:lstStyle/>
                <a:p>
                  <a:pPr>
                    <a:defRPr sz="800" b="1" i="1">
                      <a:solidFill>
                        <a:srgbClr val="C00000"/>
                      </a:solidFill>
                    </a:defRPr>
                  </a:pPr>
                  <a:endParaRPr lang="fr-FR"/>
                </a:p>
              </c:txPr>
              <c:showLegendKey val="0"/>
              <c:showVal val="0"/>
              <c:showCatName val="0"/>
              <c:showSerName val="1"/>
              <c:showPercent val="0"/>
              <c:showBubbleSize val="0"/>
            </c:dLbl>
            <c:txPr>
              <a:bodyPr/>
              <a:lstStyle/>
              <a:p>
                <a:pPr>
                  <a:defRPr sz="800" b="1" i="1">
                    <a:solidFill>
                      <a:srgbClr val="C00000"/>
                    </a:solidFill>
                  </a:defRPr>
                </a:pPr>
                <a:endParaRPr lang="fr-FR"/>
              </a:p>
            </c:txPr>
            <c:showLegendKey val="0"/>
            <c:showVal val="0"/>
            <c:showCatName val="0"/>
            <c:showSerName val="1"/>
            <c:showPercent val="0"/>
            <c:showBubbleSize val="0"/>
            <c:showLeaderLines val="0"/>
          </c:dLbls>
          <c:cat>
            <c:strRef>
              <c:f>'D_Ch4-1'!$H$161:$M$161</c:f>
              <c:strCache>
                <c:ptCount val="6"/>
                <c:pt idx="0">
                  <c:v>2007</c:v>
                </c:pt>
                <c:pt idx="1">
                  <c:v>2008</c:v>
                </c:pt>
                <c:pt idx="2">
                  <c:v>2009</c:v>
                </c:pt>
                <c:pt idx="3">
                  <c:v>2010</c:v>
                </c:pt>
                <c:pt idx="4">
                  <c:v>2011</c:v>
                </c:pt>
                <c:pt idx="5">
                  <c:v>2012</c:v>
                </c:pt>
              </c:strCache>
            </c:strRef>
          </c:cat>
          <c:val>
            <c:numRef>
              <c:f>'D_Ch4-1'!$H$163:$M$163</c:f>
              <c:numCache>
                <c:formatCode>General</c:formatCode>
                <c:ptCount val="6"/>
                <c:pt idx="0">
                  <c:v>100</c:v>
                </c:pt>
                <c:pt idx="1">
                  <c:v>96.5</c:v>
                </c:pt>
                <c:pt idx="2">
                  <c:v>96</c:v>
                </c:pt>
                <c:pt idx="3">
                  <c:v>97.4</c:v>
                </c:pt>
                <c:pt idx="4">
                  <c:v>100</c:v>
                </c:pt>
                <c:pt idx="5">
                  <c:v>100.2</c:v>
                </c:pt>
              </c:numCache>
            </c:numRef>
          </c:val>
          <c:smooth val="0"/>
        </c:ser>
        <c:ser>
          <c:idx val="2"/>
          <c:order val="2"/>
          <c:tx>
            <c:strRef>
              <c:f>'D_Ch4-1'!$A$164</c:f>
              <c:strCache>
                <c:ptCount val="1"/>
                <c:pt idx="0">
                  <c:v>Haute-Garonne</c:v>
                </c:pt>
              </c:strCache>
            </c:strRef>
          </c:tx>
          <c:marker>
            <c:symbol val="none"/>
          </c:marker>
          <c:dLbls>
            <c:dLbl>
              <c:idx val="0"/>
              <c:delete val="1"/>
            </c:dLbl>
            <c:dLbl>
              <c:idx val="1"/>
              <c:delete val="1"/>
            </c:dLbl>
            <c:dLbl>
              <c:idx val="2"/>
              <c:delete val="1"/>
            </c:dLbl>
            <c:dLbl>
              <c:idx val="3"/>
              <c:delete val="1"/>
            </c:dLbl>
            <c:dLbl>
              <c:idx val="4"/>
              <c:delete val="1"/>
            </c:dLbl>
            <c:dLbl>
              <c:idx val="5"/>
              <c:layout>
                <c:manualLayout>
                  <c:x val="-0.48801231488608154"/>
                  <c:y val="0.26173064016369774"/>
                </c:manualLayout>
              </c:layout>
              <c:spPr/>
              <c:txPr>
                <a:bodyPr rot="1200000" anchor="ctr" anchorCtr="0"/>
                <a:lstStyle/>
                <a:p>
                  <a:pPr>
                    <a:defRPr sz="800" b="1">
                      <a:solidFill>
                        <a:schemeClr val="accent3"/>
                      </a:solidFill>
                    </a:defRPr>
                  </a:pPr>
                  <a:endParaRPr lang="fr-FR"/>
                </a:p>
              </c:txPr>
              <c:dLblPos val="r"/>
              <c:showLegendKey val="0"/>
              <c:showVal val="0"/>
              <c:showCatName val="0"/>
              <c:showSerName val="1"/>
              <c:showPercent val="0"/>
              <c:showBubbleSize val="0"/>
            </c:dLbl>
            <c:txPr>
              <a:bodyPr rot="1200000" anchor="ctr" anchorCtr="0"/>
              <a:lstStyle/>
              <a:p>
                <a:pPr>
                  <a:defRPr sz="800"/>
                </a:pPr>
                <a:endParaRPr lang="fr-FR"/>
              </a:p>
            </c:txPr>
            <c:dLblPos val="ctr"/>
            <c:showLegendKey val="0"/>
            <c:showVal val="0"/>
            <c:showCatName val="0"/>
            <c:showSerName val="1"/>
            <c:showPercent val="0"/>
            <c:showBubbleSize val="0"/>
            <c:showLeaderLines val="0"/>
          </c:dLbls>
          <c:cat>
            <c:strRef>
              <c:f>'D_Ch4-1'!$H$161:$M$161</c:f>
              <c:strCache>
                <c:ptCount val="6"/>
                <c:pt idx="0">
                  <c:v>2007</c:v>
                </c:pt>
                <c:pt idx="1">
                  <c:v>2008</c:v>
                </c:pt>
                <c:pt idx="2">
                  <c:v>2009</c:v>
                </c:pt>
                <c:pt idx="3">
                  <c:v>2010</c:v>
                </c:pt>
                <c:pt idx="4">
                  <c:v>2011</c:v>
                </c:pt>
                <c:pt idx="5">
                  <c:v>2012</c:v>
                </c:pt>
              </c:strCache>
            </c:strRef>
          </c:cat>
          <c:val>
            <c:numRef>
              <c:f>'D_Ch4-1'!$H$164:$M$164</c:f>
              <c:numCache>
                <c:formatCode>General</c:formatCode>
                <c:ptCount val="6"/>
                <c:pt idx="0">
                  <c:v>100</c:v>
                </c:pt>
                <c:pt idx="1">
                  <c:v>101.9</c:v>
                </c:pt>
                <c:pt idx="2">
                  <c:v>101</c:v>
                </c:pt>
                <c:pt idx="3">
                  <c:v>99.4</c:v>
                </c:pt>
                <c:pt idx="4">
                  <c:v>103.3</c:v>
                </c:pt>
                <c:pt idx="5">
                  <c:v>105.2</c:v>
                </c:pt>
              </c:numCache>
            </c:numRef>
          </c:val>
          <c:smooth val="0"/>
        </c:ser>
        <c:ser>
          <c:idx val="3"/>
          <c:order val="3"/>
          <c:tx>
            <c:strRef>
              <c:f>'D_Ch4-1'!$A$165</c:f>
              <c:strCache>
                <c:ptCount val="1"/>
                <c:pt idx="0">
                  <c:v>Rhône</c:v>
                </c:pt>
              </c:strCache>
            </c:strRef>
          </c:tx>
          <c:marker>
            <c:symbol val="none"/>
          </c:marker>
          <c:dLbls>
            <c:dLbl>
              <c:idx val="0"/>
              <c:delete val="1"/>
            </c:dLbl>
            <c:dLbl>
              <c:idx val="1"/>
              <c:delete val="1"/>
            </c:dLbl>
            <c:dLbl>
              <c:idx val="2"/>
              <c:delete val="1"/>
            </c:dLbl>
            <c:dLbl>
              <c:idx val="3"/>
              <c:delete val="1"/>
            </c:dLbl>
            <c:dLbl>
              <c:idx val="4"/>
              <c:delete val="1"/>
            </c:dLbl>
            <c:dLbl>
              <c:idx val="5"/>
              <c:layout>
                <c:manualLayout>
                  <c:x val="-0.66734182489482008"/>
                  <c:y val="-4.4147336895081546E-2"/>
                </c:manualLayout>
              </c:layout>
              <c:showLegendKey val="0"/>
              <c:showVal val="0"/>
              <c:showCatName val="0"/>
              <c:showSerName val="1"/>
              <c:showPercent val="0"/>
              <c:showBubbleSize val="0"/>
            </c:dLbl>
            <c:txPr>
              <a:bodyPr/>
              <a:lstStyle/>
              <a:p>
                <a:pPr>
                  <a:defRPr sz="800" b="1" i="1">
                    <a:solidFill>
                      <a:schemeClr val="accent4"/>
                    </a:solidFill>
                  </a:defRPr>
                </a:pPr>
                <a:endParaRPr lang="fr-FR"/>
              </a:p>
            </c:txPr>
            <c:showLegendKey val="0"/>
            <c:showVal val="0"/>
            <c:showCatName val="0"/>
            <c:showSerName val="1"/>
            <c:showPercent val="0"/>
            <c:showBubbleSize val="0"/>
            <c:showLeaderLines val="0"/>
          </c:dLbls>
          <c:cat>
            <c:strRef>
              <c:f>'D_Ch4-1'!$H$161:$M$161</c:f>
              <c:strCache>
                <c:ptCount val="6"/>
                <c:pt idx="0">
                  <c:v>2007</c:v>
                </c:pt>
                <c:pt idx="1">
                  <c:v>2008</c:v>
                </c:pt>
                <c:pt idx="2">
                  <c:v>2009</c:v>
                </c:pt>
                <c:pt idx="3">
                  <c:v>2010</c:v>
                </c:pt>
                <c:pt idx="4">
                  <c:v>2011</c:v>
                </c:pt>
                <c:pt idx="5">
                  <c:v>2012</c:v>
                </c:pt>
              </c:strCache>
            </c:strRef>
          </c:cat>
          <c:val>
            <c:numRef>
              <c:f>'D_Ch4-1'!$H$165:$M$165</c:f>
              <c:numCache>
                <c:formatCode>General</c:formatCode>
                <c:ptCount val="6"/>
                <c:pt idx="0">
                  <c:v>100</c:v>
                </c:pt>
                <c:pt idx="1">
                  <c:v>103.6</c:v>
                </c:pt>
                <c:pt idx="2">
                  <c:v>99.1</c:v>
                </c:pt>
                <c:pt idx="3">
                  <c:v>101.5</c:v>
                </c:pt>
                <c:pt idx="4">
                  <c:v>103.4</c:v>
                </c:pt>
                <c:pt idx="5">
                  <c:v>103.3</c:v>
                </c:pt>
              </c:numCache>
            </c:numRef>
          </c:val>
          <c:smooth val="0"/>
        </c:ser>
        <c:ser>
          <c:idx val="4"/>
          <c:order val="4"/>
          <c:tx>
            <c:strRef>
              <c:f>'D_Ch4-1'!$A$166</c:f>
              <c:strCache>
                <c:ptCount val="1"/>
                <c:pt idx="0">
                  <c:v>Alpes-Marit.</c:v>
                </c:pt>
              </c:strCache>
            </c:strRef>
          </c:tx>
          <c:marker>
            <c:symbol val="none"/>
          </c:marker>
          <c:dLbls>
            <c:dLbl>
              <c:idx val="0"/>
              <c:delete val="1"/>
            </c:dLbl>
            <c:dLbl>
              <c:idx val="1"/>
              <c:delete val="1"/>
            </c:dLbl>
            <c:dLbl>
              <c:idx val="2"/>
              <c:delete val="1"/>
            </c:dLbl>
            <c:dLbl>
              <c:idx val="3"/>
              <c:delete val="1"/>
            </c:dLbl>
            <c:dLbl>
              <c:idx val="4"/>
              <c:delete val="1"/>
            </c:dLbl>
            <c:dLbl>
              <c:idx val="5"/>
              <c:layout>
                <c:manualLayout>
                  <c:x val="-0.65852232941162858"/>
                  <c:y val="0.18289610999390926"/>
                </c:manualLayout>
              </c:layout>
              <c:spPr/>
              <c:txPr>
                <a:bodyPr rot="2700000"/>
                <a:lstStyle/>
                <a:p>
                  <a:pPr>
                    <a:defRPr sz="800" b="1" i="1">
                      <a:solidFill>
                        <a:schemeClr val="accent5"/>
                      </a:solidFill>
                    </a:defRPr>
                  </a:pPr>
                  <a:endParaRPr lang="fr-FR"/>
                </a:p>
              </c:txPr>
              <c:showLegendKey val="0"/>
              <c:showVal val="0"/>
              <c:showCatName val="0"/>
              <c:showSerName val="1"/>
              <c:showPercent val="0"/>
              <c:showBubbleSize val="0"/>
            </c:dLbl>
            <c:txPr>
              <a:bodyPr/>
              <a:lstStyle/>
              <a:p>
                <a:pPr>
                  <a:defRPr sz="800" b="1" i="1">
                    <a:solidFill>
                      <a:schemeClr val="accent5"/>
                    </a:solidFill>
                  </a:defRPr>
                </a:pPr>
                <a:endParaRPr lang="fr-FR"/>
              </a:p>
            </c:txPr>
            <c:showLegendKey val="0"/>
            <c:showVal val="0"/>
            <c:showCatName val="0"/>
            <c:showSerName val="1"/>
            <c:showPercent val="0"/>
            <c:showBubbleSize val="0"/>
            <c:showLeaderLines val="0"/>
          </c:dLbls>
          <c:cat>
            <c:strRef>
              <c:f>'D_Ch4-1'!$H$161:$M$161</c:f>
              <c:strCache>
                <c:ptCount val="6"/>
                <c:pt idx="0">
                  <c:v>2007</c:v>
                </c:pt>
                <c:pt idx="1">
                  <c:v>2008</c:v>
                </c:pt>
                <c:pt idx="2">
                  <c:v>2009</c:v>
                </c:pt>
                <c:pt idx="3">
                  <c:v>2010</c:v>
                </c:pt>
                <c:pt idx="4">
                  <c:v>2011</c:v>
                </c:pt>
                <c:pt idx="5">
                  <c:v>2012</c:v>
                </c:pt>
              </c:strCache>
            </c:strRef>
          </c:cat>
          <c:val>
            <c:numRef>
              <c:f>'D_Ch4-1'!$H$166:$M$166</c:f>
              <c:numCache>
                <c:formatCode>General</c:formatCode>
                <c:ptCount val="6"/>
                <c:pt idx="0">
                  <c:v>100</c:v>
                </c:pt>
                <c:pt idx="1">
                  <c:v>97.9</c:v>
                </c:pt>
                <c:pt idx="2">
                  <c:v>95.8</c:v>
                </c:pt>
                <c:pt idx="3">
                  <c:v>99.5</c:v>
                </c:pt>
                <c:pt idx="4">
                  <c:v>100.3</c:v>
                </c:pt>
                <c:pt idx="5">
                  <c:v>101.1</c:v>
                </c:pt>
              </c:numCache>
            </c:numRef>
          </c:val>
          <c:smooth val="0"/>
        </c:ser>
        <c:ser>
          <c:idx val="5"/>
          <c:order val="5"/>
          <c:tx>
            <c:strRef>
              <c:f>'D_Ch4-1'!$A$167</c:f>
              <c:strCache>
                <c:ptCount val="1"/>
                <c:pt idx="0">
                  <c:v>Bouches-du-R.</c:v>
                </c:pt>
              </c:strCache>
            </c:strRef>
          </c:tx>
          <c:marker>
            <c:symbol val="none"/>
          </c:marker>
          <c:dLbls>
            <c:dLbl>
              <c:idx val="0"/>
              <c:delete val="1"/>
            </c:dLbl>
            <c:dLbl>
              <c:idx val="1"/>
              <c:delete val="1"/>
            </c:dLbl>
            <c:dLbl>
              <c:idx val="2"/>
              <c:delete val="1"/>
            </c:dLbl>
            <c:dLbl>
              <c:idx val="3"/>
              <c:delete val="1"/>
            </c:dLbl>
            <c:dLbl>
              <c:idx val="4"/>
              <c:delete val="1"/>
            </c:dLbl>
            <c:dLbl>
              <c:idx val="5"/>
              <c:layout>
                <c:manualLayout>
                  <c:x val="-0.29692301460077897"/>
                  <c:y val="0.13559539189203618"/>
                </c:manualLayout>
              </c:layout>
              <c:showLegendKey val="0"/>
              <c:showVal val="0"/>
              <c:showCatName val="0"/>
              <c:showSerName val="1"/>
              <c:showPercent val="0"/>
              <c:showBubbleSize val="0"/>
            </c:dLbl>
            <c:txPr>
              <a:bodyPr/>
              <a:lstStyle/>
              <a:p>
                <a:pPr>
                  <a:defRPr sz="800" b="1" i="1">
                    <a:solidFill>
                      <a:schemeClr val="accent6"/>
                    </a:solidFill>
                  </a:defRPr>
                </a:pPr>
                <a:endParaRPr lang="fr-FR"/>
              </a:p>
            </c:txPr>
            <c:showLegendKey val="0"/>
            <c:showVal val="0"/>
            <c:showCatName val="0"/>
            <c:showSerName val="1"/>
            <c:showPercent val="0"/>
            <c:showBubbleSize val="0"/>
            <c:showLeaderLines val="0"/>
          </c:dLbls>
          <c:cat>
            <c:strRef>
              <c:f>'D_Ch4-1'!$H$161:$M$161</c:f>
              <c:strCache>
                <c:ptCount val="6"/>
                <c:pt idx="0">
                  <c:v>2007</c:v>
                </c:pt>
                <c:pt idx="1">
                  <c:v>2008</c:v>
                </c:pt>
                <c:pt idx="2">
                  <c:v>2009</c:v>
                </c:pt>
                <c:pt idx="3">
                  <c:v>2010</c:v>
                </c:pt>
                <c:pt idx="4">
                  <c:v>2011</c:v>
                </c:pt>
                <c:pt idx="5">
                  <c:v>2012</c:v>
                </c:pt>
              </c:strCache>
            </c:strRef>
          </c:cat>
          <c:val>
            <c:numRef>
              <c:f>'D_Ch4-1'!$H$167:$M$167</c:f>
              <c:numCache>
                <c:formatCode>General</c:formatCode>
                <c:ptCount val="6"/>
                <c:pt idx="0">
                  <c:v>100</c:v>
                </c:pt>
                <c:pt idx="1">
                  <c:v>100.1</c:v>
                </c:pt>
                <c:pt idx="2">
                  <c:v>98.7</c:v>
                </c:pt>
                <c:pt idx="3">
                  <c:v>102.6</c:v>
                </c:pt>
                <c:pt idx="4">
                  <c:v>102.8</c:v>
                </c:pt>
                <c:pt idx="5">
                  <c:v>105</c:v>
                </c:pt>
              </c:numCache>
            </c:numRef>
          </c:val>
          <c:smooth val="0"/>
        </c:ser>
        <c:ser>
          <c:idx val="6"/>
          <c:order val="6"/>
          <c:tx>
            <c:strRef>
              <c:f>'D_Ch4-1'!$A$168</c:f>
              <c:strCache>
                <c:ptCount val="1"/>
                <c:pt idx="0">
                  <c:v>Nord </c:v>
                </c:pt>
              </c:strCache>
            </c:strRef>
          </c:tx>
          <c:marker>
            <c:symbol val="none"/>
          </c:marker>
          <c:dLbls>
            <c:dLbl>
              <c:idx val="0"/>
              <c:delete val="1"/>
            </c:dLbl>
            <c:dLbl>
              <c:idx val="1"/>
              <c:delete val="1"/>
            </c:dLbl>
            <c:dLbl>
              <c:idx val="2"/>
              <c:delete val="1"/>
            </c:dLbl>
            <c:dLbl>
              <c:idx val="3"/>
              <c:delete val="1"/>
            </c:dLbl>
            <c:dLbl>
              <c:idx val="4"/>
              <c:delete val="1"/>
            </c:dLbl>
            <c:dLbl>
              <c:idx val="5"/>
              <c:layout>
                <c:manualLayout>
                  <c:x val="-5.8796636554610772E-3"/>
                  <c:y val="2.2073668447540773E-2"/>
                </c:manualLayout>
              </c:layout>
              <c:showLegendKey val="0"/>
              <c:showVal val="0"/>
              <c:showCatName val="0"/>
              <c:showSerName val="1"/>
              <c:showPercent val="0"/>
              <c:showBubbleSize val="0"/>
            </c:dLbl>
            <c:txPr>
              <a:bodyPr/>
              <a:lstStyle/>
              <a:p>
                <a:pPr>
                  <a:defRPr sz="800" b="1" i="1">
                    <a:solidFill>
                      <a:schemeClr val="accent1"/>
                    </a:solidFill>
                  </a:defRPr>
                </a:pPr>
                <a:endParaRPr lang="fr-FR"/>
              </a:p>
            </c:txPr>
            <c:showLegendKey val="0"/>
            <c:showVal val="0"/>
            <c:showCatName val="0"/>
            <c:showSerName val="1"/>
            <c:showPercent val="0"/>
            <c:showBubbleSize val="0"/>
            <c:showLeaderLines val="0"/>
          </c:dLbls>
          <c:cat>
            <c:strRef>
              <c:f>'D_Ch4-1'!$H$161:$M$161</c:f>
              <c:strCache>
                <c:ptCount val="6"/>
                <c:pt idx="0">
                  <c:v>2007</c:v>
                </c:pt>
                <c:pt idx="1">
                  <c:v>2008</c:v>
                </c:pt>
                <c:pt idx="2">
                  <c:v>2009</c:v>
                </c:pt>
                <c:pt idx="3">
                  <c:v>2010</c:v>
                </c:pt>
                <c:pt idx="4">
                  <c:v>2011</c:v>
                </c:pt>
                <c:pt idx="5">
                  <c:v>2012</c:v>
                </c:pt>
              </c:strCache>
            </c:strRef>
          </c:cat>
          <c:val>
            <c:numRef>
              <c:f>'D_Ch4-1'!$H$168:$M$168</c:f>
              <c:numCache>
                <c:formatCode>General</c:formatCode>
                <c:ptCount val="6"/>
                <c:pt idx="0">
                  <c:v>100</c:v>
                </c:pt>
                <c:pt idx="1">
                  <c:v>100.3</c:v>
                </c:pt>
                <c:pt idx="2">
                  <c:v>97</c:v>
                </c:pt>
                <c:pt idx="3">
                  <c:v>96.7</c:v>
                </c:pt>
                <c:pt idx="4">
                  <c:v>99.7</c:v>
                </c:pt>
                <c:pt idx="5">
                  <c:v>99.1</c:v>
                </c:pt>
              </c:numCache>
            </c:numRef>
          </c:val>
          <c:smooth val="0"/>
        </c:ser>
        <c:dLbls>
          <c:showLegendKey val="0"/>
          <c:showVal val="0"/>
          <c:showCatName val="0"/>
          <c:showSerName val="0"/>
          <c:showPercent val="0"/>
          <c:showBubbleSize val="0"/>
        </c:dLbls>
        <c:marker val="1"/>
        <c:smooth val="0"/>
        <c:axId val="132345216"/>
        <c:axId val="132396160"/>
      </c:lineChart>
      <c:catAx>
        <c:axId val="132345216"/>
        <c:scaling>
          <c:orientation val="minMax"/>
        </c:scaling>
        <c:delete val="0"/>
        <c:axPos val="b"/>
        <c:majorTickMark val="out"/>
        <c:minorTickMark val="none"/>
        <c:tickLblPos val="nextTo"/>
        <c:txPr>
          <a:bodyPr/>
          <a:lstStyle/>
          <a:p>
            <a:pPr>
              <a:defRPr sz="900"/>
            </a:pPr>
            <a:endParaRPr lang="fr-FR"/>
          </a:p>
        </c:txPr>
        <c:crossAx val="132396160"/>
        <c:crosses val="autoZero"/>
        <c:auto val="1"/>
        <c:lblAlgn val="ctr"/>
        <c:lblOffset val="100"/>
        <c:noMultiLvlLbl val="0"/>
      </c:catAx>
      <c:valAx>
        <c:axId val="132396160"/>
        <c:scaling>
          <c:orientation val="minMax"/>
          <c:max val="107.5"/>
          <c:min val="95"/>
        </c:scaling>
        <c:delete val="0"/>
        <c:axPos val="l"/>
        <c:majorGridlines/>
        <c:numFmt formatCode="General" sourceLinked="1"/>
        <c:majorTickMark val="out"/>
        <c:minorTickMark val="none"/>
        <c:tickLblPos val="nextTo"/>
        <c:txPr>
          <a:bodyPr/>
          <a:lstStyle/>
          <a:p>
            <a:pPr>
              <a:defRPr sz="900"/>
            </a:pPr>
            <a:endParaRPr lang="fr-FR"/>
          </a:p>
        </c:txPr>
        <c:crossAx val="132345216"/>
        <c:crosses val="autoZero"/>
        <c:crossBetween val="midCat"/>
        <c:majorUnit val="2.5"/>
      </c:valAx>
    </c:plotArea>
    <c:plotVisOnly val="1"/>
    <c:dispBlanksAs val="gap"/>
    <c:showDLblsOverMax val="0"/>
  </c:chart>
  <c:spPr>
    <a:ln>
      <a:noFill/>
    </a:ln>
  </c:sp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title>
    <c:autoTitleDeleted val="0"/>
    <c:plotArea>
      <c:layout>
        <c:manualLayout>
          <c:layoutTarget val="inner"/>
          <c:xMode val="edge"/>
          <c:yMode val="edge"/>
          <c:x val="9.7858406465711603E-2"/>
          <c:y val="4.6356609417194224E-2"/>
          <c:w val="0.79367149590882635"/>
          <c:h val="0.64397327576309205"/>
        </c:manualLayout>
      </c:layout>
      <c:barChart>
        <c:barDir val="col"/>
        <c:grouping val="clustered"/>
        <c:varyColors val="0"/>
        <c:ser>
          <c:idx val="0"/>
          <c:order val="0"/>
          <c:tx>
            <c:strRef>
              <c:f>'D_Ch4-2'!$B$68</c:f>
              <c:strCache>
                <c:ptCount val="1"/>
                <c:pt idx="0">
                  <c:v>Tonnage</c:v>
                </c:pt>
              </c:strCache>
            </c:strRef>
          </c:tx>
          <c:spPr>
            <a:solidFill>
              <a:srgbClr val="4F81BD">
                <a:lumMod val="60000"/>
                <a:lumOff val="40000"/>
              </a:srgbClr>
            </a:solidFill>
            <a:ln w="28575">
              <a:noFill/>
            </a:ln>
          </c:spPr>
          <c:invertIfNegative val="0"/>
          <c:cat>
            <c:strRef>
              <c:f>'D_Ch4-2'!$A$69:$A$81</c:f>
              <c:strCache>
                <c:ptCount val="12"/>
                <c:pt idx="0">
                  <c:v>Marseille</c:v>
                </c:pt>
                <c:pt idx="1">
                  <c:v>Le Havre</c:v>
                </c:pt>
                <c:pt idx="2">
                  <c:v>Dunkerque</c:v>
                </c:pt>
                <c:pt idx="3">
                  <c:v>Calais</c:v>
                </c:pt>
                <c:pt idx="4">
                  <c:v>Nantes / St- Nazaire</c:v>
                </c:pt>
                <c:pt idx="5">
                  <c:v>Rouen</c:v>
                </c:pt>
                <c:pt idx="6">
                  <c:v>La Rochelle</c:v>
                </c:pt>
                <c:pt idx="7">
                  <c:v>Bordeaux</c:v>
                </c:pt>
                <c:pt idx="8">
                  <c:v>Sète</c:v>
                </c:pt>
                <c:pt idx="9">
                  <c:v>Caen Ouistreham</c:v>
                </c:pt>
                <c:pt idx="10">
                  <c:v>Bastia</c:v>
                </c:pt>
                <c:pt idx="11">
                  <c:v>Bayonne</c:v>
                </c:pt>
              </c:strCache>
            </c:strRef>
          </c:cat>
          <c:val>
            <c:numRef>
              <c:f>'D_Ch4-2'!$B$69:$B$80</c:f>
              <c:numCache>
                <c:formatCode>#,##0</c:formatCode>
                <c:ptCount val="12"/>
                <c:pt idx="0">
                  <c:v>81730583</c:v>
                </c:pt>
                <c:pt idx="1">
                  <c:v>68316557</c:v>
                </c:pt>
                <c:pt idx="2">
                  <c:v>46591693</c:v>
                </c:pt>
                <c:pt idx="3">
                  <c:v>41873115</c:v>
                </c:pt>
                <c:pt idx="4">
                  <c:v>25386444</c:v>
                </c:pt>
                <c:pt idx="5">
                  <c:v>22519532</c:v>
                </c:pt>
                <c:pt idx="6">
                  <c:v>9809943</c:v>
                </c:pt>
                <c:pt idx="7">
                  <c:v>8385070</c:v>
                </c:pt>
                <c:pt idx="8">
                  <c:v>3751421</c:v>
                </c:pt>
                <c:pt idx="9">
                  <c:v>3296800</c:v>
                </c:pt>
                <c:pt idx="10">
                  <c:v>3093996</c:v>
                </c:pt>
                <c:pt idx="11">
                  <c:v>2323580</c:v>
                </c:pt>
              </c:numCache>
            </c:numRef>
          </c:val>
        </c:ser>
        <c:dLbls>
          <c:showLegendKey val="0"/>
          <c:showVal val="0"/>
          <c:showCatName val="0"/>
          <c:showSerName val="0"/>
          <c:showPercent val="0"/>
          <c:showBubbleSize val="0"/>
        </c:dLbls>
        <c:gapWidth val="150"/>
        <c:axId val="132428160"/>
        <c:axId val="132429696"/>
      </c:barChart>
      <c:catAx>
        <c:axId val="132428160"/>
        <c:scaling>
          <c:orientation val="minMax"/>
        </c:scaling>
        <c:delete val="0"/>
        <c:axPos val="b"/>
        <c:numFmt formatCode="General" sourceLinked="1"/>
        <c:majorTickMark val="out"/>
        <c:minorTickMark val="none"/>
        <c:tickLblPos val="nextTo"/>
        <c:txPr>
          <a:bodyPr rot="-5400000" vert="horz"/>
          <a:lstStyle/>
          <a:p>
            <a:pPr>
              <a:defRPr sz="800"/>
            </a:pPr>
            <a:endParaRPr lang="fr-FR"/>
          </a:p>
        </c:txPr>
        <c:crossAx val="132429696"/>
        <c:crosses val="autoZero"/>
        <c:auto val="1"/>
        <c:lblAlgn val="ctr"/>
        <c:lblOffset val="100"/>
        <c:noMultiLvlLbl val="0"/>
      </c:catAx>
      <c:valAx>
        <c:axId val="132429696"/>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800"/>
            </a:pPr>
            <a:endParaRPr lang="fr-FR"/>
          </a:p>
        </c:txPr>
        <c:crossAx val="132428160"/>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85772834835583E-2"/>
          <c:y val="5.1400554097404488E-2"/>
          <c:w val="0.71103737213745533"/>
          <c:h val="0.72411891221930591"/>
        </c:manualLayout>
      </c:layout>
      <c:barChart>
        <c:barDir val="col"/>
        <c:grouping val="percentStacked"/>
        <c:varyColors val="0"/>
        <c:ser>
          <c:idx val="0"/>
          <c:order val="0"/>
          <c:tx>
            <c:strRef>
              <c:f>'D_Ch6-1'!$H$3</c:f>
              <c:strCache>
                <c:ptCount val="1"/>
                <c:pt idx="0">
                  <c:v>De l'Académie</c:v>
                </c:pt>
              </c:strCache>
            </c:strRef>
          </c:tx>
          <c:spPr>
            <a:solidFill>
              <a:schemeClr val="accent4">
                <a:lumMod val="60000"/>
                <a:lumOff val="40000"/>
              </a:schemeClr>
            </a:solidFill>
          </c:spPr>
          <c:invertIfNegative val="0"/>
          <c:dLbls>
            <c:numFmt formatCode="0%" sourceLinked="0"/>
            <c:txPr>
              <a:bodyPr/>
              <a:lstStyle/>
              <a:p>
                <a:pPr>
                  <a:defRPr sz="800" b="1" i="1"/>
                </a:pPr>
                <a:endParaRPr lang="fr-FR"/>
              </a:p>
            </c:txPr>
            <c:showLegendKey val="0"/>
            <c:showVal val="1"/>
            <c:showCatName val="0"/>
            <c:showSerName val="0"/>
            <c:showPercent val="0"/>
            <c:showBubbleSize val="0"/>
            <c:showLeaderLines val="0"/>
          </c:dLbls>
          <c:cat>
            <c:strRef>
              <c:f>'D_Ch6-1'!$A$4:$A$15</c:f>
              <c:strCache>
                <c:ptCount val="12"/>
                <c:pt idx="0">
                  <c:v>Aix-Marseille</c:v>
                </c:pt>
                <c:pt idx="1">
                  <c:v>Bordeaux</c:v>
                </c:pt>
                <c:pt idx="2">
                  <c:v>Grenoble</c:v>
                </c:pt>
                <c:pt idx="3">
                  <c:v>Lille</c:v>
                </c:pt>
                <c:pt idx="4">
                  <c:v>Lyon</c:v>
                </c:pt>
                <c:pt idx="5">
                  <c:v>Montpellier</c:v>
                </c:pt>
                <c:pt idx="6">
                  <c:v>Nantes</c:v>
                </c:pt>
                <c:pt idx="7">
                  <c:v>Nice</c:v>
                </c:pt>
                <c:pt idx="8">
                  <c:v>Rennes</c:v>
                </c:pt>
                <c:pt idx="9">
                  <c:v>Rouen</c:v>
                </c:pt>
                <c:pt idx="10">
                  <c:v>Strasbourg</c:v>
                </c:pt>
                <c:pt idx="11">
                  <c:v>Toulouse</c:v>
                </c:pt>
              </c:strCache>
            </c:strRef>
          </c:cat>
          <c:val>
            <c:numRef>
              <c:f>'D_Ch6-1'!$H$4:$H$15</c:f>
              <c:numCache>
                <c:formatCode>0.0%</c:formatCode>
                <c:ptCount val="12"/>
                <c:pt idx="0">
                  <c:v>0.39829441752155581</c:v>
                </c:pt>
                <c:pt idx="1">
                  <c:v>0.39834323788942916</c:v>
                </c:pt>
                <c:pt idx="2">
                  <c:v>0.38146021328958163</c:v>
                </c:pt>
                <c:pt idx="3">
                  <c:v>0.51805282382691764</c:v>
                </c:pt>
                <c:pt idx="4">
                  <c:v>0.27308296943231442</c:v>
                </c:pt>
                <c:pt idx="5">
                  <c:v>0.35352588774724725</c:v>
                </c:pt>
                <c:pt idx="6">
                  <c:v>0.42787704525227632</c:v>
                </c:pt>
                <c:pt idx="7">
                  <c:v>0.44636294293044865</c:v>
                </c:pt>
                <c:pt idx="8">
                  <c:v>0.43562892694345201</c:v>
                </c:pt>
                <c:pt idx="9">
                  <c:v>0.47612856626941136</c:v>
                </c:pt>
                <c:pt idx="10">
                  <c:v>0.35898884870403858</c:v>
                </c:pt>
                <c:pt idx="11">
                  <c:v>0.3589763925238586</c:v>
                </c:pt>
              </c:numCache>
            </c:numRef>
          </c:val>
        </c:ser>
        <c:ser>
          <c:idx val="4"/>
          <c:order val="1"/>
          <c:tx>
            <c:strRef>
              <c:f>'D_Ch6-1'!$L$3</c:f>
              <c:strCache>
                <c:ptCount val="1"/>
                <c:pt idx="0">
                  <c:v>Autre Académie</c:v>
                </c:pt>
              </c:strCache>
            </c:strRef>
          </c:tx>
          <c:spPr>
            <a:solidFill>
              <a:srgbClr val="CCCCFF"/>
            </a:solidFill>
          </c:spPr>
          <c:invertIfNegative val="0"/>
          <c:dLbls>
            <c:txPr>
              <a:bodyPr/>
              <a:lstStyle/>
              <a:p>
                <a:pPr>
                  <a:defRPr sz="800" b="1" i="1"/>
                </a:pPr>
                <a:endParaRPr lang="fr-FR"/>
              </a:p>
            </c:txPr>
            <c:showLegendKey val="0"/>
            <c:showVal val="1"/>
            <c:showCatName val="0"/>
            <c:showSerName val="0"/>
            <c:showPercent val="0"/>
            <c:showBubbleSize val="0"/>
            <c:showLeaderLines val="0"/>
          </c:dLbls>
          <c:cat>
            <c:strRef>
              <c:f>'D_Ch6-1'!$A$4:$A$15</c:f>
              <c:strCache>
                <c:ptCount val="12"/>
                <c:pt idx="0">
                  <c:v>Aix-Marseille</c:v>
                </c:pt>
                <c:pt idx="1">
                  <c:v>Bordeaux</c:v>
                </c:pt>
                <c:pt idx="2">
                  <c:v>Grenoble</c:v>
                </c:pt>
                <c:pt idx="3">
                  <c:v>Lille</c:v>
                </c:pt>
                <c:pt idx="4">
                  <c:v>Lyon</c:v>
                </c:pt>
                <c:pt idx="5">
                  <c:v>Montpellier</c:v>
                </c:pt>
                <c:pt idx="6">
                  <c:v>Nantes</c:v>
                </c:pt>
                <c:pt idx="7">
                  <c:v>Nice</c:v>
                </c:pt>
                <c:pt idx="8">
                  <c:v>Rennes</c:v>
                </c:pt>
                <c:pt idx="9">
                  <c:v>Rouen</c:v>
                </c:pt>
                <c:pt idx="10">
                  <c:v>Strasbourg</c:v>
                </c:pt>
                <c:pt idx="11">
                  <c:v>Toulouse</c:v>
                </c:pt>
              </c:strCache>
            </c:strRef>
          </c:cat>
          <c:val>
            <c:numRef>
              <c:f>'D_Ch6-1'!$L$4:$L$15</c:f>
              <c:numCache>
                <c:formatCode>0%</c:formatCode>
                <c:ptCount val="12"/>
                <c:pt idx="0">
                  <c:v>0.38882245578702246</c:v>
                </c:pt>
                <c:pt idx="1">
                  <c:v>0.36919983192268441</c:v>
                </c:pt>
                <c:pt idx="2">
                  <c:v>0.41887505795912544</c:v>
                </c:pt>
                <c:pt idx="3">
                  <c:v>0.26770160157347572</c:v>
                </c:pt>
                <c:pt idx="4">
                  <c:v>0.40410480349344979</c:v>
                </c:pt>
                <c:pt idx="5">
                  <c:v>0.42708926001539543</c:v>
                </c:pt>
                <c:pt idx="6">
                  <c:v>0.35205723283357293</c:v>
                </c:pt>
                <c:pt idx="7">
                  <c:v>0.26766521045697245</c:v>
                </c:pt>
                <c:pt idx="8">
                  <c:v>0.33084883577676483</c:v>
                </c:pt>
                <c:pt idx="9">
                  <c:v>0.2168291802094619</c:v>
                </c:pt>
                <c:pt idx="10">
                  <c:v>0.35823538276069922</c:v>
                </c:pt>
                <c:pt idx="11">
                  <c:v>0.38633780104158405</c:v>
                </c:pt>
              </c:numCache>
            </c:numRef>
          </c:val>
        </c:ser>
        <c:ser>
          <c:idx val="1"/>
          <c:order val="2"/>
          <c:tx>
            <c:strRef>
              <c:f>'D_Ch6-1'!$I$3</c:f>
              <c:strCache>
                <c:ptCount val="1"/>
                <c:pt idx="0">
                  <c:v>Etudiants issus de système éducatif étranger</c:v>
                </c:pt>
              </c:strCache>
            </c:strRef>
          </c:tx>
          <c:spPr>
            <a:solidFill>
              <a:schemeClr val="accent5">
                <a:lumMod val="75000"/>
              </a:schemeClr>
            </a:solidFill>
          </c:spPr>
          <c:invertIfNegative val="0"/>
          <c:dLbls>
            <c:numFmt formatCode="0%" sourceLinked="0"/>
            <c:txPr>
              <a:bodyPr/>
              <a:lstStyle/>
              <a:p>
                <a:pPr>
                  <a:defRPr sz="800" b="1" i="1"/>
                </a:pPr>
                <a:endParaRPr lang="fr-FR"/>
              </a:p>
            </c:txPr>
            <c:showLegendKey val="0"/>
            <c:showVal val="1"/>
            <c:showCatName val="0"/>
            <c:showSerName val="0"/>
            <c:showPercent val="0"/>
            <c:showBubbleSize val="0"/>
            <c:showLeaderLines val="0"/>
          </c:dLbls>
          <c:cat>
            <c:strRef>
              <c:f>'D_Ch6-1'!$A$4:$A$15</c:f>
              <c:strCache>
                <c:ptCount val="12"/>
                <c:pt idx="0">
                  <c:v>Aix-Marseille</c:v>
                </c:pt>
                <c:pt idx="1">
                  <c:v>Bordeaux</c:v>
                </c:pt>
                <c:pt idx="2">
                  <c:v>Grenoble</c:v>
                </c:pt>
                <c:pt idx="3">
                  <c:v>Lille</c:v>
                </c:pt>
                <c:pt idx="4">
                  <c:v>Lyon</c:v>
                </c:pt>
                <c:pt idx="5">
                  <c:v>Montpellier</c:v>
                </c:pt>
                <c:pt idx="6">
                  <c:v>Nantes</c:v>
                </c:pt>
                <c:pt idx="7">
                  <c:v>Nice</c:v>
                </c:pt>
                <c:pt idx="8">
                  <c:v>Rennes</c:v>
                </c:pt>
                <c:pt idx="9">
                  <c:v>Rouen</c:v>
                </c:pt>
                <c:pt idx="10">
                  <c:v>Strasbourg</c:v>
                </c:pt>
                <c:pt idx="11">
                  <c:v>Toulouse</c:v>
                </c:pt>
              </c:strCache>
            </c:strRef>
          </c:cat>
          <c:val>
            <c:numRef>
              <c:f>'D_Ch6-1'!$I$4:$I$15</c:f>
              <c:numCache>
                <c:formatCode>0.0%</c:formatCode>
                <c:ptCount val="12"/>
                <c:pt idx="0">
                  <c:v>0.17115614576121846</c:v>
                </c:pt>
                <c:pt idx="1">
                  <c:v>0.15694219340896812</c:v>
                </c:pt>
                <c:pt idx="2">
                  <c:v>0.18240182615829084</c:v>
                </c:pt>
                <c:pt idx="3">
                  <c:v>0.15409290999344386</c:v>
                </c:pt>
                <c:pt idx="4">
                  <c:v>0.18761572052401745</c:v>
                </c:pt>
                <c:pt idx="5">
                  <c:v>0.18812543927172931</c:v>
                </c:pt>
                <c:pt idx="6">
                  <c:v>0.14510166358595195</c:v>
                </c:pt>
                <c:pt idx="7">
                  <c:v>0.26454476111226682</c:v>
                </c:pt>
                <c:pt idx="8">
                  <c:v>0.14294074165332019</c:v>
                </c:pt>
                <c:pt idx="9">
                  <c:v>0.18786565547128928</c:v>
                </c:pt>
                <c:pt idx="10">
                  <c:v>0.20192887281494876</c:v>
                </c:pt>
                <c:pt idx="11">
                  <c:v>0.15705712850609352</c:v>
                </c:pt>
              </c:numCache>
            </c:numRef>
          </c:val>
        </c:ser>
        <c:ser>
          <c:idx val="2"/>
          <c:order val="3"/>
          <c:tx>
            <c:strRef>
              <c:f>'D_Ch6-1'!$J$3</c:f>
              <c:strCache>
                <c:ptCount val="1"/>
                <c:pt idx="0">
                  <c:v>Non bachelier</c:v>
                </c:pt>
              </c:strCache>
            </c:strRef>
          </c:tx>
          <c:spPr>
            <a:solidFill>
              <a:srgbClr val="C58199"/>
            </a:solidFill>
          </c:spPr>
          <c:invertIfNegative val="0"/>
          <c:cat>
            <c:strRef>
              <c:f>'D_Ch6-1'!$A$4:$A$15</c:f>
              <c:strCache>
                <c:ptCount val="12"/>
                <c:pt idx="0">
                  <c:v>Aix-Marseille</c:v>
                </c:pt>
                <c:pt idx="1">
                  <c:v>Bordeaux</c:v>
                </c:pt>
                <c:pt idx="2">
                  <c:v>Grenoble</c:v>
                </c:pt>
                <c:pt idx="3">
                  <c:v>Lille</c:v>
                </c:pt>
                <c:pt idx="4">
                  <c:v>Lyon</c:v>
                </c:pt>
                <c:pt idx="5">
                  <c:v>Montpellier</c:v>
                </c:pt>
                <c:pt idx="6">
                  <c:v>Nantes</c:v>
                </c:pt>
                <c:pt idx="7">
                  <c:v>Nice</c:v>
                </c:pt>
                <c:pt idx="8">
                  <c:v>Rennes</c:v>
                </c:pt>
                <c:pt idx="9">
                  <c:v>Rouen</c:v>
                </c:pt>
                <c:pt idx="10">
                  <c:v>Strasbourg</c:v>
                </c:pt>
                <c:pt idx="11">
                  <c:v>Toulouse</c:v>
                </c:pt>
              </c:strCache>
            </c:strRef>
          </c:cat>
          <c:val>
            <c:numRef>
              <c:f>'D_Ch6-1'!$J$4:$J$15</c:f>
              <c:numCache>
                <c:formatCode>0.0%</c:formatCode>
                <c:ptCount val="12"/>
                <c:pt idx="0">
                  <c:v>1.7464912832777395E-2</c:v>
                </c:pt>
                <c:pt idx="1">
                  <c:v>1.242571582928147E-2</c:v>
                </c:pt>
                <c:pt idx="2">
                  <c:v>1.7262902593002106E-2</c:v>
                </c:pt>
                <c:pt idx="3">
                  <c:v>1.4517186475601761E-2</c:v>
                </c:pt>
                <c:pt idx="4">
                  <c:v>1.4951965065502183E-2</c:v>
                </c:pt>
                <c:pt idx="5">
                  <c:v>1.7503932527862379E-2</c:v>
                </c:pt>
                <c:pt idx="6">
                  <c:v>2.5227630588074212E-2</c:v>
                </c:pt>
                <c:pt idx="7">
                  <c:v>2.1080368906455864E-2</c:v>
                </c:pt>
                <c:pt idx="8">
                  <c:v>7.9154860170013545E-3</c:v>
                </c:pt>
                <c:pt idx="9">
                  <c:v>1.0400866738894909E-2</c:v>
                </c:pt>
                <c:pt idx="10">
                  <c:v>1.4654912597950572E-2</c:v>
                </c:pt>
                <c:pt idx="11">
                  <c:v>1.1341105559520977E-2</c:v>
                </c:pt>
              </c:numCache>
            </c:numRef>
          </c:val>
        </c:ser>
        <c:ser>
          <c:idx val="3"/>
          <c:order val="4"/>
          <c:tx>
            <c:strRef>
              <c:f>'D_Ch6-1'!$K$3</c:f>
              <c:strCache>
                <c:ptCount val="1"/>
                <c:pt idx="0">
                  <c:v>Non renseigné</c:v>
                </c:pt>
              </c:strCache>
            </c:strRef>
          </c:tx>
          <c:spPr>
            <a:solidFill>
              <a:schemeClr val="tx1">
                <a:lumMod val="50000"/>
                <a:lumOff val="50000"/>
              </a:schemeClr>
            </a:solidFill>
          </c:spPr>
          <c:invertIfNegative val="0"/>
          <c:cat>
            <c:strRef>
              <c:f>'D_Ch6-1'!$A$4:$A$15</c:f>
              <c:strCache>
                <c:ptCount val="12"/>
                <c:pt idx="0">
                  <c:v>Aix-Marseille</c:v>
                </c:pt>
                <c:pt idx="1">
                  <c:v>Bordeaux</c:v>
                </c:pt>
                <c:pt idx="2">
                  <c:v>Grenoble</c:v>
                </c:pt>
                <c:pt idx="3">
                  <c:v>Lille</c:v>
                </c:pt>
                <c:pt idx="4">
                  <c:v>Lyon</c:v>
                </c:pt>
                <c:pt idx="5">
                  <c:v>Montpellier</c:v>
                </c:pt>
                <c:pt idx="6">
                  <c:v>Nantes</c:v>
                </c:pt>
                <c:pt idx="7">
                  <c:v>Nice</c:v>
                </c:pt>
                <c:pt idx="8">
                  <c:v>Rennes</c:v>
                </c:pt>
                <c:pt idx="9">
                  <c:v>Rouen</c:v>
                </c:pt>
                <c:pt idx="10">
                  <c:v>Strasbourg</c:v>
                </c:pt>
                <c:pt idx="11">
                  <c:v>Toulouse</c:v>
                </c:pt>
              </c:strCache>
            </c:strRef>
          </c:cat>
          <c:val>
            <c:numRef>
              <c:f>'D_Ch6-1'!$K$4:$K$15</c:f>
              <c:numCache>
                <c:formatCode>0.0%</c:formatCode>
                <c:ptCount val="12"/>
                <c:pt idx="0">
                  <c:v>2.4262068097425891E-2</c:v>
                </c:pt>
                <c:pt idx="1">
                  <c:v>6.3089020949636837E-2</c:v>
                </c:pt>
                <c:pt idx="2">
                  <c:v>0</c:v>
                </c:pt>
                <c:pt idx="3">
                  <c:v>4.563547813056102E-2</c:v>
                </c:pt>
                <c:pt idx="4">
                  <c:v>0.12024454148471615</c:v>
                </c:pt>
                <c:pt idx="5">
                  <c:v>1.3755480437765654E-2</c:v>
                </c:pt>
                <c:pt idx="6">
                  <c:v>4.97364277401246E-2</c:v>
                </c:pt>
                <c:pt idx="7">
                  <c:v>3.4671659385618195E-4</c:v>
                </c:pt>
                <c:pt idx="8">
                  <c:v>8.2666009609461619E-2</c:v>
                </c:pt>
                <c:pt idx="9">
                  <c:v>0.10877573131094258</c:v>
                </c:pt>
                <c:pt idx="10">
                  <c:v>6.6191983122362866E-2</c:v>
                </c:pt>
                <c:pt idx="11">
                  <c:v>8.6287572368942814E-2</c:v>
                </c:pt>
              </c:numCache>
            </c:numRef>
          </c:val>
        </c:ser>
        <c:dLbls>
          <c:showLegendKey val="0"/>
          <c:showVal val="0"/>
          <c:showCatName val="0"/>
          <c:showSerName val="0"/>
          <c:showPercent val="0"/>
          <c:showBubbleSize val="0"/>
        </c:dLbls>
        <c:gapWidth val="150"/>
        <c:overlap val="100"/>
        <c:axId val="129714432"/>
        <c:axId val="129716224"/>
      </c:barChart>
      <c:catAx>
        <c:axId val="129714432"/>
        <c:scaling>
          <c:orientation val="minMax"/>
        </c:scaling>
        <c:delete val="0"/>
        <c:axPos val="b"/>
        <c:majorTickMark val="out"/>
        <c:minorTickMark val="none"/>
        <c:tickLblPos val="nextTo"/>
        <c:txPr>
          <a:bodyPr/>
          <a:lstStyle/>
          <a:p>
            <a:pPr>
              <a:defRPr sz="800"/>
            </a:pPr>
            <a:endParaRPr lang="fr-FR"/>
          </a:p>
        </c:txPr>
        <c:crossAx val="129716224"/>
        <c:crosses val="autoZero"/>
        <c:auto val="1"/>
        <c:lblAlgn val="ctr"/>
        <c:lblOffset val="100"/>
        <c:noMultiLvlLbl val="0"/>
      </c:catAx>
      <c:valAx>
        <c:axId val="129716224"/>
        <c:scaling>
          <c:orientation val="minMax"/>
        </c:scaling>
        <c:delete val="0"/>
        <c:axPos val="l"/>
        <c:majorGridlines/>
        <c:numFmt formatCode="0%" sourceLinked="1"/>
        <c:majorTickMark val="out"/>
        <c:minorTickMark val="none"/>
        <c:tickLblPos val="nextTo"/>
        <c:crossAx val="129714432"/>
        <c:crosses val="autoZero"/>
        <c:crossBetween val="between"/>
      </c:valAx>
    </c:plotArea>
    <c:legend>
      <c:legendPos val="r"/>
      <c:layout>
        <c:manualLayout>
          <c:xMode val="edge"/>
          <c:yMode val="edge"/>
          <c:x val="0.79041185698386829"/>
          <c:y val="8.1784047827354905E-2"/>
          <c:w val="0.20958811244579351"/>
          <c:h val="0.63588233261936011"/>
        </c:manualLayout>
      </c:layout>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30153841536838E-2"/>
          <c:y val="2.4246205610465268E-2"/>
          <c:w val="0.91240748312844888"/>
          <c:h val="0.76735773537554597"/>
        </c:manualLayout>
      </c:layout>
      <c:barChart>
        <c:barDir val="col"/>
        <c:grouping val="percentStacked"/>
        <c:varyColors val="0"/>
        <c:ser>
          <c:idx val="0"/>
          <c:order val="0"/>
          <c:tx>
            <c:strRef>
              <c:f>E.S.R.I.!$B$71</c:f>
              <c:strCache>
                <c:ptCount val="1"/>
                <c:pt idx="0">
                  <c:v>Commerce Inter-entrep.</c:v>
                </c:pt>
              </c:strCache>
            </c:strRef>
          </c:tx>
          <c:spPr>
            <a:solidFill>
              <a:srgbClr val="FF99FF"/>
            </a:solidFill>
          </c:spPr>
          <c:invertIfNegative val="0"/>
          <c:cat>
            <c:strRef>
              <c:f>E.S.R.I.!$A$72:$A$81</c:f>
              <c:strCache>
                <c:ptCount val="10"/>
                <c:pt idx="0">
                  <c:v>AU Bordeaux</c:v>
                </c:pt>
                <c:pt idx="1">
                  <c:v>AU Nantes</c:v>
                </c:pt>
                <c:pt idx="2">
                  <c:v>France métro.</c:v>
                </c:pt>
                <c:pt idx="3">
                  <c:v>AU Nice</c:v>
                </c:pt>
                <c:pt idx="4">
                  <c:v>AU Strasbourg</c:v>
                </c:pt>
                <c:pt idx="5">
                  <c:v>AU Lille</c:v>
                </c:pt>
                <c:pt idx="6">
                  <c:v>AU Lyon</c:v>
                </c:pt>
                <c:pt idx="7">
                  <c:v>AU Marseille - Aix</c:v>
                </c:pt>
                <c:pt idx="8">
                  <c:v>AU Avignon</c:v>
                </c:pt>
                <c:pt idx="9">
                  <c:v>AU Montpellier</c:v>
                </c:pt>
              </c:strCache>
            </c:strRef>
          </c:cat>
          <c:val>
            <c:numRef>
              <c:f>E.S.R.I.!$B$72:$B$81</c:f>
              <c:numCache>
                <c:formatCode>#,##0</c:formatCode>
                <c:ptCount val="10"/>
                <c:pt idx="0">
                  <c:v>6493.8947044780298</c:v>
                </c:pt>
                <c:pt idx="1">
                  <c:v>6296.8912762366399</c:v>
                </c:pt>
                <c:pt idx="2">
                  <c:v>304049.2720959725</c:v>
                </c:pt>
                <c:pt idx="3">
                  <c:v>3440.8038058859102</c:v>
                </c:pt>
                <c:pt idx="4">
                  <c:v>4559.9201460332997</c:v>
                </c:pt>
                <c:pt idx="5">
                  <c:v>8211.1596197782801</c:v>
                </c:pt>
                <c:pt idx="6">
                  <c:v>18948.950833126401</c:v>
                </c:pt>
                <c:pt idx="7">
                  <c:v>7525.9797894735002</c:v>
                </c:pt>
                <c:pt idx="8">
                  <c:v>1772.8930960402399</c:v>
                </c:pt>
                <c:pt idx="9">
                  <c:v>2650.3827751797098</c:v>
                </c:pt>
              </c:numCache>
            </c:numRef>
          </c:val>
        </c:ser>
        <c:ser>
          <c:idx val="1"/>
          <c:order val="1"/>
          <c:tx>
            <c:strRef>
              <c:f>E.S.R.I.!$C$71</c:f>
              <c:strCache>
                <c:ptCount val="1"/>
                <c:pt idx="0">
                  <c:v>Concept.Recherche</c:v>
                </c:pt>
              </c:strCache>
            </c:strRef>
          </c:tx>
          <c:spPr>
            <a:solidFill>
              <a:srgbClr val="92D050"/>
            </a:solidFill>
          </c:spPr>
          <c:invertIfNegative val="0"/>
          <c:cat>
            <c:strRef>
              <c:f>E.S.R.I.!$A$72:$A$81</c:f>
              <c:strCache>
                <c:ptCount val="10"/>
                <c:pt idx="0">
                  <c:v>AU Bordeaux</c:v>
                </c:pt>
                <c:pt idx="1">
                  <c:v>AU Nantes</c:v>
                </c:pt>
                <c:pt idx="2">
                  <c:v>France métro.</c:v>
                </c:pt>
                <c:pt idx="3">
                  <c:v>AU Nice</c:v>
                </c:pt>
                <c:pt idx="4">
                  <c:v>AU Strasbourg</c:v>
                </c:pt>
                <c:pt idx="5">
                  <c:v>AU Lille</c:v>
                </c:pt>
                <c:pt idx="6">
                  <c:v>AU Lyon</c:v>
                </c:pt>
                <c:pt idx="7">
                  <c:v>AU Marseille - Aix</c:v>
                </c:pt>
                <c:pt idx="8">
                  <c:v>AU Avignon</c:v>
                </c:pt>
                <c:pt idx="9">
                  <c:v>AU Montpellier</c:v>
                </c:pt>
              </c:strCache>
            </c:strRef>
          </c:cat>
          <c:val>
            <c:numRef>
              <c:f>E.S.R.I.!$C$72:$C$81</c:f>
              <c:numCache>
                <c:formatCode>#,##0</c:formatCode>
                <c:ptCount val="10"/>
                <c:pt idx="0">
                  <c:v>12518.7582425117</c:v>
                </c:pt>
                <c:pt idx="1">
                  <c:v>12227.779958495001</c:v>
                </c:pt>
                <c:pt idx="2">
                  <c:v>538073.36203022499</c:v>
                </c:pt>
                <c:pt idx="3">
                  <c:v>11565.7459969253</c:v>
                </c:pt>
                <c:pt idx="4">
                  <c:v>8380.8561950641306</c:v>
                </c:pt>
                <c:pt idx="5">
                  <c:v>12139.404626941199</c:v>
                </c:pt>
                <c:pt idx="6">
                  <c:v>30631.9056547648</c:v>
                </c:pt>
                <c:pt idx="7">
                  <c:v>15423.688100278499</c:v>
                </c:pt>
                <c:pt idx="8">
                  <c:v>1149.9405521381</c:v>
                </c:pt>
                <c:pt idx="9">
                  <c:v>8658.4368697584105</c:v>
                </c:pt>
              </c:numCache>
            </c:numRef>
          </c:val>
        </c:ser>
        <c:ser>
          <c:idx val="2"/>
          <c:order val="2"/>
          <c:tx>
            <c:strRef>
              <c:f>E.S.R.I.!$D$71</c:f>
              <c:strCache>
                <c:ptCount val="1"/>
                <c:pt idx="0">
                  <c:v>Culture Loisirs</c:v>
                </c:pt>
              </c:strCache>
            </c:strRef>
          </c:tx>
          <c:spPr>
            <a:solidFill>
              <a:schemeClr val="tx2">
                <a:lumMod val="60000"/>
                <a:lumOff val="40000"/>
              </a:schemeClr>
            </a:solidFill>
          </c:spPr>
          <c:invertIfNegative val="0"/>
          <c:cat>
            <c:strRef>
              <c:f>E.S.R.I.!$A$72:$A$81</c:f>
              <c:strCache>
                <c:ptCount val="10"/>
                <c:pt idx="0">
                  <c:v>AU Bordeaux</c:v>
                </c:pt>
                <c:pt idx="1">
                  <c:v>AU Nantes</c:v>
                </c:pt>
                <c:pt idx="2">
                  <c:v>France métro.</c:v>
                </c:pt>
                <c:pt idx="3">
                  <c:v>AU Nice</c:v>
                </c:pt>
                <c:pt idx="4">
                  <c:v>AU Strasbourg</c:v>
                </c:pt>
                <c:pt idx="5">
                  <c:v>AU Lille</c:v>
                </c:pt>
                <c:pt idx="6">
                  <c:v>AU Lyon</c:v>
                </c:pt>
                <c:pt idx="7">
                  <c:v>AU Marseille - Aix</c:v>
                </c:pt>
                <c:pt idx="8">
                  <c:v>AU Avignon</c:v>
                </c:pt>
                <c:pt idx="9">
                  <c:v>AU Montpellier</c:v>
                </c:pt>
              </c:strCache>
            </c:strRef>
          </c:cat>
          <c:val>
            <c:numRef>
              <c:f>E.S.R.I.!$D$72:$D$81</c:f>
              <c:numCache>
                <c:formatCode>#,##0</c:formatCode>
                <c:ptCount val="10"/>
                <c:pt idx="0">
                  <c:v>5378.4768165253299</c:v>
                </c:pt>
                <c:pt idx="1">
                  <c:v>4256.9006865696001</c:v>
                </c:pt>
                <c:pt idx="2">
                  <c:v>299894.51966449054</c:v>
                </c:pt>
                <c:pt idx="3">
                  <c:v>4424.7520282375799</c:v>
                </c:pt>
                <c:pt idx="4">
                  <c:v>3516.04255378169</c:v>
                </c:pt>
                <c:pt idx="5">
                  <c:v>4851.5964863120398</c:v>
                </c:pt>
                <c:pt idx="6">
                  <c:v>10726.929748586999</c:v>
                </c:pt>
                <c:pt idx="7">
                  <c:v>7973.6647229569699</c:v>
                </c:pt>
                <c:pt idx="8">
                  <c:v>1916.4266115599801</c:v>
                </c:pt>
                <c:pt idx="9">
                  <c:v>3888.2136424177602</c:v>
                </c:pt>
              </c:numCache>
            </c:numRef>
          </c:val>
        </c:ser>
        <c:ser>
          <c:idx val="3"/>
          <c:order val="3"/>
          <c:tx>
            <c:strRef>
              <c:f>E.S.R.I.!$E$71</c:f>
              <c:strCache>
                <c:ptCount val="1"/>
                <c:pt idx="0">
                  <c:v>Gestion</c:v>
                </c:pt>
              </c:strCache>
            </c:strRef>
          </c:tx>
          <c:spPr>
            <a:solidFill>
              <a:schemeClr val="accent6">
                <a:lumMod val="60000"/>
                <a:lumOff val="40000"/>
              </a:schemeClr>
            </a:solidFill>
          </c:spPr>
          <c:invertIfNegative val="0"/>
          <c:cat>
            <c:strRef>
              <c:f>E.S.R.I.!$A$72:$A$81</c:f>
              <c:strCache>
                <c:ptCount val="10"/>
                <c:pt idx="0">
                  <c:v>AU Bordeaux</c:v>
                </c:pt>
                <c:pt idx="1">
                  <c:v>AU Nantes</c:v>
                </c:pt>
                <c:pt idx="2">
                  <c:v>France métro.</c:v>
                </c:pt>
                <c:pt idx="3">
                  <c:v>AU Nice</c:v>
                </c:pt>
                <c:pt idx="4">
                  <c:v>AU Strasbourg</c:v>
                </c:pt>
                <c:pt idx="5">
                  <c:v>AU Lille</c:v>
                </c:pt>
                <c:pt idx="6">
                  <c:v>AU Lyon</c:v>
                </c:pt>
                <c:pt idx="7">
                  <c:v>AU Marseille - Aix</c:v>
                </c:pt>
                <c:pt idx="8">
                  <c:v>AU Avignon</c:v>
                </c:pt>
                <c:pt idx="9">
                  <c:v>AU Montpellier</c:v>
                </c:pt>
              </c:strCache>
            </c:strRef>
          </c:cat>
          <c:val>
            <c:numRef>
              <c:f>E.S.R.I.!$E$72:$E$81</c:f>
              <c:numCache>
                <c:formatCode>#,##0</c:formatCode>
                <c:ptCount val="10"/>
                <c:pt idx="0">
                  <c:v>20041.745179685498</c:v>
                </c:pt>
                <c:pt idx="1">
                  <c:v>18054.880480352502</c:v>
                </c:pt>
                <c:pt idx="2">
                  <c:v>1041634.5405574072</c:v>
                </c:pt>
                <c:pt idx="3">
                  <c:v>14034.0125524336</c:v>
                </c:pt>
                <c:pt idx="4">
                  <c:v>13677.544470909001</c:v>
                </c:pt>
                <c:pt idx="5">
                  <c:v>25432.1115813631</c:v>
                </c:pt>
                <c:pt idx="6">
                  <c:v>48850.662652141698</c:v>
                </c:pt>
                <c:pt idx="7">
                  <c:v>28971.181073920801</c:v>
                </c:pt>
                <c:pt idx="8">
                  <c:v>5865.1970102695896</c:v>
                </c:pt>
                <c:pt idx="9">
                  <c:v>9901.8911673975508</c:v>
                </c:pt>
              </c:numCache>
            </c:numRef>
          </c:val>
        </c:ser>
        <c:ser>
          <c:idx val="4"/>
          <c:order val="4"/>
          <c:tx>
            <c:strRef>
              <c:f>E.S.R.I.!$F$71</c:f>
              <c:strCache>
                <c:ptCount val="1"/>
                <c:pt idx="0">
                  <c:v>Prest. Intellect.</c:v>
                </c:pt>
              </c:strCache>
            </c:strRef>
          </c:tx>
          <c:spPr>
            <a:solidFill>
              <a:srgbClr val="FFFF99"/>
            </a:solidFill>
          </c:spPr>
          <c:invertIfNegative val="0"/>
          <c:cat>
            <c:strRef>
              <c:f>E.S.R.I.!$A$72:$A$81</c:f>
              <c:strCache>
                <c:ptCount val="10"/>
                <c:pt idx="0">
                  <c:v>AU Bordeaux</c:v>
                </c:pt>
                <c:pt idx="1">
                  <c:v>AU Nantes</c:v>
                </c:pt>
                <c:pt idx="2">
                  <c:v>France métro.</c:v>
                </c:pt>
                <c:pt idx="3">
                  <c:v>AU Nice</c:v>
                </c:pt>
                <c:pt idx="4">
                  <c:v>AU Strasbourg</c:v>
                </c:pt>
                <c:pt idx="5">
                  <c:v>AU Lille</c:v>
                </c:pt>
                <c:pt idx="6">
                  <c:v>AU Lyon</c:v>
                </c:pt>
                <c:pt idx="7">
                  <c:v>AU Marseille - Aix</c:v>
                </c:pt>
                <c:pt idx="8">
                  <c:v>AU Avignon</c:v>
                </c:pt>
                <c:pt idx="9">
                  <c:v>AU Montpellier</c:v>
                </c:pt>
              </c:strCache>
            </c:strRef>
          </c:cat>
          <c:val>
            <c:numRef>
              <c:f>E.S.R.I.!$F$72:$F$81</c:f>
              <c:numCache>
                <c:formatCode>#,##0</c:formatCode>
                <c:ptCount val="10"/>
                <c:pt idx="0">
                  <c:v>11181.879811582499</c:v>
                </c:pt>
                <c:pt idx="1">
                  <c:v>9371.9737446335203</c:v>
                </c:pt>
                <c:pt idx="2">
                  <c:v>509347.76754467061</c:v>
                </c:pt>
                <c:pt idx="3">
                  <c:v>9249.8313740262001</c:v>
                </c:pt>
                <c:pt idx="4">
                  <c:v>6780.4170546039504</c:v>
                </c:pt>
                <c:pt idx="5">
                  <c:v>10761.9058456189</c:v>
                </c:pt>
                <c:pt idx="6">
                  <c:v>25983.099229056901</c:v>
                </c:pt>
                <c:pt idx="7">
                  <c:v>15900.3044975556</c:v>
                </c:pt>
                <c:pt idx="8">
                  <c:v>2690.3032120778498</c:v>
                </c:pt>
                <c:pt idx="9">
                  <c:v>6646.9382243191103</c:v>
                </c:pt>
              </c:numCache>
            </c:numRef>
          </c:val>
        </c:ser>
        <c:dLbls>
          <c:showLegendKey val="0"/>
          <c:showVal val="0"/>
          <c:showCatName val="0"/>
          <c:showSerName val="0"/>
          <c:showPercent val="0"/>
          <c:showBubbleSize val="0"/>
        </c:dLbls>
        <c:gapWidth val="150"/>
        <c:overlap val="100"/>
        <c:axId val="129751680"/>
        <c:axId val="131617152"/>
      </c:barChart>
      <c:catAx>
        <c:axId val="129751680"/>
        <c:scaling>
          <c:orientation val="minMax"/>
        </c:scaling>
        <c:delete val="0"/>
        <c:axPos val="b"/>
        <c:majorTickMark val="out"/>
        <c:minorTickMark val="none"/>
        <c:tickLblPos val="nextTo"/>
        <c:txPr>
          <a:bodyPr/>
          <a:lstStyle/>
          <a:p>
            <a:pPr>
              <a:defRPr sz="700"/>
            </a:pPr>
            <a:endParaRPr lang="fr-FR"/>
          </a:p>
        </c:txPr>
        <c:crossAx val="131617152"/>
        <c:crosses val="autoZero"/>
        <c:auto val="1"/>
        <c:lblAlgn val="ctr"/>
        <c:lblOffset val="100"/>
        <c:noMultiLvlLbl val="0"/>
      </c:catAx>
      <c:valAx>
        <c:axId val="131617152"/>
        <c:scaling>
          <c:orientation val="minMax"/>
        </c:scaling>
        <c:delete val="0"/>
        <c:axPos val="l"/>
        <c:majorGridlines/>
        <c:numFmt formatCode="0%" sourceLinked="1"/>
        <c:majorTickMark val="out"/>
        <c:minorTickMark val="none"/>
        <c:tickLblPos val="nextTo"/>
        <c:txPr>
          <a:bodyPr/>
          <a:lstStyle/>
          <a:p>
            <a:pPr>
              <a:defRPr sz="900"/>
            </a:pPr>
            <a:endParaRPr lang="fr-FR"/>
          </a:p>
        </c:txPr>
        <c:crossAx val="129751680"/>
        <c:crosses val="autoZero"/>
        <c:crossBetween val="between"/>
      </c:valAx>
    </c:plotArea>
    <c:legend>
      <c:legendPos val="b"/>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6219727061375E-2"/>
          <c:y val="2.9352136429891505E-2"/>
          <c:w val="0.76704689820130978"/>
          <c:h val="0.85465190651078393"/>
        </c:manualLayout>
      </c:layout>
      <c:lineChart>
        <c:grouping val="standard"/>
        <c:varyColors val="0"/>
        <c:ser>
          <c:idx val="0"/>
          <c:order val="0"/>
          <c:tx>
            <c:strRef>
              <c:f>E.S.R.I.!$A$93</c:f>
              <c:strCache>
                <c:ptCount val="1"/>
                <c:pt idx="0">
                  <c:v>Gironde</c:v>
                </c:pt>
              </c:strCache>
            </c:strRef>
          </c:tx>
          <c:spPr>
            <a:ln>
              <a:solidFill>
                <a:srgbClr val="0070C0"/>
              </a:solidFill>
            </a:ln>
          </c:spPr>
          <c:marker>
            <c:symbol val="none"/>
          </c:marker>
          <c:cat>
            <c:numRef>
              <c:f>E.S.R.I.!$B$92:$D$92</c:f>
              <c:numCache>
                <c:formatCode>#,##0</c:formatCode>
                <c:ptCount val="3"/>
                <c:pt idx="0">
                  <c:v>1999</c:v>
                </c:pt>
                <c:pt idx="1">
                  <c:v>2008</c:v>
                </c:pt>
                <c:pt idx="2">
                  <c:v>2013</c:v>
                </c:pt>
              </c:numCache>
            </c:numRef>
          </c:cat>
          <c:val>
            <c:numRef>
              <c:f>E.S.R.I.!$B$93:$D$93</c:f>
              <c:numCache>
                <c:formatCode>#,##0</c:formatCode>
                <c:ptCount val="3"/>
                <c:pt idx="0">
                  <c:v>100</c:v>
                </c:pt>
                <c:pt idx="1">
                  <c:v>158.97414842517924</c:v>
                </c:pt>
                <c:pt idx="2">
                  <c:v>185.08281079805519</c:v>
                </c:pt>
              </c:numCache>
            </c:numRef>
          </c:val>
          <c:smooth val="0"/>
        </c:ser>
        <c:ser>
          <c:idx val="1"/>
          <c:order val="1"/>
          <c:tx>
            <c:strRef>
              <c:f>E.S.R.I.!$A$94</c:f>
              <c:strCache>
                <c:ptCount val="1"/>
                <c:pt idx="0">
                  <c:v>Aquitaine</c:v>
                </c:pt>
              </c:strCache>
            </c:strRef>
          </c:tx>
          <c:marker>
            <c:symbol val="none"/>
          </c:marker>
          <c:cat>
            <c:numRef>
              <c:f>E.S.R.I.!$B$92:$D$92</c:f>
              <c:numCache>
                <c:formatCode>#,##0</c:formatCode>
                <c:ptCount val="3"/>
                <c:pt idx="0">
                  <c:v>1999</c:v>
                </c:pt>
                <c:pt idx="1">
                  <c:v>2008</c:v>
                </c:pt>
                <c:pt idx="2">
                  <c:v>2013</c:v>
                </c:pt>
              </c:numCache>
            </c:numRef>
          </c:cat>
          <c:val>
            <c:numRef>
              <c:f>E.S.R.I.!$B$94:$D$94</c:f>
              <c:numCache>
                <c:formatCode>#,##0</c:formatCode>
                <c:ptCount val="3"/>
                <c:pt idx="0">
                  <c:v>100</c:v>
                </c:pt>
                <c:pt idx="1">
                  <c:v>152.49995718018633</c:v>
                </c:pt>
                <c:pt idx="2">
                  <c:v>173.4530597008953</c:v>
                </c:pt>
              </c:numCache>
            </c:numRef>
          </c:val>
          <c:smooth val="0"/>
        </c:ser>
        <c:ser>
          <c:idx val="2"/>
          <c:order val="2"/>
          <c:tx>
            <c:strRef>
              <c:f>E.S.R.I.!$A$95</c:f>
              <c:strCache>
                <c:ptCount val="1"/>
                <c:pt idx="0">
                  <c:v>France métro.</c:v>
                </c:pt>
              </c:strCache>
            </c:strRef>
          </c:tx>
          <c:spPr>
            <a:ln>
              <a:solidFill>
                <a:srgbClr val="00B050"/>
              </a:solidFill>
            </a:ln>
          </c:spPr>
          <c:marker>
            <c:symbol val="none"/>
          </c:marker>
          <c:cat>
            <c:numRef>
              <c:f>E.S.R.I.!$B$92:$D$92</c:f>
              <c:numCache>
                <c:formatCode>#,##0</c:formatCode>
                <c:ptCount val="3"/>
                <c:pt idx="0">
                  <c:v>1999</c:v>
                </c:pt>
                <c:pt idx="1">
                  <c:v>2008</c:v>
                </c:pt>
                <c:pt idx="2">
                  <c:v>2013</c:v>
                </c:pt>
              </c:numCache>
            </c:numRef>
          </c:cat>
          <c:val>
            <c:numRef>
              <c:f>E.S.R.I.!$B$95:$D$95</c:f>
              <c:numCache>
                <c:formatCode>#,##0</c:formatCode>
                <c:ptCount val="3"/>
                <c:pt idx="0">
                  <c:v>100</c:v>
                </c:pt>
                <c:pt idx="1">
                  <c:v>139.59884150274817</c:v>
                </c:pt>
                <c:pt idx="2">
                  <c:v>154.39545321024309</c:v>
                </c:pt>
              </c:numCache>
            </c:numRef>
          </c:val>
          <c:smooth val="0"/>
        </c:ser>
        <c:ser>
          <c:idx val="3"/>
          <c:order val="3"/>
          <c:tx>
            <c:strRef>
              <c:f>E.S.R.I.!$A$96</c:f>
              <c:strCache>
                <c:ptCount val="1"/>
                <c:pt idx="0">
                  <c:v>Bx Métropole</c:v>
                </c:pt>
              </c:strCache>
            </c:strRef>
          </c:tx>
          <c:spPr>
            <a:ln>
              <a:solidFill>
                <a:srgbClr val="9900CC"/>
              </a:solidFill>
            </a:ln>
          </c:spPr>
          <c:marker>
            <c:symbol val="none"/>
          </c:marker>
          <c:cat>
            <c:numRef>
              <c:f>E.S.R.I.!$B$92:$D$92</c:f>
              <c:numCache>
                <c:formatCode>#,##0</c:formatCode>
                <c:ptCount val="3"/>
                <c:pt idx="0">
                  <c:v>1999</c:v>
                </c:pt>
                <c:pt idx="1">
                  <c:v>2008</c:v>
                </c:pt>
                <c:pt idx="2">
                  <c:v>2013</c:v>
                </c:pt>
              </c:numCache>
            </c:numRef>
          </c:cat>
          <c:val>
            <c:numRef>
              <c:f>E.S.R.I.!$B$96:$D$96</c:f>
              <c:numCache>
                <c:formatCode>#,##0</c:formatCode>
                <c:ptCount val="3"/>
                <c:pt idx="0">
                  <c:v>100</c:v>
                </c:pt>
                <c:pt idx="1">
                  <c:v>157.31430332411082</c:v>
                </c:pt>
                <c:pt idx="2">
                  <c:v>185.79044603458951</c:v>
                </c:pt>
              </c:numCache>
            </c:numRef>
          </c:val>
          <c:smooth val="0"/>
        </c:ser>
        <c:ser>
          <c:idx val="4"/>
          <c:order val="4"/>
          <c:tx>
            <c:strRef>
              <c:f>E.S.R.I.!$A$97</c:f>
              <c:strCache>
                <c:ptCount val="1"/>
                <c:pt idx="0">
                  <c:v>AU Toulouse</c:v>
                </c:pt>
              </c:strCache>
            </c:strRef>
          </c:tx>
          <c:spPr>
            <a:ln>
              <a:solidFill>
                <a:srgbClr val="C00000"/>
              </a:solidFill>
            </a:ln>
          </c:spPr>
          <c:marker>
            <c:symbol val="none"/>
          </c:marker>
          <c:cat>
            <c:numRef>
              <c:f>E.S.R.I.!$B$92:$D$92</c:f>
              <c:numCache>
                <c:formatCode>#,##0</c:formatCode>
                <c:ptCount val="3"/>
                <c:pt idx="0">
                  <c:v>1999</c:v>
                </c:pt>
                <c:pt idx="1">
                  <c:v>2008</c:v>
                </c:pt>
                <c:pt idx="2">
                  <c:v>2013</c:v>
                </c:pt>
              </c:numCache>
            </c:numRef>
          </c:cat>
          <c:val>
            <c:numRef>
              <c:f>E.S.R.I.!$B$97:$D$97</c:f>
              <c:numCache>
                <c:formatCode>#,##0</c:formatCode>
                <c:ptCount val="3"/>
                <c:pt idx="0">
                  <c:v>100</c:v>
                </c:pt>
                <c:pt idx="1">
                  <c:v>171.91470393464252</c:v>
                </c:pt>
                <c:pt idx="2">
                  <c:v>205.14226618402617</c:v>
                </c:pt>
              </c:numCache>
            </c:numRef>
          </c:val>
          <c:smooth val="0"/>
        </c:ser>
        <c:dLbls>
          <c:showLegendKey val="0"/>
          <c:showVal val="0"/>
          <c:showCatName val="0"/>
          <c:showSerName val="0"/>
          <c:showPercent val="0"/>
          <c:showBubbleSize val="0"/>
        </c:dLbls>
        <c:marker val="1"/>
        <c:smooth val="0"/>
        <c:axId val="135080960"/>
        <c:axId val="135095040"/>
      </c:lineChart>
      <c:catAx>
        <c:axId val="135080960"/>
        <c:scaling>
          <c:orientation val="minMax"/>
        </c:scaling>
        <c:delete val="0"/>
        <c:axPos val="b"/>
        <c:numFmt formatCode="General" sourceLinked="0"/>
        <c:majorTickMark val="out"/>
        <c:minorTickMark val="none"/>
        <c:tickLblPos val="nextTo"/>
        <c:txPr>
          <a:bodyPr/>
          <a:lstStyle/>
          <a:p>
            <a:pPr>
              <a:defRPr sz="900"/>
            </a:pPr>
            <a:endParaRPr lang="fr-FR"/>
          </a:p>
        </c:txPr>
        <c:crossAx val="135095040"/>
        <c:crosses val="autoZero"/>
        <c:auto val="1"/>
        <c:lblAlgn val="ctr"/>
        <c:lblOffset val="100"/>
        <c:noMultiLvlLbl val="0"/>
      </c:catAx>
      <c:valAx>
        <c:axId val="135095040"/>
        <c:scaling>
          <c:orientation val="minMax"/>
          <c:min val="100"/>
        </c:scaling>
        <c:delete val="0"/>
        <c:axPos val="l"/>
        <c:majorGridlines/>
        <c:numFmt formatCode="#,##0" sourceLinked="1"/>
        <c:majorTickMark val="out"/>
        <c:minorTickMark val="none"/>
        <c:tickLblPos val="nextTo"/>
        <c:txPr>
          <a:bodyPr/>
          <a:lstStyle/>
          <a:p>
            <a:pPr>
              <a:defRPr sz="900"/>
            </a:pPr>
            <a:endParaRPr lang="fr-FR"/>
          </a:p>
        </c:txPr>
        <c:crossAx val="135080960"/>
        <c:crosses val="autoZero"/>
        <c:crossBetween val="midCat"/>
      </c:valAx>
    </c:plotArea>
    <c:legend>
      <c:legendPos val="r"/>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191850106327943E-2"/>
          <c:y val="7.407407407407407E-2"/>
          <c:w val="0.67103442726593487"/>
          <c:h val="0.82639603767260539"/>
        </c:manualLayout>
      </c:layout>
      <c:lineChart>
        <c:grouping val="standard"/>
        <c:varyColors val="0"/>
        <c:ser>
          <c:idx val="0"/>
          <c:order val="0"/>
          <c:tx>
            <c:strRef>
              <c:f>'D_Ch7-1'!$O$83</c:f>
              <c:strCache>
                <c:ptCount val="1"/>
                <c:pt idx="0">
                  <c:v>Alsace</c:v>
                </c:pt>
              </c:strCache>
            </c:strRef>
          </c:tx>
          <c:marker>
            <c:symbol val="none"/>
          </c:marker>
          <c:cat>
            <c:numRef>
              <c:f>'D_Ch7-1'!$P$81:$T$81</c:f>
              <c:numCache>
                <c:formatCode>General</c:formatCode>
                <c:ptCount val="5"/>
                <c:pt idx="0">
                  <c:v>2012</c:v>
                </c:pt>
                <c:pt idx="1">
                  <c:v>2013</c:v>
                </c:pt>
                <c:pt idx="2">
                  <c:v>2014</c:v>
                </c:pt>
                <c:pt idx="3">
                  <c:v>2015</c:v>
                </c:pt>
                <c:pt idx="4">
                  <c:v>2016</c:v>
                </c:pt>
              </c:numCache>
            </c:numRef>
          </c:cat>
          <c:val>
            <c:numRef>
              <c:f>'D_Ch7-1'!$P$83:$T$83</c:f>
              <c:numCache>
                <c:formatCode>0</c:formatCode>
                <c:ptCount val="5"/>
                <c:pt idx="0" formatCode="#,##0">
                  <c:v>100</c:v>
                </c:pt>
                <c:pt idx="1">
                  <c:v>102.5593467722</c:v>
                </c:pt>
                <c:pt idx="2">
                  <c:v>105.19930785060529</c:v>
                </c:pt>
                <c:pt idx="3">
                  <c:v>106.04323886869156</c:v>
                </c:pt>
                <c:pt idx="4">
                  <c:v>107.75503327701878</c:v>
                </c:pt>
              </c:numCache>
            </c:numRef>
          </c:val>
          <c:smooth val="0"/>
        </c:ser>
        <c:ser>
          <c:idx val="6"/>
          <c:order val="1"/>
          <c:tx>
            <c:strRef>
              <c:f>'D_Ch7-1'!$O$89</c:f>
              <c:strCache>
                <c:ptCount val="1"/>
                <c:pt idx="0">
                  <c:v>Nord-Pas-de-Calais</c:v>
                </c:pt>
              </c:strCache>
            </c:strRef>
          </c:tx>
          <c:spPr>
            <a:ln>
              <a:solidFill>
                <a:srgbClr val="FF0000"/>
              </a:solidFill>
              <a:prstDash val="dash"/>
            </a:ln>
          </c:spPr>
          <c:marker>
            <c:symbol val="none"/>
          </c:marker>
          <c:cat>
            <c:numRef>
              <c:f>'D_Ch7-1'!$P$81:$T$81</c:f>
              <c:numCache>
                <c:formatCode>General</c:formatCode>
                <c:ptCount val="5"/>
                <c:pt idx="0">
                  <c:v>2012</c:v>
                </c:pt>
                <c:pt idx="1">
                  <c:v>2013</c:v>
                </c:pt>
                <c:pt idx="2">
                  <c:v>2014</c:v>
                </c:pt>
                <c:pt idx="3">
                  <c:v>2015</c:v>
                </c:pt>
                <c:pt idx="4">
                  <c:v>2016</c:v>
                </c:pt>
              </c:numCache>
            </c:numRef>
          </c:cat>
          <c:val>
            <c:numRef>
              <c:f>'D_Ch7-1'!$P$89:$T$89</c:f>
              <c:numCache>
                <c:formatCode>0</c:formatCode>
                <c:ptCount val="5"/>
                <c:pt idx="0" formatCode="#,##0">
                  <c:v>100</c:v>
                </c:pt>
                <c:pt idx="1">
                  <c:v>101.45012100119455</c:v>
                </c:pt>
                <c:pt idx="2">
                  <c:v>105.50426344180413</c:v>
                </c:pt>
                <c:pt idx="3">
                  <c:v>109.31072349419779</c:v>
                </c:pt>
                <c:pt idx="4">
                  <c:v>113.33078593976447</c:v>
                </c:pt>
              </c:numCache>
            </c:numRef>
          </c:val>
          <c:smooth val="0"/>
        </c:ser>
        <c:ser>
          <c:idx val="9"/>
          <c:order val="2"/>
          <c:tx>
            <c:strRef>
              <c:f>'D_Ch7-1'!$O$92</c:f>
              <c:strCache>
                <c:ptCount val="1"/>
                <c:pt idx="0">
                  <c:v>Rhône-Alpes</c:v>
                </c:pt>
              </c:strCache>
            </c:strRef>
          </c:tx>
          <c:marker>
            <c:symbol val="none"/>
          </c:marker>
          <c:cat>
            <c:numRef>
              <c:f>'D_Ch7-1'!$P$81:$T$81</c:f>
              <c:numCache>
                <c:formatCode>General</c:formatCode>
                <c:ptCount val="5"/>
                <c:pt idx="0">
                  <c:v>2012</c:v>
                </c:pt>
                <c:pt idx="1">
                  <c:v>2013</c:v>
                </c:pt>
                <c:pt idx="2">
                  <c:v>2014</c:v>
                </c:pt>
                <c:pt idx="3">
                  <c:v>2015</c:v>
                </c:pt>
                <c:pt idx="4">
                  <c:v>2016</c:v>
                </c:pt>
              </c:numCache>
            </c:numRef>
          </c:cat>
          <c:val>
            <c:numRef>
              <c:f>'D_Ch7-1'!$P$92:$T$92</c:f>
              <c:numCache>
                <c:formatCode>0</c:formatCode>
                <c:ptCount val="5"/>
                <c:pt idx="0" formatCode="#,##0">
                  <c:v>100</c:v>
                </c:pt>
                <c:pt idx="1">
                  <c:v>103.4602606421743</c:v>
                </c:pt>
                <c:pt idx="2">
                  <c:v>97.99283019676767</c:v>
                </c:pt>
                <c:pt idx="3">
                  <c:v>102.77784327174517</c:v>
                </c:pt>
                <c:pt idx="4">
                  <c:v>107.84771938097481</c:v>
                </c:pt>
              </c:numCache>
            </c:numRef>
          </c:val>
          <c:smooth val="0"/>
        </c:ser>
        <c:ser>
          <c:idx val="2"/>
          <c:order val="3"/>
          <c:tx>
            <c:strRef>
              <c:f>'D_Ch7-1'!$O$85</c:f>
              <c:strCache>
                <c:ptCount val="1"/>
                <c:pt idx="0">
                  <c:v>Bretagne</c:v>
                </c:pt>
              </c:strCache>
            </c:strRef>
          </c:tx>
          <c:spPr>
            <a:ln>
              <a:solidFill>
                <a:srgbClr val="FFFF00"/>
              </a:solidFill>
            </a:ln>
          </c:spPr>
          <c:marker>
            <c:symbol val="none"/>
          </c:marker>
          <c:cat>
            <c:numRef>
              <c:f>'D_Ch7-1'!$P$81:$T$81</c:f>
              <c:numCache>
                <c:formatCode>General</c:formatCode>
                <c:ptCount val="5"/>
                <c:pt idx="0">
                  <c:v>2012</c:v>
                </c:pt>
                <c:pt idx="1">
                  <c:v>2013</c:v>
                </c:pt>
                <c:pt idx="2">
                  <c:v>2014</c:v>
                </c:pt>
                <c:pt idx="3">
                  <c:v>2015</c:v>
                </c:pt>
                <c:pt idx="4">
                  <c:v>2016</c:v>
                </c:pt>
              </c:numCache>
            </c:numRef>
          </c:cat>
          <c:val>
            <c:numRef>
              <c:f>'D_Ch7-1'!$P$85:$T$85</c:f>
              <c:numCache>
                <c:formatCode>0</c:formatCode>
                <c:ptCount val="5"/>
                <c:pt idx="0" formatCode="#,##0">
                  <c:v>100</c:v>
                </c:pt>
                <c:pt idx="1">
                  <c:v>99.537723518490338</c:v>
                </c:pt>
                <c:pt idx="2">
                  <c:v>99.523355842692112</c:v>
                </c:pt>
                <c:pt idx="3">
                  <c:v>104.62639160704548</c:v>
                </c:pt>
                <c:pt idx="4">
                  <c:v>106.78251942077345</c:v>
                </c:pt>
              </c:numCache>
            </c:numRef>
          </c:val>
          <c:smooth val="0"/>
        </c:ser>
        <c:ser>
          <c:idx val="7"/>
          <c:order val="4"/>
          <c:tx>
            <c:strRef>
              <c:f>'D_Ch7-1'!$O$90</c:f>
              <c:strCache>
                <c:ptCount val="1"/>
                <c:pt idx="0">
                  <c:v>Pays de la Loire</c:v>
                </c:pt>
              </c:strCache>
            </c:strRef>
          </c:tx>
          <c:spPr>
            <a:ln>
              <a:solidFill>
                <a:srgbClr val="FF33CC"/>
              </a:solidFill>
            </a:ln>
          </c:spPr>
          <c:marker>
            <c:symbol val="none"/>
          </c:marker>
          <c:cat>
            <c:numRef>
              <c:f>'D_Ch7-1'!$P$81:$T$81</c:f>
              <c:numCache>
                <c:formatCode>General</c:formatCode>
                <c:ptCount val="5"/>
                <c:pt idx="0">
                  <c:v>2012</c:v>
                </c:pt>
                <c:pt idx="1">
                  <c:v>2013</c:v>
                </c:pt>
                <c:pt idx="2">
                  <c:v>2014</c:v>
                </c:pt>
                <c:pt idx="3">
                  <c:v>2015</c:v>
                </c:pt>
                <c:pt idx="4">
                  <c:v>2016</c:v>
                </c:pt>
              </c:numCache>
            </c:numRef>
          </c:cat>
          <c:val>
            <c:numRef>
              <c:f>'D_Ch7-1'!$P$90:$T$90</c:f>
              <c:numCache>
                <c:formatCode>0</c:formatCode>
                <c:ptCount val="5"/>
                <c:pt idx="0" formatCode="#,##0">
                  <c:v>100</c:v>
                </c:pt>
                <c:pt idx="1">
                  <c:v>99.335013860422038</c:v>
                </c:pt>
                <c:pt idx="2">
                  <c:v>98.941582051342479</c:v>
                </c:pt>
                <c:pt idx="3">
                  <c:v>104.11163725744261</c:v>
                </c:pt>
                <c:pt idx="4">
                  <c:v>110.84693853511438</c:v>
                </c:pt>
              </c:numCache>
            </c:numRef>
          </c:val>
          <c:smooth val="0"/>
        </c:ser>
        <c:ser>
          <c:idx val="3"/>
          <c:order val="5"/>
          <c:tx>
            <c:strRef>
              <c:f>'D_Ch7-1'!$O$86</c:f>
              <c:strCache>
                <c:ptCount val="1"/>
                <c:pt idx="0">
                  <c:v>Haute-Normandie</c:v>
                </c:pt>
              </c:strCache>
            </c:strRef>
          </c:tx>
          <c:marker>
            <c:symbol val="none"/>
          </c:marker>
          <c:cat>
            <c:numRef>
              <c:f>'D_Ch7-1'!$P$81:$T$81</c:f>
              <c:numCache>
                <c:formatCode>General</c:formatCode>
                <c:ptCount val="5"/>
                <c:pt idx="0">
                  <c:v>2012</c:v>
                </c:pt>
                <c:pt idx="1">
                  <c:v>2013</c:v>
                </c:pt>
                <c:pt idx="2">
                  <c:v>2014</c:v>
                </c:pt>
                <c:pt idx="3">
                  <c:v>2015</c:v>
                </c:pt>
                <c:pt idx="4">
                  <c:v>2016</c:v>
                </c:pt>
              </c:numCache>
            </c:numRef>
          </c:cat>
          <c:val>
            <c:numRef>
              <c:f>'D_Ch7-1'!$P$86:$T$86</c:f>
              <c:numCache>
                <c:formatCode>0</c:formatCode>
                <c:ptCount val="5"/>
                <c:pt idx="0" formatCode="#,##0">
                  <c:v>100</c:v>
                </c:pt>
                <c:pt idx="1">
                  <c:v>99.048795848793119</c:v>
                </c:pt>
                <c:pt idx="2">
                  <c:v>99.668327879625949</c:v>
                </c:pt>
                <c:pt idx="3">
                  <c:v>97.199783677213532</c:v>
                </c:pt>
                <c:pt idx="4">
                  <c:v>99.831254535248291</c:v>
                </c:pt>
              </c:numCache>
            </c:numRef>
          </c:val>
          <c:smooth val="0"/>
        </c:ser>
        <c:ser>
          <c:idx val="8"/>
          <c:order val="6"/>
          <c:tx>
            <c:strRef>
              <c:f>'D_Ch7-1'!$O$91</c:f>
              <c:strCache>
                <c:ptCount val="1"/>
                <c:pt idx="0">
                  <c:v>Provence-Alpes-Côte d'Azur</c:v>
                </c:pt>
              </c:strCache>
            </c:strRef>
          </c:tx>
          <c:marker>
            <c:symbol val="none"/>
          </c:marker>
          <c:cat>
            <c:numRef>
              <c:f>'D_Ch7-1'!$P$81:$T$81</c:f>
              <c:numCache>
                <c:formatCode>General</c:formatCode>
                <c:ptCount val="5"/>
                <c:pt idx="0">
                  <c:v>2012</c:v>
                </c:pt>
                <c:pt idx="1">
                  <c:v>2013</c:v>
                </c:pt>
                <c:pt idx="2">
                  <c:v>2014</c:v>
                </c:pt>
                <c:pt idx="3">
                  <c:v>2015</c:v>
                </c:pt>
                <c:pt idx="4">
                  <c:v>2016</c:v>
                </c:pt>
              </c:numCache>
            </c:numRef>
          </c:cat>
          <c:val>
            <c:numRef>
              <c:f>'D_Ch7-1'!$P$91:$T$91</c:f>
              <c:numCache>
                <c:formatCode>0</c:formatCode>
                <c:ptCount val="5"/>
                <c:pt idx="0" formatCode="#,##0">
                  <c:v>100</c:v>
                </c:pt>
                <c:pt idx="1">
                  <c:v>98.309725308117422</c:v>
                </c:pt>
                <c:pt idx="2">
                  <c:v>96.523529574023371</c:v>
                </c:pt>
                <c:pt idx="3">
                  <c:v>98.591482247043828</c:v>
                </c:pt>
                <c:pt idx="4">
                  <c:v>96.903476559406528</c:v>
                </c:pt>
              </c:numCache>
            </c:numRef>
          </c:val>
          <c:smooth val="0"/>
        </c:ser>
        <c:ser>
          <c:idx val="1"/>
          <c:order val="7"/>
          <c:tx>
            <c:strRef>
              <c:f>'D_Ch7-1'!$O$84</c:f>
              <c:strCache>
                <c:ptCount val="1"/>
                <c:pt idx="0">
                  <c:v>Aquitaine</c:v>
                </c:pt>
              </c:strCache>
            </c:strRef>
          </c:tx>
          <c:spPr>
            <a:ln>
              <a:solidFill>
                <a:srgbClr val="1BB540"/>
              </a:solidFill>
            </a:ln>
          </c:spPr>
          <c:marker>
            <c:symbol val="none"/>
          </c:marker>
          <c:cat>
            <c:numRef>
              <c:f>'D_Ch7-1'!$P$81:$T$81</c:f>
              <c:numCache>
                <c:formatCode>General</c:formatCode>
                <c:ptCount val="5"/>
                <c:pt idx="0">
                  <c:v>2012</c:v>
                </c:pt>
                <c:pt idx="1">
                  <c:v>2013</c:v>
                </c:pt>
                <c:pt idx="2">
                  <c:v>2014</c:v>
                </c:pt>
                <c:pt idx="3">
                  <c:v>2015</c:v>
                </c:pt>
                <c:pt idx="4">
                  <c:v>2016</c:v>
                </c:pt>
              </c:numCache>
            </c:numRef>
          </c:cat>
          <c:val>
            <c:numRef>
              <c:f>'D_Ch7-1'!$P$84:$T$84</c:f>
              <c:numCache>
                <c:formatCode>0</c:formatCode>
                <c:ptCount val="5"/>
                <c:pt idx="0" formatCode="#,##0">
                  <c:v>100</c:v>
                </c:pt>
                <c:pt idx="1">
                  <c:v>101.6857021468023</c:v>
                </c:pt>
                <c:pt idx="2">
                  <c:v>100.40998039273596</c:v>
                </c:pt>
                <c:pt idx="3">
                  <c:v>105.77698611587596</c:v>
                </c:pt>
                <c:pt idx="4">
                  <c:v>109.35661818999733</c:v>
                </c:pt>
              </c:numCache>
            </c:numRef>
          </c:val>
          <c:smooth val="0"/>
        </c:ser>
        <c:ser>
          <c:idx val="4"/>
          <c:order val="8"/>
          <c:tx>
            <c:strRef>
              <c:f>'D_Ch7-1'!$O$87</c:f>
              <c:strCache>
                <c:ptCount val="1"/>
                <c:pt idx="0">
                  <c:v>Languedoc-Roussillon</c:v>
                </c:pt>
              </c:strCache>
            </c:strRef>
          </c:tx>
          <c:spPr>
            <a:ln>
              <a:solidFill>
                <a:schemeClr val="tx1">
                  <a:lumMod val="85000"/>
                  <a:lumOff val="15000"/>
                </a:schemeClr>
              </a:solidFill>
              <a:prstDash val="sysDot"/>
            </a:ln>
          </c:spPr>
          <c:marker>
            <c:symbol val="none"/>
          </c:marker>
          <c:cat>
            <c:numRef>
              <c:f>'D_Ch7-1'!$P$81:$T$81</c:f>
              <c:numCache>
                <c:formatCode>General</c:formatCode>
                <c:ptCount val="5"/>
                <c:pt idx="0">
                  <c:v>2012</c:v>
                </c:pt>
                <c:pt idx="1">
                  <c:v>2013</c:v>
                </c:pt>
                <c:pt idx="2">
                  <c:v>2014</c:v>
                </c:pt>
                <c:pt idx="3">
                  <c:v>2015</c:v>
                </c:pt>
                <c:pt idx="4">
                  <c:v>2016</c:v>
                </c:pt>
              </c:numCache>
            </c:numRef>
          </c:cat>
          <c:val>
            <c:numRef>
              <c:f>'D_Ch7-1'!$P$87:$T$87</c:f>
              <c:numCache>
                <c:formatCode>0</c:formatCode>
                <c:ptCount val="5"/>
                <c:pt idx="0" formatCode="#,##0">
                  <c:v>100</c:v>
                </c:pt>
                <c:pt idx="1">
                  <c:v>98.862487988861531</c:v>
                </c:pt>
                <c:pt idx="2">
                  <c:v>96.342730891667699</c:v>
                </c:pt>
                <c:pt idx="3">
                  <c:v>98.107371407280553</c:v>
                </c:pt>
                <c:pt idx="4">
                  <c:v>99.908617297346765</c:v>
                </c:pt>
              </c:numCache>
            </c:numRef>
          </c:val>
          <c:smooth val="0"/>
        </c:ser>
        <c:ser>
          <c:idx val="5"/>
          <c:order val="9"/>
          <c:tx>
            <c:strRef>
              <c:f>'D_Ch7-1'!$O$88</c:f>
              <c:strCache>
                <c:ptCount val="1"/>
                <c:pt idx="0">
                  <c:v>Midi-Pyrénées</c:v>
                </c:pt>
              </c:strCache>
            </c:strRef>
          </c:tx>
          <c:spPr>
            <a:ln>
              <a:solidFill>
                <a:srgbClr val="F4B23A"/>
              </a:solidFill>
            </a:ln>
          </c:spPr>
          <c:marker>
            <c:symbol val="none"/>
          </c:marker>
          <c:cat>
            <c:numRef>
              <c:f>'D_Ch7-1'!$P$81:$T$81</c:f>
              <c:numCache>
                <c:formatCode>General</c:formatCode>
                <c:ptCount val="5"/>
                <c:pt idx="0">
                  <c:v>2012</c:v>
                </c:pt>
                <c:pt idx="1">
                  <c:v>2013</c:v>
                </c:pt>
                <c:pt idx="2">
                  <c:v>2014</c:v>
                </c:pt>
                <c:pt idx="3">
                  <c:v>2015</c:v>
                </c:pt>
                <c:pt idx="4">
                  <c:v>2016</c:v>
                </c:pt>
              </c:numCache>
            </c:numRef>
          </c:cat>
          <c:val>
            <c:numRef>
              <c:f>'D_Ch7-1'!$P$88:$T$88</c:f>
              <c:numCache>
                <c:formatCode>0</c:formatCode>
                <c:ptCount val="5"/>
                <c:pt idx="0" formatCode="#,##0">
                  <c:v>100</c:v>
                </c:pt>
                <c:pt idx="1">
                  <c:v>94.696210844921609</c:v>
                </c:pt>
                <c:pt idx="2">
                  <c:v>92.795979555124063</c:v>
                </c:pt>
                <c:pt idx="3">
                  <c:v>93.6102338596842</c:v>
                </c:pt>
                <c:pt idx="4">
                  <c:v>96.238257045772542</c:v>
                </c:pt>
              </c:numCache>
            </c:numRef>
          </c:val>
          <c:smooth val="0"/>
        </c:ser>
        <c:dLbls>
          <c:showLegendKey val="0"/>
          <c:showVal val="0"/>
          <c:showCatName val="0"/>
          <c:showSerName val="0"/>
          <c:showPercent val="0"/>
          <c:showBubbleSize val="0"/>
        </c:dLbls>
        <c:marker val="1"/>
        <c:smooth val="0"/>
        <c:axId val="135122944"/>
        <c:axId val="135124480"/>
      </c:lineChart>
      <c:catAx>
        <c:axId val="135122944"/>
        <c:scaling>
          <c:orientation val="minMax"/>
        </c:scaling>
        <c:delete val="0"/>
        <c:axPos val="b"/>
        <c:numFmt formatCode="General" sourceLinked="1"/>
        <c:majorTickMark val="out"/>
        <c:minorTickMark val="none"/>
        <c:tickLblPos val="nextTo"/>
        <c:txPr>
          <a:bodyPr/>
          <a:lstStyle/>
          <a:p>
            <a:pPr>
              <a:defRPr sz="900"/>
            </a:pPr>
            <a:endParaRPr lang="fr-FR"/>
          </a:p>
        </c:txPr>
        <c:crossAx val="135124480"/>
        <c:crosses val="autoZero"/>
        <c:auto val="1"/>
        <c:lblAlgn val="ctr"/>
        <c:lblOffset val="100"/>
        <c:noMultiLvlLbl val="0"/>
      </c:catAx>
      <c:valAx>
        <c:axId val="135124480"/>
        <c:scaling>
          <c:orientation val="minMax"/>
          <c:max val="115"/>
          <c:min val="90"/>
        </c:scaling>
        <c:delete val="0"/>
        <c:axPos val="l"/>
        <c:majorGridlines/>
        <c:numFmt formatCode="General" sourceLinked="0"/>
        <c:majorTickMark val="out"/>
        <c:minorTickMark val="none"/>
        <c:tickLblPos val="nextTo"/>
        <c:txPr>
          <a:bodyPr/>
          <a:lstStyle/>
          <a:p>
            <a:pPr>
              <a:defRPr sz="800"/>
            </a:pPr>
            <a:endParaRPr lang="fr-FR"/>
          </a:p>
        </c:txPr>
        <c:crossAx val="135122944"/>
        <c:crosses val="autoZero"/>
        <c:crossBetween val="midCat"/>
      </c:valAx>
    </c:plotArea>
    <c:legend>
      <c:legendPos val="r"/>
      <c:layout>
        <c:manualLayout>
          <c:xMode val="edge"/>
          <c:yMode val="edge"/>
          <c:x val="0.73878268866026786"/>
          <c:y val="2.4003113756396983E-2"/>
          <c:w val="0.24953847922294384"/>
          <c:h val="0.89286545667185624"/>
        </c:manualLayout>
      </c:layout>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20257234726688"/>
          <c:y val="0.10232648002333042"/>
          <c:w val="0.62505540505186052"/>
          <c:h val="0.78169364246135897"/>
        </c:manualLayout>
      </c:layout>
      <c:barChart>
        <c:barDir val="col"/>
        <c:grouping val="stacked"/>
        <c:varyColors val="0"/>
        <c:ser>
          <c:idx val="0"/>
          <c:order val="0"/>
          <c:tx>
            <c:strRef>
              <c:f>'Emploi-old'!$K$73</c:f>
              <c:strCache>
                <c:ptCount val="1"/>
                <c:pt idx="0">
                  <c:v>Privé</c:v>
                </c:pt>
              </c:strCache>
            </c:strRef>
          </c:tx>
          <c:spPr>
            <a:solidFill>
              <a:schemeClr val="accent4">
                <a:lumMod val="60000"/>
                <a:lumOff val="40000"/>
              </a:schemeClr>
            </a:solidFill>
          </c:spPr>
          <c:invertIfNegative val="0"/>
          <c:cat>
            <c:strRef>
              <c:f>'Emploi-old'!$J$74:$J$75</c:f>
              <c:strCache>
                <c:ptCount val="2"/>
                <c:pt idx="0">
                  <c:v>Bordeaux Métropole</c:v>
                </c:pt>
                <c:pt idx="1">
                  <c:v>Gironde</c:v>
                </c:pt>
              </c:strCache>
            </c:strRef>
          </c:cat>
          <c:val>
            <c:numRef>
              <c:f>'Emploi-old'!$K$74:$K$75</c:f>
              <c:numCache>
                <c:formatCode>#,##0</c:formatCode>
                <c:ptCount val="2"/>
                <c:pt idx="0">
                  <c:v>48993</c:v>
                </c:pt>
                <c:pt idx="1">
                  <c:v>94951</c:v>
                </c:pt>
              </c:numCache>
            </c:numRef>
          </c:val>
        </c:ser>
        <c:ser>
          <c:idx val="1"/>
          <c:order val="1"/>
          <c:tx>
            <c:strRef>
              <c:f>'Emploi-old'!$L$73</c:f>
              <c:strCache>
                <c:ptCount val="1"/>
                <c:pt idx="0">
                  <c:v>Public</c:v>
                </c:pt>
              </c:strCache>
            </c:strRef>
          </c:tx>
          <c:spPr>
            <a:solidFill>
              <a:srgbClr val="FFC000"/>
            </a:solidFill>
          </c:spPr>
          <c:invertIfNegative val="0"/>
          <c:cat>
            <c:strRef>
              <c:f>'Emploi-old'!$J$74:$J$75</c:f>
              <c:strCache>
                <c:ptCount val="2"/>
                <c:pt idx="0">
                  <c:v>Bordeaux Métropole</c:v>
                </c:pt>
                <c:pt idx="1">
                  <c:v>Gironde</c:v>
                </c:pt>
              </c:strCache>
            </c:strRef>
          </c:cat>
          <c:val>
            <c:numRef>
              <c:f>'Emploi-old'!$L$74:$L$75</c:f>
              <c:numCache>
                <c:formatCode>#,##0</c:formatCode>
                <c:ptCount val="2"/>
                <c:pt idx="0">
                  <c:v>1435</c:v>
                </c:pt>
                <c:pt idx="1">
                  <c:v>3568</c:v>
                </c:pt>
              </c:numCache>
            </c:numRef>
          </c:val>
        </c:ser>
        <c:ser>
          <c:idx val="2"/>
          <c:order val="2"/>
          <c:tx>
            <c:strRef>
              <c:f>'Emploi-old'!$M$73</c:f>
              <c:strCache>
                <c:ptCount val="1"/>
                <c:pt idx="0">
                  <c:v>Privé</c:v>
                </c:pt>
              </c:strCache>
            </c:strRef>
          </c:tx>
          <c:spPr>
            <a:solidFill>
              <a:srgbClr val="CCCCFF"/>
            </a:solidFill>
          </c:spPr>
          <c:invertIfNegative val="0"/>
          <c:cat>
            <c:strRef>
              <c:f>'Emploi-old'!$J$74:$J$75</c:f>
              <c:strCache>
                <c:ptCount val="2"/>
                <c:pt idx="0">
                  <c:v>Bordeaux Métropole</c:v>
                </c:pt>
                <c:pt idx="1">
                  <c:v>Gironde</c:v>
                </c:pt>
              </c:strCache>
            </c:strRef>
          </c:cat>
          <c:val>
            <c:numRef>
              <c:f>'Emploi-old'!$M$74:$M$75</c:f>
              <c:numCache>
                <c:formatCode>#,##0</c:formatCode>
                <c:ptCount val="2"/>
                <c:pt idx="0">
                  <c:v>32779</c:v>
                </c:pt>
                <c:pt idx="1">
                  <c:v>67882</c:v>
                </c:pt>
              </c:numCache>
            </c:numRef>
          </c:val>
        </c:ser>
        <c:ser>
          <c:idx val="3"/>
          <c:order val="3"/>
          <c:tx>
            <c:strRef>
              <c:f>'Emploi-old'!$N$73</c:f>
              <c:strCache>
                <c:ptCount val="1"/>
                <c:pt idx="0">
                  <c:v>public</c:v>
                </c:pt>
              </c:strCache>
            </c:strRef>
          </c:tx>
          <c:spPr>
            <a:solidFill>
              <a:schemeClr val="accent6">
                <a:lumMod val="75000"/>
              </a:schemeClr>
            </a:solidFill>
          </c:spPr>
          <c:invertIfNegative val="0"/>
          <c:cat>
            <c:strRef>
              <c:f>'Emploi-old'!$J$74:$J$75</c:f>
              <c:strCache>
                <c:ptCount val="2"/>
                <c:pt idx="0">
                  <c:v>Bordeaux Métropole</c:v>
                </c:pt>
                <c:pt idx="1">
                  <c:v>Gironde</c:v>
                </c:pt>
              </c:strCache>
            </c:strRef>
          </c:cat>
          <c:val>
            <c:numRef>
              <c:f>'Emploi-old'!$N$74:$N$75</c:f>
              <c:numCache>
                <c:formatCode>#,##0</c:formatCode>
                <c:ptCount val="2"/>
                <c:pt idx="0">
                  <c:v>38</c:v>
                </c:pt>
                <c:pt idx="1">
                  <c:v>59</c:v>
                </c:pt>
              </c:numCache>
            </c:numRef>
          </c:val>
        </c:ser>
        <c:dLbls>
          <c:showLegendKey val="0"/>
          <c:showVal val="0"/>
          <c:showCatName val="0"/>
          <c:showSerName val="0"/>
          <c:showPercent val="0"/>
          <c:showBubbleSize val="0"/>
        </c:dLbls>
        <c:gapWidth val="150"/>
        <c:overlap val="100"/>
        <c:axId val="106630144"/>
        <c:axId val="106640128"/>
      </c:barChart>
      <c:catAx>
        <c:axId val="106630144"/>
        <c:scaling>
          <c:orientation val="minMax"/>
        </c:scaling>
        <c:delete val="0"/>
        <c:axPos val="b"/>
        <c:majorTickMark val="out"/>
        <c:minorTickMark val="none"/>
        <c:tickLblPos val="nextTo"/>
        <c:crossAx val="106640128"/>
        <c:crosses val="autoZero"/>
        <c:auto val="1"/>
        <c:lblAlgn val="ctr"/>
        <c:lblOffset val="100"/>
        <c:noMultiLvlLbl val="0"/>
      </c:catAx>
      <c:valAx>
        <c:axId val="106640128"/>
        <c:scaling>
          <c:orientation val="minMax"/>
        </c:scaling>
        <c:delete val="0"/>
        <c:axPos val="l"/>
        <c:majorGridlines/>
        <c:numFmt formatCode="#,##0" sourceLinked="1"/>
        <c:majorTickMark val="out"/>
        <c:minorTickMark val="none"/>
        <c:tickLblPos val="high"/>
        <c:crossAx val="106630144"/>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787735447961533E-2"/>
          <c:y val="6.2101083274169314E-2"/>
          <c:w val="0.68449077279651316"/>
          <c:h val="0.797774434447731"/>
        </c:manualLayout>
      </c:layout>
      <c:lineChart>
        <c:grouping val="standard"/>
        <c:varyColors val="0"/>
        <c:ser>
          <c:idx val="0"/>
          <c:order val="0"/>
          <c:tx>
            <c:strRef>
              <c:f>'D_Ch7-1'!$AD$83</c:f>
              <c:strCache>
                <c:ptCount val="1"/>
                <c:pt idx="0">
                  <c:v>Alsace</c:v>
                </c:pt>
              </c:strCache>
            </c:strRef>
          </c:tx>
          <c:marker>
            <c:symbol val="none"/>
          </c:marker>
          <c:cat>
            <c:numRef>
              <c:f>'D_Ch7-1'!$AE$81:$AI$81</c:f>
              <c:numCache>
                <c:formatCode>General</c:formatCode>
                <c:ptCount val="5"/>
                <c:pt idx="0">
                  <c:v>2012</c:v>
                </c:pt>
                <c:pt idx="1">
                  <c:v>2013</c:v>
                </c:pt>
                <c:pt idx="2">
                  <c:v>2014</c:v>
                </c:pt>
                <c:pt idx="3">
                  <c:v>2015</c:v>
                </c:pt>
                <c:pt idx="4">
                  <c:v>2016</c:v>
                </c:pt>
              </c:numCache>
            </c:numRef>
          </c:cat>
          <c:val>
            <c:numRef>
              <c:f>'D_Ch7-1'!$AE$83:$AI$83</c:f>
              <c:numCache>
                <c:formatCode>0</c:formatCode>
                <c:ptCount val="5"/>
                <c:pt idx="0" formatCode="#,##0">
                  <c:v>100</c:v>
                </c:pt>
                <c:pt idx="1">
                  <c:v>112.10958333333332</c:v>
                </c:pt>
                <c:pt idx="2">
                  <c:v>115.77249999999999</c:v>
                </c:pt>
                <c:pt idx="3">
                  <c:v>114.83333333333334</c:v>
                </c:pt>
                <c:pt idx="4">
                  <c:v>115.63749999999999</c:v>
                </c:pt>
              </c:numCache>
            </c:numRef>
          </c:val>
          <c:smooth val="0"/>
        </c:ser>
        <c:ser>
          <c:idx val="1"/>
          <c:order val="1"/>
          <c:tx>
            <c:strRef>
              <c:f>'D_Ch7-1'!$AD$84</c:f>
              <c:strCache>
                <c:ptCount val="1"/>
                <c:pt idx="0">
                  <c:v>Aquitaine</c:v>
                </c:pt>
              </c:strCache>
            </c:strRef>
          </c:tx>
          <c:spPr>
            <a:ln>
              <a:solidFill>
                <a:srgbClr val="00B050"/>
              </a:solidFill>
            </a:ln>
          </c:spPr>
          <c:marker>
            <c:symbol val="none"/>
          </c:marker>
          <c:cat>
            <c:numRef>
              <c:f>'D_Ch7-1'!$AE$81:$AI$81</c:f>
              <c:numCache>
                <c:formatCode>General</c:formatCode>
                <c:ptCount val="5"/>
                <c:pt idx="0">
                  <c:v>2012</c:v>
                </c:pt>
                <c:pt idx="1">
                  <c:v>2013</c:v>
                </c:pt>
                <c:pt idx="2">
                  <c:v>2014</c:v>
                </c:pt>
                <c:pt idx="3">
                  <c:v>2015</c:v>
                </c:pt>
                <c:pt idx="4">
                  <c:v>2016</c:v>
                </c:pt>
              </c:numCache>
            </c:numRef>
          </c:cat>
          <c:val>
            <c:numRef>
              <c:f>'D_Ch7-1'!$AE$84:$AI$84</c:f>
              <c:numCache>
                <c:formatCode>0</c:formatCode>
                <c:ptCount val="5"/>
                <c:pt idx="0" formatCode="#,##0">
                  <c:v>100</c:v>
                </c:pt>
                <c:pt idx="1">
                  <c:v>104.47681934108934</c:v>
                </c:pt>
                <c:pt idx="2">
                  <c:v>115.94242392481573</c:v>
                </c:pt>
                <c:pt idx="3">
                  <c:v>116.20025853334732</c:v>
                </c:pt>
                <c:pt idx="4">
                  <c:v>130.37766830870279</c:v>
                </c:pt>
              </c:numCache>
            </c:numRef>
          </c:val>
          <c:smooth val="0"/>
        </c:ser>
        <c:ser>
          <c:idx val="6"/>
          <c:order val="2"/>
          <c:tx>
            <c:strRef>
              <c:f>'D_Ch7-1'!$AD$89</c:f>
              <c:strCache>
                <c:ptCount val="1"/>
                <c:pt idx="0">
                  <c:v>Nord-Pas-de-Calais</c:v>
                </c:pt>
              </c:strCache>
            </c:strRef>
          </c:tx>
          <c:spPr>
            <a:ln>
              <a:solidFill>
                <a:srgbClr val="FF0000"/>
              </a:solidFill>
              <a:prstDash val="dash"/>
            </a:ln>
          </c:spPr>
          <c:marker>
            <c:symbol val="none"/>
          </c:marker>
          <c:cat>
            <c:numRef>
              <c:f>'D_Ch7-1'!$AE$81:$AI$81</c:f>
              <c:numCache>
                <c:formatCode>General</c:formatCode>
                <c:ptCount val="5"/>
                <c:pt idx="0">
                  <c:v>2012</c:v>
                </c:pt>
                <c:pt idx="1">
                  <c:v>2013</c:v>
                </c:pt>
                <c:pt idx="2">
                  <c:v>2014</c:v>
                </c:pt>
                <c:pt idx="3">
                  <c:v>2015</c:v>
                </c:pt>
                <c:pt idx="4">
                  <c:v>2016</c:v>
                </c:pt>
              </c:numCache>
            </c:numRef>
          </c:cat>
          <c:val>
            <c:numRef>
              <c:f>'D_Ch7-1'!$AE$89:$AI$89</c:f>
              <c:numCache>
                <c:formatCode>0</c:formatCode>
                <c:ptCount val="5"/>
                <c:pt idx="0" formatCode="#,##0">
                  <c:v>100</c:v>
                </c:pt>
                <c:pt idx="1">
                  <c:v>102.49649026429837</c:v>
                </c:pt>
                <c:pt idx="2">
                  <c:v>114.60389156781761</c:v>
                </c:pt>
                <c:pt idx="3">
                  <c:v>118.21196769008526</c:v>
                </c:pt>
                <c:pt idx="4">
                  <c:v>123.32499135282508</c:v>
                </c:pt>
              </c:numCache>
            </c:numRef>
          </c:val>
          <c:smooth val="0"/>
        </c:ser>
        <c:ser>
          <c:idx val="8"/>
          <c:order val="3"/>
          <c:tx>
            <c:strRef>
              <c:f>'D_Ch7-1'!$AD$91</c:f>
              <c:strCache>
                <c:ptCount val="1"/>
                <c:pt idx="0">
                  <c:v>Provence-Alpes-Côte d'Azur</c:v>
                </c:pt>
              </c:strCache>
            </c:strRef>
          </c:tx>
          <c:marker>
            <c:symbol val="none"/>
          </c:marker>
          <c:cat>
            <c:numRef>
              <c:f>'D_Ch7-1'!$AE$81:$AI$81</c:f>
              <c:numCache>
                <c:formatCode>General</c:formatCode>
                <c:ptCount val="5"/>
                <c:pt idx="0">
                  <c:v>2012</c:v>
                </c:pt>
                <c:pt idx="1">
                  <c:v>2013</c:v>
                </c:pt>
                <c:pt idx="2">
                  <c:v>2014</c:v>
                </c:pt>
                <c:pt idx="3">
                  <c:v>2015</c:v>
                </c:pt>
                <c:pt idx="4">
                  <c:v>2016</c:v>
                </c:pt>
              </c:numCache>
            </c:numRef>
          </c:cat>
          <c:val>
            <c:numRef>
              <c:f>'D_Ch7-1'!$AE$91:$AI$91</c:f>
              <c:numCache>
                <c:formatCode>0</c:formatCode>
                <c:ptCount val="5"/>
                <c:pt idx="0" formatCode="#,##0">
                  <c:v>100</c:v>
                </c:pt>
                <c:pt idx="1">
                  <c:v>101.61905662030139</c:v>
                </c:pt>
                <c:pt idx="2">
                  <c:v>100.52420228583546</c:v>
                </c:pt>
                <c:pt idx="3">
                  <c:v>104.02211147020989</c:v>
                </c:pt>
                <c:pt idx="4">
                  <c:v>97.338878105679541</c:v>
                </c:pt>
              </c:numCache>
            </c:numRef>
          </c:val>
          <c:smooth val="0"/>
        </c:ser>
        <c:ser>
          <c:idx val="9"/>
          <c:order val="4"/>
          <c:tx>
            <c:strRef>
              <c:f>'D_Ch7-1'!$AD$92</c:f>
              <c:strCache>
                <c:ptCount val="1"/>
                <c:pt idx="0">
                  <c:v>Rhône-Alpes</c:v>
                </c:pt>
              </c:strCache>
            </c:strRef>
          </c:tx>
          <c:marker>
            <c:symbol val="none"/>
          </c:marker>
          <c:cat>
            <c:numRef>
              <c:f>'D_Ch7-1'!$AE$81:$AI$81</c:f>
              <c:numCache>
                <c:formatCode>General</c:formatCode>
                <c:ptCount val="5"/>
                <c:pt idx="0">
                  <c:v>2012</c:v>
                </c:pt>
                <c:pt idx="1">
                  <c:v>2013</c:v>
                </c:pt>
                <c:pt idx="2">
                  <c:v>2014</c:v>
                </c:pt>
                <c:pt idx="3">
                  <c:v>2015</c:v>
                </c:pt>
                <c:pt idx="4">
                  <c:v>2016</c:v>
                </c:pt>
              </c:numCache>
            </c:numRef>
          </c:cat>
          <c:val>
            <c:numRef>
              <c:f>'D_Ch7-1'!$AE$92:$AI$92</c:f>
              <c:numCache>
                <c:formatCode>0</c:formatCode>
                <c:ptCount val="5"/>
                <c:pt idx="0" formatCode="#,##0">
                  <c:v>100</c:v>
                </c:pt>
                <c:pt idx="1">
                  <c:v>109.26599460685773</c:v>
                </c:pt>
                <c:pt idx="2">
                  <c:v>101.08455964124798</c:v>
                </c:pt>
                <c:pt idx="3">
                  <c:v>112.86198766737063</c:v>
                </c:pt>
                <c:pt idx="4">
                  <c:v>120.46364924663354</c:v>
                </c:pt>
              </c:numCache>
            </c:numRef>
          </c:val>
          <c:smooth val="0"/>
        </c:ser>
        <c:ser>
          <c:idx val="2"/>
          <c:order val="5"/>
          <c:tx>
            <c:strRef>
              <c:f>'D_Ch7-1'!$AD$85</c:f>
              <c:strCache>
                <c:ptCount val="1"/>
                <c:pt idx="0">
                  <c:v>Bretagne</c:v>
                </c:pt>
              </c:strCache>
            </c:strRef>
          </c:tx>
          <c:spPr>
            <a:ln>
              <a:solidFill>
                <a:srgbClr val="FFFF00"/>
              </a:solidFill>
            </a:ln>
          </c:spPr>
          <c:marker>
            <c:symbol val="none"/>
          </c:marker>
          <c:cat>
            <c:numRef>
              <c:f>'D_Ch7-1'!$AE$81:$AI$81</c:f>
              <c:numCache>
                <c:formatCode>General</c:formatCode>
                <c:ptCount val="5"/>
                <c:pt idx="0">
                  <c:v>2012</c:v>
                </c:pt>
                <c:pt idx="1">
                  <c:v>2013</c:v>
                </c:pt>
                <c:pt idx="2">
                  <c:v>2014</c:v>
                </c:pt>
                <c:pt idx="3">
                  <c:v>2015</c:v>
                </c:pt>
                <c:pt idx="4">
                  <c:v>2016</c:v>
                </c:pt>
              </c:numCache>
            </c:numRef>
          </c:cat>
          <c:val>
            <c:numRef>
              <c:f>'D_Ch7-1'!$AE$85:$AI$85</c:f>
              <c:numCache>
                <c:formatCode>0</c:formatCode>
                <c:ptCount val="5"/>
                <c:pt idx="0" formatCode="#,##0">
                  <c:v>100</c:v>
                </c:pt>
                <c:pt idx="1">
                  <c:v>102.57984905443796</c:v>
                </c:pt>
                <c:pt idx="2">
                  <c:v>110.61019121684316</c:v>
                </c:pt>
                <c:pt idx="3">
                  <c:v>118.99637462813632</c:v>
                </c:pt>
                <c:pt idx="4">
                  <c:v>108.13843372456739</c:v>
                </c:pt>
              </c:numCache>
            </c:numRef>
          </c:val>
          <c:smooth val="0"/>
        </c:ser>
        <c:ser>
          <c:idx val="3"/>
          <c:order val="6"/>
          <c:tx>
            <c:strRef>
              <c:f>'D_Ch7-1'!$AD$86</c:f>
              <c:strCache>
                <c:ptCount val="1"/>
                <c:pt idx="0">
                  <c:v>Haute-Normandie</c:v>
                </c:pt>
              </c:strCache>
            </c:strRef>
          </c:tx>
          <c:marker>
            <c:symbol val="none"/>
          </c:marker>
          <c:cat>
            <c:numRef>
              <c:f>'D_Ch7-1'!$AE$81:$AI$81</c:f>
              <c:numCache>
                <c:formatCode>General</c:formatCode>
                <c:ptCount val="5"/>
                <c:pt idx="0">
                  <c:v>2012</c:v>
                </c:pt>
                <c:pt idx="1">
                  <c:v>2013</c:v>
                </c:pt>
                <c:pt idx="2">
                  <c:v>2014</c:v>
                </c:pt>
                <c:pt idx="3">
                  <c:v>2015</c:v>
                </c:pt>
                <c:pt idx="4">
                  <c:v>2016</c:v>
                </c:pt>
              </c:numCache>
            </c:numRef>
          </c:cat>
          <c:val>
            <c:numRef>
              <c:f>'D_Ch7-1'!$AE$86:$AI$86</c:f>
              <c:numCache>
                <c:formatCode>0</c:formatCode>
                <c:ptCount val="5"/>
                <c:pt idx="0" formatCode="#,##0">
                  <c:v>100</c:v>
                </c:pt>
                <c:pt idx="1">
                  <c:v>97.016078650577043</c:v>
                </c:pt>
                <c:pt idx="2">
                  <c:v>99.010291651596333</c:v>
                </c:pt>
                <c:pt idx="3">
                  <c:v>119.52125735705124</c:v>
                </c:pt>
                <c:pt idx="4">
                  <c:v>98.867260710880203</c:v>
                </c:pt>
              </c:numCache>
            </c:numRef>
          </c:val>
          <c:smooth val="0"/>
        </c:ser>
        <c:ser>
          <c:idx val="7"/>
          <c:order val="7"/>
          <c:tx>
            <c:strRef>
              <c:f>'D_Ch7-1'!$AD$90</c:f>
              <c:strCache>
                <c:ptCount val="1"/>
                <c:pt idx="0">
                  <c:v>Pays de la Loire</c:v>
                </c:pt>
              </c:strCache>
            </c:strRef>
          </c:tx>
          <c:spPr>
            <a:ln>
              <a:solidFill>
                <a:srgbClr val="FF33CC"/>
              </a:solidFill>
            </a:ln>
          </c:spPr>
          <c:marker>
            <c:symbol val="none"/>
          </c:marker>
          <c:cat>
            <c:numRef>
              <c:f>'D_Ch7-1'!$AE$81:$AI$81</c:f>
              <c:numCache>
                <c:formatCode>General</c:formatCode>
                <c:ptCount val="5"/>
                <c:pt idx="0">
                  <c:v>2012</c:v>
                </c:pt>
                <c:pt idx="1">
                  <c:v>2013</c:v>
                </c:pt>
                <c:pt idx="2">
                  <c:v>2014</c:v>
                </c:pt>
                <c:pt idx="3">
                  <c:v>2015</c:v>
                </c:pt>
                <c:pt idx="4">
                  <c:v>2016</c:v>
                </c:pt>
              </c:numCache>
            </c:numRef>
          </c:cat>
          <c:val>
            <c:numRef>
              <c:f>'D_Ch7-1'!$AE$90:$AI$90</c:f>
              <c:numCache>
                <c:formatCode>0</c:formatCode>
                <c:ptCount val="5"/>
                <c:pt idx="0" formatCode="#,##0">
                  <c:v>100</c:v>
                </c:pt>
                <c:pt idx="1">
                  <c:v>101.63139127374008</c:v>
                </c:pt>
                <c:pt idx="2">
                  <c:v>98.575210810645373</c:v>
                </c:pt>
                <c:pt idx="3">
                  <c:v>111.718164149182</c:v>
                </c:pt>
                <c:pt idx="4">
                  <c:v>116.46542093261706</c:v>
                </c:pt>
              </c:numCache>
            </c:numRef>
          </c:val>
          <c:smooth val="0"/>
        </c:ser>
        <c:ser>
          <c:idx val="4"/>
          <c:order val="8"/>
          <c:tx>
            <c:strRef>
              <c:f>'D_Ch7-1'!$AD$87</c:f>
              <c:strCache>
                <c:ptCount val="1"/>
                <c:pt idx="0">
                  <c:v>Languedoc-Roussillon</c:v>
                </c:pt>
              </c:strCache>
            </c:strRef>
          </c:tx>
          <c:spPr>
            <a:ln>
              <a:solidFill>
                <a:schemeClr val="tx1"/>
              </a:solidFill>
              <a:prstDash val="sysDot"/>
            </a:ln>
          </c:spPr>
          <c:marker>
            <c:symbol val="none"/>
          </c:marker>
          <c:cat>
            <c:numRef>
              <c:f>'D_Ch7-1'!$AE$81:$AI$81</c:f>
              <c:numCache>
                <c:formatCode>General</c:formatCode>
                <c:ptCount val="5"/>
                <c:pt idx="0">
                  <c:v>2012</c:v>
                </c:pt>
                <c:pt idx="1">
                  <c:v>2013</c:v>
                </c:pt>
                <c:pt idx="2">
                  <c:v>2014</c:v>
                </c:pt>
                <c:pt idx="3">
                  <c:v>2015</c:v>
                </c:pt>
                <c:pt idx="4">
                  <c:v>2016</c:v>
                </c:pt>
              </c:numCache>
            </c:numRef>
          </c:cat>
          <c:val>
            <c:numRef>
              <c:f>'D_Ch7-1'!$AE$87:$AI$87</c:f>
              <c:numCache>
                <c:formatCode>0</c:formatCode>
                <c:ptCount val="5"/>
                <c:pt idx="0" formatCode="#,##0">
                  <c:v>100</c:v>
                </c:pt>
                <c:pt idx="1">
                  <c:v>108.72079891032793</c:v>
                </c:pt>
                <c:pt idx="2">
                  <c:v>103.2409530523823</c:v>
                </c:pt>
                <c:pt idx="3">
                  <c:v>106.70846480810955</c:v>
                </c:pt>
                <c:pt idx="4">
                  <c:v>109.78172335197367</c:v>
                </c:pt>
              </c:numCache>
            </c:numRef>
          </c:val>
          <c:smooth val="0"/>
        </c:ser>
        <c:ser>
          <c:idx val="5"/>
          <c:order val="9"/>
          <c:tx>
            <c:strRef>
              <c:f>'D_Ch7-1'!$AD$88</c:f>
              <c:strCache>
                <c:ptCount val="1"/>
                <c:pt idx="0">
                  <c:v>Midi-Pyrénées</c:v>
                </c:pt>
              </c:strCache>
            </c:strRef>
          </c:tx>
          <c:spPr>
            <a:ln>
              <a:solidFill>
                <a:schemeClr val="accent6">
                  <a:lumMod val="75000"/>
                </a:schemeClr>
              </a:solidFill>
            </a:ln>
          </c:spPr>
          <c:marker>
            <c:symbol val="none"/>
          </c:marker>
          <c:cat>
            <c:numRef>
              <c:f>'D_Ch7-1'!$AE$81:$AI$81</c:f>
              <c:numCache>
                <c:formatCode>General</c:formatCode>
                <c:ptCount val="5"/>
                <c:pt idx="0">
                  <c:v>2012</c:v>
                </c:pt>
                <c:pt idx="1">
                  <c:v>2013</c:v>
                </c:pt>
                <c:pt idx="2">
                  <c:v>2014</c:v>
                </c:pt>
                <c:pt idx="3">
                  <c:v>2015</c:v>
                </c:pt>
                <c:pt idx="4">
                  <c:v>2016</c:v>
                </c:pt>
              </c:numCache>
            </c:numRef>
          </c:cat>
          <c:val>
            <c:numRef>
              <c:f>'D_Ch7-1'!$AE$88:$AI$88</c:f>
              <c:numCache>
                <c:formatCode>0</c:formatCode>
                <c:ptCount val="5"/>
                <c:pt idx="0" formatCode="#,##0">
                  <c:v>100</c:v>
                </c:pt>
                <c:pt idx="1">
                  <c:v>92.59750443988284</c:v>
                </c:pt>
                <c:pt idx="2">
                  <c:v>94.162418986553504</c:v>
                </c:pt>
                <c:pt idx="3">
                  <c:v>93.910249017844123</c:v>
                </c:pt>
                <c:pt idx="4">
                  <c:v>96.405809135010898</c:v>
                </c:pt>
              </c:numCache>
            </c:numRef>
          </c:val>
          <c:smooth val="0"/>
        </c:ser>
        <c:dLbls>
          <c:showLegendKey val="0"/>
          <c:showVal val="0"/>
          <c:showCatName val="0"/>
          <c:showSerName val="0"/>
          <c:showPercent val="0"/>
          <c:showBubbleSize val="0"/>
        </c:dLbls>
        <c:marker val="1"/>
        <c:smooth val="0"/>
        <c:axId val="134951296"/>
        <c:axId val="134952832"/>
      </c:lineChart>
      <c:catAx>
        <c:axId val="134951296"/>
        <c:scaling>
          <c:orientation val="minMax"/>
        </c:scaling>
        <c:delete val="0"/>
        <c:axPos val="b"/>
        <c:numFmt formatCode="General" sourceLinked="1"/>
        <c:majorTickMark val="out"/>
        <c:minorTickMark val="none"/>
        <c:tickLblPos val="nextTo"/>
        <c:crossAx val="134952832"/>
        <c:crosses val="autoZero"/>
        <c:auto val="1"/>
        <c:lblAlgn val="ctr"/>
        <c:lblOffset val="100"/>
        <c:noMultiLvlLbl val="0"/>
      </c:catAx>
      <c:valAx>
        <c:axId val="134952832"/>
        <c:scaling>
          <c:orientation val="minMax"/>
          <c:max val="140"/>
          <c:min val="90"/>
        </c:scaling>
        <c:delete val="0"/>
        <c:axPos val="l"/>
        <c:majorGridlines/>
        <c:numFmt formatCode="#,##0" sourceLinked="0"/>
        <c:majorTickMark val="out"/>
        <c:minorTickMark val="none"/>
        <c:tickLblPos val="nextTo"/>
        <c:crossAx val="134951296"/>
        <c:crosses val="autoZero"/>
        <c:crossBetween val="midCat"/>
        <c:majorUnit val="10"/>
      </c:valAx>
    </c:plotArea>
    <c:legend>
      <c:legendPos val="r"/>
      <c:layout>
        <c:manualLayout>
          <c:xMode val="edge"/>
          <c:yMode val="edge"/>
          <c:x val="0.74892054716976553"/>
          <c:y val="2.6282187652449204E-2"/>
          <c:w val="0.24722263726011823"/>
          <c:h val="0.88003134897450197"/>
        </c:manualLayout>
      </c:layout>
      <c:overlay val="0"/>
      <c:txPr>
        <a:bodyPr/>
        <a:lstStyle/>
        <a:p>
          <a:pPr>
            <a:defRPr sz="800"/>
          </a:pPr>
          <a:endParaRPr lang="fr-FR"/>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0.27047111151627029"/>
          <c:y val="2.4505702268172024E-2"/>
          <c:w val="0.68673101101146727"/>
          <c:h val="0.8793049432053599"/>
        </c:manualLayout>
      </c:layout>
      <c:barChart>
        <c:barDir val="bar"/>
        <c:grouping val="percentStacked"/>
        <c:varyColors val="0"/>
        <c:ser>
          <c:idx val="0"/>
          <c:order val="0"/>
          <c:tx>
            <c:strRef>
              <c:f>'D_Ch7-1'!$B$188</c:f>
              <c:strCache>
                <c:ptCount val="1"/>
                <c:pt idx="0">
                  <c:v>Allemagne </c:v>
                </c:pt>
              </c:strCache>
            </c:strRef>
          </c:tx>
          <c:invertIfNegative val="0"/>
          <c:dLbls>
            <c:txPr>
              <a:bodyPr/>
              <a:lstStyle/>
              <a:p>
                <a:pPr>
                  <a:defRPr sz="800"/>
                </a:pPr>
                <a:endParaRPr lang="fr-FR"/>
              </a:p>
            </c:txPr>
            <c:showLegendKey val="0"/>
            <c:showVal val="1"/>
            <c:showCatName val="0"/>
            <c:showSerName val="0"/>
            <c:showPercent val="0"/>
            <c:showBubbleSize val="0"/>
            <c:showLeaderLines val="0"/>
          </c:dLbls>
          <c:cat>
            <c:strRef>
              <c:f>'D_Ch7-1'!$C$187:$Q$187</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'D_Ch7-1'!$C$188:$Q$188</c:f>
              <c:numCache>
                <c:formatCode>0%</c:formatCode>
                <c:ptCount val="15"/>
                <c:pt idx="0">
                  <c:v>7.7268848979252069E-2</c:v>
                </c:pt>
                <c:pt idx="1">
                  <c:v>9.2663407393065167E-2</c:v>
                </c:pt>
                <c:pt idx="2">
                  <c:v>0.27764962194027937</c:v>
                </c:pt>
                <c:pt idx="3">
                  <c:v>0.1092055817515977</c:v>
                </c:pt>
                <c:pt idx="4">
                  <c:v>6.8516592887489236E-2</c:v>
                </c:pt>
                <c:pt idx="5">
                  <c:v>7.0315988547713482E-2</c:v>
                </c:pt>
                <c:pt idx="6">
                  <c:v>0.14531541176004123</c:v>
                </c:pt>
                <c:pt idx="7">
                  <c:v>7.9484605087014729E-2</c:v>
                </c:pt>
                <c:pt idx="8">
                  <c:v>8.0800969924517976E-2</c:v>
                </c:pt>
                <c:pt idx="9">
                  <c:v>6.7611794735638414E-2</c:v>
                </c:pt>
                <c:pt idx="10">
                  <c:v>0.11371421821474978</c:v>
                </c:pt>
                <c:pt idx="11">
                  <c:v>9.0385124392531949E-2</c:v>
                </c:pt>
                <c:pt idx="12">
                  <c:v>7.8288651392345948E-2</c:v>
                </c:pt>
                <c:pt idx="13">
                  <c:v>9.6569703919256608E-2</c:v>
                </c:pt>
                <c:pt idx="14">
                  <c:v>7.3653142606720789E-2</c:v>
                </c:pt>
              </c:numCache>
            </c:numRef>
          </c:val>
        </c:ser>
        <c:ser>
          <c:idx val="1"/>
          <c:order val="1"/>
          <c:tx>
            <c:strRef>
              <c:f>'D_Ch7-1'!$B$189</c:f>
              <c:strCache>
                <c:ptCount val="1"/>
                <c:pt idx="0">
                  <c:v>Belgique </c:v>
                </c:pt>
              </c:strCache>
            </c:strRef>
          </c:tx>
          <c:invertIfNegative val="0"/>
          <c:dLbls>
            <c:txPr>
              <a:bodyPr/>
              <a:lstStyle/>
              <a:p>
                <a:pPr>
                  <a:defRPr sz="800"/>
                </a:pPr>
                <a:endParaRPr lang="fr-FR"/>
              </a:p>
            </c:txPr>
            <c:showLegendKey val="0"/>
            <c:showVal val="1"/>
            <c:showCatName val="0"/>
            <c:showSerName val="0"/>
            <c:showPercent val="0"/>
            <c:showBubbleSize val="0"/>
            <c:showLeaderLines val="0"/>
          </c:dLbls>
          <c:cat>
            <c:strRef>
              <c:f>'D_Ch7-1'!$C$187:$Q$187</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'D_Ch7-1'!$C$189:$Q$189</c:f>
              <c:numCache>
                <c:formatCode>0%</c:formatCode>
                <c:ptCount val="15"/>
                <c:pt idx="0">
                  <c:v>0.16108602307174716</c:v>
                </c:pt>
                <c:pt idx="1">
                  <c:v>7.3793504041821972E-2</c:v>
                </c:pt>
                <c:pt idx="2">
                  <c:v>0.12386261694220171</c:v>
                </c:pt>
                <c:pt idx="3">
                  <c:v>9.6268460231216643E-2</c:v>
                </c:pt>
                <c:pt idx="4">
                  <c:v>5.4107370985471942E-2</c:v>
                </c:pt>
                <c:pt idx="5">
                  <c:v>9.5426965406740033E-2</c:v>
                </c:pt>
                <c:pt idx="6">
                  <c:v>0.11715105137253347</c:v>
                </c:pt>
                <c:pt idx="7">
                  <c:v>0.11423471664435519</c:v>
                </c:pt>
                <c:pt idx="8">
                  <c:v>0.12237475067464508</c:v>
                </c:pt>
                <c:pt idx="9">
                  <c:v>6.9751608146012029E-2</c:v>
                </c:pt>
                <c:pt idx="10">
                  <c:v>0.13619718864432806</c:v>
                </c:pt>
                <c:pt idx="11">
                  <c:v>8.1747779444307403E-2</c:v>
                </c:pt>
                <c:pt idx="12">
                  <c:v>8.4343490609085539E-2</c:v>
                </c:pt>
                <c:pt idx="13">
                  <c:v>8.5568092080353958E-2</c:v>
                </c:pt>
                <c:pt idx="14">
                  <c:v>7.2294845006379879E-2</c:v>
                </c:pt>
              </c:numCache>
            </c:numRef>
          </c:val>
        </c:ser>
        <c:ser>
          <c:idx val="2"/>
          <c:order val="2"/>
          <c:tx>
            <c:strRef>
              <c:f>'D_Ch7-1'!$B$190</c:f>
              <c:strCache>
                <c:ptCount val="1"/>
                <c:pt idx="0">
                  <c:v>Espagne </c:v>
                </c:pt>
              </c:strCache>
            </c:strRef>
          </c:tx>
          <c:invertIfNegative val="0"/>
          <c:dLbls>
            <c:txPr>
              <a:bodyPr/>
              <a:lstStyle/>
              <a:p>
                <a:pPr>
                  <a:defRPr sz="800"/>
                </a:pPr>
                <a:endParaRPr lang="fr-FR"/>
              </a:p>
            </c:txPr>
            <c:showLegendKey val="0"/>
            <c:showVal val="1"/>
            <c:showCatName val="0"/>
            <c:showSerName val="0"/>
            <c:showPercent val="0"/>
            <c:showBubbleSize val="0"/>
            <c:showLeaderLines val="0"/>
          </c:dLbls>
          <c:cat>
            <c:strRef>
              <c:f>'D_Ch7-1'!$C$187:$Q$187</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'D_Ch7-1'!$C$190:$Q$190</c:f>
              <c:numCache>
                <c:formatCode>0%</c:formatCode>
                <c:ptCount val="15"/>
                <c:pt idx="0">
                  <c:v>0.1129794185586748</c:v>
                </c:pt>
                <c:pt idx="1">
                  <c:v>0.14753860303015634</c:v>
                </c:pt>
                <c:pt idx="2">
                  <c:v>0.10861207227989235</c:v>
                </c:pt>
                <c:pt idx="3">
                  <c:v>0.15808181143636754</c:v>
                </c:pt>
                <c:pt idx="4">
                  <c:v>0.1863374827931113</c:v>
                </c:pt>
                <c:pt idx="5">
                  <c:v>9.9104305114128863E-2</c:v>
                </c:pt>
                <c:pt idx="6">
                  <c:v>0.19707122371568667</c:v>
                </c:pt>
                <c:pt idx="7">
                  <c:v>0.24793618920124944</c:v>
                </c:pt>
                <c:pt idx="8">
                  <c:v>0.21541710665258712</c:v>
                </c:pt>
                <c:pt idx="9">
                  <c:v>0.2025462202325404</c:v>
                </c:pt>
                <c:pt idx="10">
                  <c:v>0.21289916131826594</c:v>
                </c:pt>
                <c:pt idx="11">
                  <c:v>0.19248477166043368</c:v>
                </c:pt>
                <c:pt idx="12">
                  <c:v>0.16376833048205219</c:v>
                </c:pt>
                <c:pt idx="13">
                  <c:v>0.20212892547679059</c:v>
                </c:pt>
                <c:pt idx="14">
                  <c:v>0.20334756196476175</c:v>
                </c:pt>
              </c:numCache>
            </c:numRef>
          </c:val>
        </c:ser>
        <c:ser>
          <c:idx val="3"/>
          <c:order val="3"/>
          <c:tx>
            <c:strRef>
              <c:f>'D_Ch7-1'!$B$191</c:f>
              <c:strCache>
                <c:ptCount val="1"/>
                <c:pt idx="0">
                  <c:v>Royaume-Uni </c:v>
                </c:pt>
              </c:strCache>
            </c:strRef>
          </c:tx>
          <c:invertIfNegative val="0"/>
          <c:dLbls>
            <c:txPr>
              <a:bodyPr/>
              <a:lstStyle/>
              <a:p>
                <a:pPr>
                  <a:defRPr sz="800"/>
                </a:pPr>
                <a:endParaRPr lang="fr-FR"/>
              </a:p>
            </c:txPr>
            <c:showLegendKey val="0"/>
            <c:showVal val="1"/>
            <c:showCatName val="0"/>
            <c:showSerName val="0"/>
            <c:showPercent val="0"/>
            <c:showBubbleSize val="0"/>
            <c:showLeaderLines val="0"/>
          </c:dLbls>
          <c:cat>
            <c:strRef>
              <c:f>'D_Ch7-1'!$C$187:$Q$187</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'D_Ch7-1'!$C$191:$Q$191</c:f>
              <c:numCache>
                <c:formatCode>0%</c:formatCode>
                <c:ptCount val="15"/>
                <c:pt idx="0">
                  <c:v>0.2017286468413349</c:v>
                </c:pt>
                <c:pt idx="1">
                  <c:v>0.24856801716765897</c:v>
                </c:pt>
                <c:pt idx="2">
                  <c:v>0.12136357811098296</c:v>
                </c:pt>
                <c:pt idx="3">
                  <c:v>0.18832427774719357</c:v>
                </c:pt>
                <c:pt idx="4">
                  <c:v>0.15958683660635589</c:v>
                </c:pt>
                <c:pt idx="5">
                  <c:v>0.19580520606235718</c:v>
                </c:pt>
                <c:pt idx="6">
                  <c:v>0.13250862376590936</c:v>
                </c:pt>
                <c:pt idx="7">
                  <c:v>0.11479250334672021</c:v>
                </c:pt>
                <c:pt idx="8">
                  <c:v>0.14239899878759435</c:v>
                </c:pt>
                <c:pt idx="9">
                  <c:v>0.22320041429311238</c:v>
                </c:pt>
                <c:pt idx="10">
                  <c:v>0.14545025002953105</c:v>
                </c:pt>
                <c:pt idx="11">
                  <c:v>0.2027282270305503</c:v>
                </c:pt>
                <c:pt idx="12">
                  <c:v>0.1758093339905778</c:v>
                </c:pt>
                <c:pt idx="13">
                  <c:v>0.15693252993801451</c:v>
                </c:pt>
                <c:pt idx="14">
                  <c:v>0.2164947205562967</c:v>
                </c:pt>
              </c:numCache>
            </c:numRef>
          </c:val>
        </c:ser>
        <c:ser>
          <c:idx val="4"/>
          <c:order val="4"/>
          <c:tx>
            <c:strRef>
              <c:f>'D_Ch7-1'!$B$192</c:f>
              <c:strCache>
                <c:ptCount val="1"/>
                <c:pt idx="0">
                  <c:v>Suisse </c:v>
                </c:pt>
              </c:strCache>
            </c:strRef>
          </c:tx>
          <c:invertIfNegative val="0"/>
          <c:cat>
            <c:strRef>
              <c:f>'D_Ch7-1'!$C$187:$Q$187</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'D_Ch7-1'!$C$192:$Q$192</c:f>
              <c:numCache>
                <c:formatCode>0%</c:formatCode>
                <c:ptCount val="15"/>
                <c:pt idx="0">
                  <c:v>4.5318016911882017E-2</c:v>
                </c:pt>
                <c:pt idx="1">
                  <c:v>5.9118705326169384E-2</c:v>
                </c:pt>
                <c:pt idx="2">
                  <c:v>0.11348199410483148</c:v>
                </c:pt>
                <c:pt idx="3">
                  <c:v>8.7484142751142913E-2</c:v>
                </c:pt>
                <c:pt idx="4">
                  <c:v>5.3782544539845704E-2</c:v>
                </c:pt>
                <c:pt idx="5">
                  <c:v>5.7563499776732946E-2</c:v>
                </c:pt>
                <c:pt idx="6">
                  <c:v>8.7704690535664723E-2</c:v>
                </c:pt>
                <c:pt idx="7">
                  <c:v>5.9460062472110664E-2</c:v>
                </c:pt>
                <c:pt idx="8">
                  <c:v>4.8144237162188588E-2</c:v>
                </c:pt>
                <c:pt idx="9">
                  <c:v>7.554277392371854E-2</c:v>
                </c:pt>
                <c:pt idx="10">
                  <c:v>8.7805646336181445E-2</c:v>
                </c:pt>
                <c:pt idx="11">
                  <c:v>8.0078648994650503E-2</c:v>
                </c:pt>
                <c:pt idx="12">
                  <c:v>5.4862871435962156E-2</c:v>
                </c:pt>
                <c:pt idx="13">
                  <c:v>5.6630715807920728E-2</c:v>
                </c:pt>
                <c:pt idx="14">
                  <c:v>7.6183304803434243E-2</c:v>
                </c:pt>
              </c:numCache>
            </c:numRef>
          </c:val>
        </c:ser>
        <c:ser>
          <c:idx val="5"/>
          <c:order val="5"/>
          <c:tx>
            <c:strRef>
              <c:f>'D_Ch7-1'!$B$193</c:f>
              <c:strCache>
                <c:ptCount val="1"/>
                <c:pt idx="0">
                  <c:v>Autres europe</c:v>
                </c:pt>
              </c:strCache>
            </c:strRef>
          </c:tx>
          <c:invertIfNegative val="0"/>
          <c:dLbls>
            <c:txPr>
              <a:bodyPr/>
              <a:lstStyle/>
              <a:p>
                <a:pPr>
                  <a:defRPr sz="800"/>
                </a:pPr>
                <a:endParaRPr lang="fr-FR"/>
              </a:p>
            </c:txPr>
            <c:showLegendKey val="0"/>
            <c:showVal val="1"/>
            <c:showCatName val="0"/>
            <c:showSerName val="0"/>
            <c:showPercent val="0"/>
            <c:showBubbleSize val="0"/>
            <c:showLeaderLines val="0"/>
          </c:dLbls>
          <c:cat>
            <c:strRef>
              <c:f>'D_Ch7-1'!$C$187:$Q$187</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'D_Ch7-1'!$C$193:$Q$193</c:f>
              <c:numCache>
                <c:formatCode>0%</c:formatCode>
                <c:ptCount val="15"/>
                <c:pt idx="0">
                  <c:v>0.16807136564487823</c:v>
                </c:pt>
                <c:pt idx="1">
                  <c:v>0.17817900188779709</c:v>
                </c:pt>
                <c:pt idx="2">
                  <c:v>0.16737152377290784</c:v>
                </c:pt>
                <c:pt idx="3">
                  <c:v>0.24603269585198306</c:v>
                </c:pt>
                <c:pt idx="4">
                  <c:v>0.19653386414728105</c:v>
                </c:pt>
                <c:pt idx="5">
                  <c:v>0.20539255601376374</c:v>
                </c:pt>
                <c:pt idx="6">
                  <c:v>0.22132350025772174</c:v>
                </c:pt>
                <c:pt idx="7">
                  <c:v>0.25518741633199465</c:v>
                </c:pt>
                <c:pt idx="8">
                  <c:v>0.30247565411240174</c:v>
                </c:pt>
                <c:pt idx="9">
                  <c:v>0.22919399485288125</c:v>
                </c:pt>
                <c:pt idx="10">
                  <c:v>0.19183368114344213</c:v>
                </c:pt>
                <c:pt idx="11">
                  <c:v>0.22906159577513735</c:v>
                </c:pt>
                <c:pt idx="12">
                  <c:v>0.2091838214085685</c:v>
                </c:pt>
                <c:pt idx="13">
                  <c:v>0.22862149911835658</c:v>
                </c:pt>
                <c:pt idx="14">
                  <c:v>0.22436606725631147</c:v>
                </c:pt>
              </c:numCache>
            </c:numRef>
          </c:val>
        </c:ser>
        <c:ser>
          <c:idx val="6"/>
          <c:order val="6"/>
          <c:tx>
            <c:strRef>
              <c:f>'D_Ch7-1'!$B$194</c:f>
              <c:strCache>
                <c:ptCount val="1"/>
                <c:pt idx="0">
                  <c:v>Amériques</c:v>
                </c:pt>
              </c:strCache>
            </c:strRef>
          </c:tx>
          <c:invertIfNegative val="0"/>
          <c:dLbls>
            <c:txPr>
              <a:bodyPr/>
              <a:lstStyle/>
              <a:p>
                <a:pPr>
                  <a:defRPr sz="800"/>
                </a:pPr>
                <a:endParaRPr lang="fr-FR"/>
              </a:p>
            </c:txPr>
            <c:showLegendKey val="0"/>
            <c:showVal val="1"/>
            <c:showCatName val="0"/>
            <c:showSerName val="0"/>
            <c:showPercent val="0"/>
            <c:showBubbleSize val="0"/>
            <c:showLeaderLines val="0"/>
          </c:dLbls>
          <c:cat>
            <c:strRef>
              <c:f>'D_Ch7-1'!$C$187:$Q$187</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'D_Ch7-1'!$C$194:$Q$194</c:f>
              <c:numCache>
                <c:formatCode>0%</c:formatCode>
                <c:ptCount val="15"/>
                <c:pt idx="0">
                  <c:v>0.15588343426355622</c:v>
                </c:pt>
                <c:pt idx="1">
                  <c:v>0.14213337205737611</c:v>
                </c:pt>
                <c:pt idx="2">
                  <c:v>4.3829296424452137E-2</c:v>
                </c:pt>
                <c:pt idx="3">
                  <c:v>7.6928600493070681E-2</c:v>
                </c:pt>
                <c:pt idx="4">
                  <c:v>0.1507907741366846</c:v>
                </c:pt>
                <c:pt idx="5">
                  <c:v>0.1995613459063329</c:v>
                </c:pt>
                <c:pt idx="6">
                  <c:v>6.1892867055231754E-2</c:v>
                </c:pt>
                <c:pt idx="7">
                  <c:v>6.7659526996876398E-2</c:v>
                </c:pt>
                <c:pt idx="8">
                  <c:v>5.2876530173256678E-2</c:v>
                </c:pt>
                <c:pt idx="9">
                  <c:v>8.4909057930059123E-2</c:v>
                </c:pt>
                <c:pt idx="10">
                  <c:v>6.7921408040319722E-2</c:v>
                </c:pt>
                <c:pt idx="11">
                  <c:v>7.9351217817022243E-2</c:v>
                </c:pt>
                <c:pt idx="12">
                  <c:v>0.14034941801816375</c:v>
                </c:pt>
                <c:pt idx="13">
                  <c:v>0.11239601475535747</c:v>
                </c:pt>
                <c:pt idx="14">
                  <c:v>8.6042463143163592E-2</c:v>
                </c:pt>
              </c:numCache>
            </c:numRef>
          </c:val>
        </c:ser>
        <c:ser>
          <c:idx val="7"/>
          <c:order val="7"/>
          <c:tx>
            <c:strRef>
              <c:f>'D_Ch7-1'!$B$195</c:f>
              <c:strCache>
                <c:ptCount val="1"/>
                <c:pt idx="0">
                  <c:v>Asie/Océanie/Australie/Afrique</c:v>
                </c:pt>
              </c:strCache>
            </c:strRef>
          </c:tx>
          <c:invertIfNegative val="0"/>
          <c:dLbls>
            <c:txPr>
              <a:bodyPr/>
              <a:lstStyle/>
              <a:p>
                <a:pPr>
                  <a:defRPr sz="800"/>
                </a:pPr>
                <a:endParaRPr lang="fr-FR"/>
              </a:p>
            </c:txPr>
            <c:showLegendKey val="0"/>
            <c:showVal val="1"/>
            <c:showCatName val="0"/>
            <c:showSerName val="0"/>
            <c:showPercent val="0"/>
            <c:showBubbleSize val="0"/>
            <c:showLeaderLines val="0"/>
          </c:dLbls>
          <c:cat>
            <c:strRef>
              <c:f>'D_Ch7-1'!$C$187:$Q$187</c:f>
              <c:strCache>
                <c:ptCount val="15"/>
                <c:pt idx="0">
                  <c:v>Périgord Noir</c:v>
                </c:pt>
                <c:pt idx="1">
                  <c:v>Périgord Vert Pourpre et Blanc</c:v>
                </c:pt>
                <c:pt idx="2">
                  <c:v>Littoral médocain</c:v>
                </c:pt>
                <c:pt idx="3">
                  <c:v>Bassin d'Arcachon</c:v>
                </c:pt>
                <c:pt idx="4">
                  <c:v>Bordeaux</c:v>
                </c:pt>
                <c:pt idx="5">
                  <c:v>Gironde intérieure et vignoble</c:v>
                </c:pt>
                <c:pt idx="6">
                  <c:v>Littoral landais</c:v>
                </c:pt>
                <c:pt idx="7">
                  <c:v>Zone thermale des Landes</c:v>
                </c:pt>
                <c:pt idx="8">
                  <c:v>Intérieur des Landes</c:v>
                </c:pt>
                <c:pt idx="9">
                  <c:v>Littoral basque</c:v>
                </c:pt>
                <c:pt idx="10">
                  <c:v>Piémont béarnais et basque</c:v>
                </c:pt>
                <c:pt idx="11">
                  <c:v>Littoral aquitain </c:v>
                </c:pt>
                <c:pt idx="12">
                  <c:v>Intérieur aquitain </c:v>
                </c:pt>
                <c:pt idx="13">
                  <c:v>Béarn</c:v>
                </c:pt>
                <c:pt idx="14">
                  <c:v>Pays basque </c:v>
                </c:pt>
              </c:strCache>
            </c:strRef>
          </c:cat>
          <c:val>
            <c:numRef>
              <c:f>'D_Ch7-1'!$C$195:$Q$195</c:f>
              <c:numCache>
                <c:formatCode>0%</c:formatCode>
                <c:ptCount val="15"/>
                <c:pt idx="0">
                  <c:v>7.7664245728674586E-2</c:v>
                </c:pt>
                <c:pt idx="1">
                  <c:v>5.800538909595495E-2</c:v>
                </c:pt>
                <c:pt idx="2">
                  <c:v>4.3829296424452137E-2</c:v>
                </c:pt>
                <c:pt idx="3">
                  <c:v>3.7674429737427892E-2</c:v>
                </c:pt>
                <c:pt idx="4">
                  <c:v>0.13034453390376027</c:v>
                </c:pt>
                <c:pt idx="5">
                  <c:v>7.6830133172230836E-2</c:v>
                </c:pt>
                <c:pt idx="6">
                  <c:v>3.7032631537211057E-2</c:v>
                </c:pt>
                <c:pt idx="7">
                  <c:v>6.1244979919678713E-2</c:v>
                </c:pt>
                <c:pt idx="8">
                  <c:v>3.5511752512808477E-2</c:v>
                </c:pt>
                <c:pt idx="9">
                  <c:v>4.7244135886037847E-2</c:v>
                </c:pt>
                <c:pt idx="10">
                  <c:v>4.4178446273181869E-2</c:v>
                </c:pt>
                <c:pt idx="11">
                  <c:v>4.4162634885366571E-2</c:v>
                </c:pt>
                <c:pt idx="12">
                  <c:v>9.3394082663244116E-2</c:v>
                </c:pt>
                <c:pt idx="13">
                  <c:v>6.1152518903949543E-2</c:v>
                </c:pt>
                <c:pt idx="14">
                  <c:v>4.7617894662931551E-2</c:v>
                </c:pt>
              </c:numCache>
            </c:numRef>
          </c:val>
        </c:ser>
        <c:dLbls>
          <c:showLegendKey val="0"/>
          <c:showVal val="0"/>
          <c:showCatName val="0"/>
          <c:showSerName val="0"/>
          <c:showPercent val="0"/>
          <c:showBubbleSize val="0"/>
        </c:dLbls>
        <c:gapWidth val="150"/>
        <c:overlap val="100"/>
        <c:axId val="135030656"/>
        <c:axId val="135032192"/>
      </c:barChart>
      <c:catAx>
        <c:axId val="135030656"/>
        <c:scaling>
          <c:orientation val="minMax"/>
        </c:scaling>
        <c:delete val="0"/>
        <c:axPos val="l"/>
        <c:numFmt formatCode="General" sourceLinked="1"/>
        <c:majorTickMark val="out"/>
        <c:minorTickMark val="none"/>
        <c:tickLblPos val="nextTo"/>
        <c:txPr>
          <a:bodyPr/>
          <a:lstStyle/>
          <a:p>
            <a:pPr>
              <a:defRPr sz="800"/>
            </a:pPr>
            <a:endParaRPr lang="fr-FR"/>
          </a:p>
        </c:txPr>
        <c:crossAx val="135032192"/>
        <c:crosses val="autoZero"/>
        <c:auto val="1"/>
        <c:lblAlgn val="ctr"/>
        <c:lblOffset val="100"/>
        <c:noMultiLvlLbl val="0"/>
      </c:catAx>
      <c:valAx>
        <c:axId val="135032192"/>
        <c:scaling>
          <c:orientation val="minMax"/>
        </c:scaling>
        <c:delete val="0"/>
        <c:axPos val="b"/>
        <c:majorGridlines/>
        <c:numFmt formatCode="0%" sourceLinked="1"/>
        <c:majorTickMark val="out"/>
        <c:minorTickMark val="none"/>
        <c:tickLblPos val="nextTo"/>
        <c:txPr>
          <a:bodyPr/>
          <a:lstStyle/>
          <a:p>
            <a:pPr>
              <a:defRPr sz="900"/>
            </a:pPr>
            <a:endParaRPr lang="fr-FR"/>
          </a:p>
        </c:txPr>
        <c:crossAx val="135030656"/>
        <c:crosses val="autoZero"/>
        <c:crossBetween val="between"/>
      </c:valAx>
    </c:plotArea>
    <c:legend>
      <c:legendPos val="b"/>
      <c:layout>
        <c:manualLayout>
          <c:xMode val="edge"/>
          <c:yMode val="edge"/>
          <c:x val="7.7717323961114301E-3"/>
          <c:y val="0.94615142413265485"/>
          <c:w val="0.98445638501195953"/>
          <c:h val="3.8937114139020616E-2"/>
        </c:manualLayout>
      </c:layout>
      <c:overlay val="0"/>
      <c:txPr>
        <a:bodyPr/>
        <a:lstStyle/>
        <a:p>
          <a:pPr>
            <a:defRPr sz="9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cked"/>
        <c:varyColors val="0"/>
        <c:ser>
          <c:idx val="0"/>
          <c:order val="0"/>
          <c:tx>
            <c:strRef>
              <c:f>'D_ch5-3'!$A$4</c:f>
              <c:strCache>
                <c:ptCount val="1"/>
                <c:pt idx="0">
                  <c:v>Nombre total d'emplois</c:v>
                </c:pt>
              </c:strCache>
            </c:strRef>
          </c:tx>
          <c:cat>
            <c:strRef>
              <c:f>'D_ch5-3'!$B$3:$T$3</c:f>
              <c:strCache>
                <c:ptCount val="19"/>
                <c:pt idx="0">
                  <c:v>T1-2012</c:v>
                </c:pt>
                <c:pt idx="1">
                  <c:v>T2-2012</c:v>
                </c:pt>
                <c:pt idx="2">
                  <c:v>T3-2012</c:v>
                </c:pt>
                <c:pt idx="3">
                  <c:v>T4-2012</c:v>
                </c:pt>
                <c:pt idx="4">
                  <c:v>T1-2013</c:v>
                </c:pt>
                <c:pt idx="5">
                  <c:v>T2-2013</c:v>
                </c:pt>
                <c:pt idx="6">
                  <c:v>T3-2013</c:v>
                </c:pt>
                <c:pt idx="7">
                  <c:v>T4-2013</c:v>
                </c:pt>
                <c:pt idx="8">
                  <c:v>T1-2014</c:v>
                </c:pt>
                <c:pt idx="9">
                  <c:v>T2-2014</c:v>
                </c:pt>
                <c:pt idx="10">
                  <c:v>T3-2014</c:v>
                </c:pt>
                <c:pt idx="11">
                  <c:v>T4-2014</c:v>
                </c:pt>
                <c:pt idx="12">
                  <c:v>T1-2015</c:v>
                </c:pt>
                <c:pt idx="13">
                  <c:v>T2-2015</c:v>
                </c:pt>
                <c:pt idx="14">
                  <c:v>T3-2015</c:v>
                </c:pt>
                <c:pt idx="15">
                  <c:v>T4-2015</c:v>
                </c:pt>
                <c:pt idx="16">
                  <c:v>T1-2016</c:v>
                </c:pt>
                <c:pt idx="17">
                  <c:v>T2-2016</c:v>
                </c:pt>
                <c:pt idx="18">
                  <c:v>T3-2016</c:v>
                </c:pt>
              </c:strCache>
            </c:strRef>
          </c:cat>
          <c:val>
            <c:numRef>
              <c:f>'D_ch5-3'!$B$4:$T$4</c:f>
              <c:numCache>
                <c:formatCode>General</c:formatCode>
                <c:ptCount val="19"/>
                <c:pt idx="0">
                  <c:v>277770</c:v>
                </c:pt>
                <c:pt idx="1">
                  <c:v>279757</c:v>
                </c:pt>
                <c:pt idx="2">
                  <c:v>278955</c:v>
                </c:pt>
                <c:pt idx="3">
                  <c:v>280305</c:v>
                </c:pt>
                <c:pt idx="4">
                  <c:v>277697</c:v>
                </c:pt>
                <c:pt idx="5">
                  <c:v>281865</c:v>
                </c:pt>
                <c:pt idx="6">
                  <c:v>281321</c:v>
                </c:pt>
                <c:pt idx="7">
                  <c:v>282034</c:v>
                </c:pt>
                <c:pt idx="8">
                  <c:v>280013</c:v>
                </c:pt>
                <c:pt idx="9">
                  <c:v>282513</c:v>
                </c:pt>
                <c:pt idx="10">
                  <c:v>281859</c:v>
                </c:pt>
                <c:pt idx="11">
                  <c:v>282938</c:v>
                </c:pt>
                <c:pt idx="12">
                  <c:v>281233</c:v>
                </c:pt>
                <c:pt idx="13">
                  <c:v>285030</c:v>
                </c:pt>
                <c:pt idx="14">
                  <c:v>286039</c:v>
                </c:pt>
                <c:pt idx="15">
                  <c:v>287696</c:v>
                </c:pt>
                <c:pt idx="16">
                  <c:v>287827</c:v>
                </c:pt>
                <c:pt idx="17">
                  <c:v>293296</c:v>
                </c:pt>
                <c:pt idx="18">
                  <c:v>293712</c:v>
                </c:pt>
              </c:numCache>
            </c:numRef>
          </c:val>
          <c:smooth val="0"/>
        </c:ser>
        <c:dLbls>
          <c:showLegendKey val="0"/>
          <c:showVal val="0"/>
          <c:showCatName val="0"/>
          <c:showSerName val="0"/>
          <c:showPercent val="0"/>
          <c:showBubbleSize val="0"/>
        </c:dLbls>
        <c:marker val="1"/>
        <c:smooth val="0"/>
        <c:axId val="127910272"/>
        <c:axId val="127911808"/>
      </c:lineChart>
      <c:catAx>
        <c:axId val="127910272"/>
        <c:scaling>
          <c:orientation val="minMax"/>
        </c:scaling>
        <c:delete val="0"/>
        <c:axPos val="b"/>
        <c:majorTickMark val="out"/>
        <c:minorTickMark val="none"/>
        <c:tickLblPos val="nextTo"/>
        <c:crossAx val="127911808"/>
        <c:crosses val="autoZero"/>
        <c:auto val="1"/>
        <c:lblAlgn val="ctr"/>
        <c:lblOffset val="100"/>
        <c:noMultiLvlLbl val="0"/>
      </c:catAx>
      <c:valAx>
        <c:axId val="127911808"/>
        <c:scaling>
          <c:orientation val="minMax"/>
        </c:scaling>
        <c:delete val="0"/>
        <c:axPos val="l"/>
        <c:majorGridlines/>
        <c:numFmt formatCode="General" sourceLinked="1"/>
        <c:majorTickMark val="out"/>
        <c:minorTickMark val="none"/>
        <c:tickLblPos val="nextTo"/>
        <c:crossAx val="1279102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0651576706969069"/>
          <c:y val="3.8033426661366505E-2"/>
          <c:w val="0.69274646848919152"/>
          <c:h val="0.89877631693047899"/>
        </c:manualLayout>
      </c:layout>
      <c:barChart>
        <c:barDir val="col"/>
        <c:grouping val="percentStacked"/>
        <c:varyColors val="0"/>
        <c:ser>
          <c:idx val="0"/>
          <c:order val="0"/>
          <c:tx>
            <c:strRef>
              <c:f>'Population active'!$A$28:$B$28</c:f>
              <c:strCache>
                <c:ptCount val="1"/>
                <c:pt idx="0">
                  <c:v>Agriculteurs</c:v>
                </c:pt>
              </c:strCache>
            </c:strRef>
          </c:tx>
          <c:spPr>
            <a:solidFill>
              <a:srgbClr val="FFFF00"/>
            </a:solidFill>
          </c:spPr>
          <c:invertIfNegative val="0"/>
          <c:cat>
            <c:strRef>
              <c:f>'Population active'!$C$27:$F$27</c:f>
              <c:strCache>
                <c:ptCount val="3"/>
                <c:pt idx="0">
                  <c:v>Gironde</c:v>
                </c:pt>
                <c:pt idx="2">
                  <c:v>Aquitaine</c:v>
                </c:pt>
              </c:strCache>
            </c:strRef>
          </c:cat>
          <c:val>
            <c:numRef>
              <c:f>'Population active'!$C$28:$F$28</c:f>
              <c:numCache>
                <c:formatCode>0.0%</c:formatCode>
                <c:ptCount val="4"/>
                <c:pt idx="0">
                  <c:v>1.2346023772948425E-2</c:v>
                </c:pt>
                <c:pt idx="2">
                  <c:v>2.4161830879302938E-2</c:v>
                </c:pt>
              </c:numCache>
            </c:numRef>
          </c:val>
        </c:ser>
        <c:ser>
          <c:idx val="1"/>
          <c:order val="1"/>
          <c:tx>
            <c:strRef>
              <c:f>'Population active'!$A$29:$B$29</c:f>
              <c:strCache>
                <c:ptCount val="1"/>
                <c:pt idx="0">
                  <c:v>Artisans</c:v>
                </c:pt>
              </c:strCache>
            </c:strRef>
          </c:tx>
          <c:spPr>
            <a:solidFill>
              <a:srgbClr val="7030A0"/>
            </a:solidFill>
          </c:spPr>
          <c:invertIfNegative val="0"/>
          <c:dLbls>
            <c:dLbl>
              <c:idx val="3"/>
              <c:layout>
                <c:manualLayout>
                  <c:x val="0"/>
                  <c:y val="-7.4696611185317589E-3"/>
                </c:manualLayout>
              </c:layout>
              <c:showLegendKey val="0"/>
              <c:showVal val="1"/>
              <c:showCatName val="0"/>
              <c:showSerName val="0"/>
              <c:showPercent val="0"/>
              <c:showBubbleSize val="0"/>
            </c:dLbl>
            <c:numFmt formatCode="0%" sourceLinked="0"/>
            <c:txPr>
              <a:bodyPr/>
              <a:lstStyle/>
              <a:p>
                <a:pPr>
                  <a:defRPr sz="900" b="1">
                    <a:solidFill>
                      <a:schemeClr val="bg1"/>
                    </a:solidFill>
                  </a:defRPr>
                </a:pPr>
                <a:endParaRPr lang="fr-FR"/>
              </a:p>
            </c:txPr>
            <c:showLegendKey val="0"/>
            <c:showVal val="1"/>
            <c:showCatName val="0"/>
            <c:showSerName val="0"/>
            <c:showPercent val="0"/>
            <c:showBubbleSize val="0"/>
            <c:showLeaderLines val="0"/>
          </c:dLbls>
          <c:cat>
            <c:strRef>
              <c:f>'Population active'!$C$27:$F$27</c:f>
              <c:strCache>
                <c:ptCount val="3"/>
                <c:pt idx="0">
                  <c:v>Gironde</c:v>
                </c:pt>
                <c:pt idx="2">
                  <c:v>Aquitaine</c:v>
                </c:pt>
              </c:strCache>
            </c:strRef>
          </c:cat>
          <c:val>
            <c:numRef>
              <c:f>'Population active'!$C$29:$F$29</c:f>
              <c:numCache>
                <c:formatCode>0.0%</c:formatCode>
                <c:ptCount val="4"/>
                <c:pt idx="0">
                  <c:v>7.0054319938053916E-2</c:v>
                </c:pt>
                <c:pt idx="2">
                  <c:v>7.8398675570172674E-2</c:v>
                </c:pt>
              </c:numCache>
            </c:numRef>
          </c:val>
        </c:ser>
        <c:ser>
          <c:idx val="2"/>
          <c:order val="2"/>
          <c:tx>
            <c:strRef>
              <c:f>'Population active'!$A$30:$B$30</c:f>
              <c:strCache>
                <c:ptCount val="1"/>
                <c:pt idx="0">
                  <c:v>Cadres / prof. intellectuelles</c:v>
                </c:pt>
              </c:strCache>
            </c:strRef>
          </c:tx>
          <c:spPr>
            <a:solidFill>
              <a:srgbClr val="A41045"/>
            </a:solidFill>
          </c:spPr>
          <c:invertIfNegative val="0"/>
          <c:dLbls>
            <c:numFmt formatCode="0%" sourceLinked="0"/>
            <c:txPr>
              <a:bodyPr/>
              <a:lstStyle/>
              <a:p>
                <a:pPr>
                  <a:defRPr sz="900" b="1">
                    <a:solidFill>
                      <a:schemeClr val="bg1"/>
                    </a:solidFill>
                  </a:defRPr>
                </a:pPr>
                <a:endParaRPr lang="fr-FR"/>
              </a:p>
            </c:txPr>
            <c:showLegendKey val="0"/>
            <c:showVal val="1"/>
            <c:showCatName val="0"/>
            <c:showSerName val="0"/>
            <c:showPercent val="0"/>
            <c:showBubbleSize val="0"/>
            <c:showLeaderLines val="0"/>
          </c:dLbls>
          <c:cat>
            <c:strRef>
              <c:f>'Population active'!$C$27:$F$27</c:f>
              <c:strCache>
                <c:ptCount val="3"/>
                <c:pt idx="0">
                  <c:v>Gironde</c:v>
                </c:pt>
                <c:pt idx="2">
                  <c:v>Aquitaine</c:v>
                </c:pt>
              </c:strCache>
            </c:strRef>
          </c:cat>
          <c:val>
            <c:numRef>
              <c:f>'Population active'!$C$30:$F$30</c:f>
              <c:numCache>
                <c:formatCode>0.0%</c:formatCode>
                <c:ptCount val="4"/>
                <c:pt idx="0">
                  <c:v>0.17464410446775738</c:v>
                </c:pt>
                <c:pt idx="2">
                  <c:v>0.14015318787773937</c:v>
                </c:pt>
              </c:numCache>
            </c:numRef>
          </c:val>
        </c:ser>
        <c:ser>
          <c:idx val="3"/>
          <c:order val="3"/>
          <c:tx>
            <c:strRef>
              <c:f>'Population active'!$A$31:$B$31</c:f>
              <c:strCache>
                <c:ptCount val="1"/>
                <c:pt idx="0">
                  <c:v>Prof. intermédiaires</c:v>
                </c:pt>
              </c:strCache>
            </c:strRef>
          </c:tx>
          <c:spPr>
            <a:solidFill>
              <a:srgbClr val="92D050"/>
            </a:solidFill>
          </c:spPr>
          <c:invertIfNegative val="0"/>
          <c:dLbls>
            <c:numFmt formatCode="0%" sourceLinked="0"/>
            <c:txPr>
              <a:bodyPr/>
              <a:lstStyle/>
              <a:p>
                <a:pPr>
                  <a:defRPr sz="900" b="1">
                    <a:solidFill>
                      <a:schemeClr val="bg1"/>
                    </a:solidFill>
                  </a:defRPr>
                </a:pPr>
                <a:endParaRPr lang="fr-FR"/>
              </a:p>
            </c:txPr>
            <c:showLegendKey val="0"/>
            <c:showVal val="1"/>
            <c:showCatName val="0"/>
            <c:showSerName val="0"/>
            <c:showPercent val="0"/>
            <c:showBubbleSize val="0"/>
            <c:showLeaderLines val="0"/>
          </c:dLbls>
          <c:cat>
            <c:strRef>
              <c:f>'Population active'!$C$27:$F$27</c:f>
              <c:strCache>
                <c:ptCount val="3"/>
                <c:pt idx="0">
                  <c:v>Gironde</c:v>
                </c:pt>
                <c:pt idx="2">
                  <c:v>Aquitaine</c:v>
                </c:pt>
              </c:strCache>
            </c:strRef>
          </c:cat>
          <c:val>
            <c:numRef>
              <c:f>'Population active'!$C$31:$F$31</c:f>
              <c:numCache>
                <c:formatCode>0.0%</c:formatCode>
                <c:ptCount val="4"/>
                <c:pt idx="0">
                  <c:v>0.2674040139138702</c:v>
                </c:pt>
                <c:pt idx="2">
                  <c:v>0.25407809846680091</c:v>
                </c:pt>
              </c:numCache>
            </c:numRef>
          </c:val>
        </c:ser>
        <c:ser>
          <c:idx val="4"/>
          <c:order val="4"/>
          <c:tx>
            <c:strRef>
              <c:f>'Population active'!$A$32:$B$32</c:f>
              <c:strCache>
                <c:ptCount val="1"/>
                <c:pt idx="0">
                  <c:v>Employés</c:v>
                </c:pt>
              </c:strCache>
            </c:strRef>
          </c:tx>
          <c:invertIfNegative val="0"/>
          <c:dLbls>
            <c:numFmt formatCode="0%" sourceLinked="0"/>
            <c:txPr>
              <a:bodyPr/>
              <a:lstStyle/>
              <a:p>
                <a:pPr algn="ctr">
                  <a:defRPr lang="fr-FR" sz="9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dLbls>
          <c:cat>
            <c:strRef>
              <c:f>'Population active'!$C$27:$F$27</c:f>
              <c:strCache>
                <c:ptCount val="3"/>
                <c:pt idx="0">
                  <c:v>Gironde</c:v>
                </c:pt>
                <c:pt idx="2">
                  <c:v>Aquitaine</c:v>
                </c:pt>
              </c:strCache>
            </c:strRef>
          </c:cat>
          <c:val>
            <c:numRef>
              <c:f>'Population active'!$C$32:$F$32</c:f>
              <c:numCache>
                <c:formatCode>0.0%</c:formatCode>
                <c:ptCount val="4"/>
                <c:pt idx="0">
                  <c:v>0.28292477059473897</c:v>
                </c:pt>
                <c:pt idx="2">
                  <c:v>0.29053375470569159</c:v>
                </c:pt>
              </c:numCache>
            </c:numRef>
          </c:val>
        </c:ser>
        <c:ser>
          <c:idx val="5"/>
          <c:order val="5"/>
          <c:tx>
            <c:strRef>
              <c:f>'Population active'!$A$33:$B$33</c:f>
              <c:strCache>
                <c:ptCount val="1"/>
                <c:pt idx="0">
                  <c:v>Ouvriers</c:v>
                </c:pt>
              </c:strCache>
            </c:strRef>
          </c:tx>
          <c:spPr>
            <a:solidFill>
              <a:srgbClr val="E46C0A"/>
            </a:solidFill>
          </c:spPr>
          <c:invertIfNegative val="0"/>
          <c:dLbls>
            <c:numFmt formatCode="0%" sourceLinked="0"/>
            <c:spPr>
              <a:solidFill>
                <a:srgbClr val="F79646">
                  <a:lumMod val="75000"/>
                </a:srgbClr>
              </a:solidFill>
            </c:spPr>
            <c:txPr>
              <a:bodyPr/>
              <a:lstStyle/>
              <a:p>
                <a:pPr algn="ctr">
                  <a:defRPr lang="fr-FR" sz="9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dLbls>
          <c:cat>
            <c:strRef>
              <c:f>'Population active'!$C$27:$F$27</c:f>
              <c:strCache>
                <c:ptCount val="3"/>
                <c:pt idx="0">
                  <c:v>Gironde</c:v>
                </c:pt>
                <c:pt idx="2">
                  <c:v>Aquitaine</c:v>
                </c:pt>
              </c:strCache>
            </c:strRef>
          </c:cat>
          <c:val>
            <c:numRef>
              <c:f>'Population active'!$C$33:$F$33</c:f>
              <c:numCache>
                <c:formatCode>0.0%</c:formatCode>
                <c:ptCount val="4"/>
                <c:pt idx="0">
                  <c:v>0.19311416560890984</c:v>
                </c:pt>
                <c:pt idx="2">
                  <c:v>0.21352617118510375</c:v>
                </c:pt>
              </c:numCache>
            </c:numRef>
          </c:val>
        </c:ser>
        <c:dLbls>
          <c:showLegendKey val="0"/>
          <c:showVal val="0"/>
          <c:showCatName val="0"/>
          <c:showSerName val="0"/>
          <c:showPercent val="0"/>
          <c:showBubbleSize val="0"/>
        </c:dLbls>
        <c:gapWidth val="195"/>
        <c:overlap val="100"/>
        <c:serLines>
          <c:spPr>
            <a:ln>
              <a:solidFill>
                <a:schemeClr val="bg1">
                  <a:lumMod val="75000"/>
                </a:schemeClr>
              </a:solidFill>
              <a:prstDash val="dashDot"/>
            </a:ln>
          </c:spPr>
        </c:serLines>
        <c:axId val="128275968"/>
        <c:axId val="128277504"/>
      </c:barChart>
      <c:catAx>
        <c:axId val="128275968"/>
        <c:scaling>
          <c:orientation val="minMax"/>
        </c:scaling>
        <c:delete val="1"/>
        <c:axPos val="b"/>
        <c:majorTickMark val="out"/>
        <c:minorTickMark val="none"/>
        <c:tickLblPos val="nextTo"/>
        <c:crossAx val="128277504"/>
        <c:crosses val="autoZero"/>
        <c:auto val="1"/>
        <c:lblAlgn val="ctr"/>
        <c:lblOffset val="100"/>
        <c:noMultiLvlLbl val="0"/>
      </c:catAx>
      <c:valAx>
        <c:axId val="128277504"/>
        <c:scaling>
          <c:orientation val="minMax"/>
        </c:scaling>
        <c:delete val="1"/>
        <c:axPos val="l"/>
        <c:majorGridlines>
          <c:spPr>
            <a:ln>
              <a:noFill/>
            </a:ln>
          </c:spPr>
        </c:majorGridlines>
        <c:numFmt formatCode="0%" sourceLinked="1"/>
        <c:majorTickMark val="out"/>
        <c:minorTickMark val="none"/>
        <c:tickLblPos val="nextTo"/>
        <c:crossAx val="128275968"/>
        <c:crosses val="autoZero"/>
        <c:crossBetween val="between"/>
      </c:valAx>
    </c:plotArea>
    <c:legend>
      <c:legendPos val="l"/>
      <c:legendEntry>
        <c:idx val="2"/>
        <c:txPr>
          <a:bodyPr/>
          <a:lstStyle/>
          <a:p>
            <a:pPr>
              <a:defRPr sz="900">
                <a:solidFill>
                  <a:sysClr val="windowText" lastClr="000000"/>
                </a:solidFill>
              </a:defRPr>
            </a:pPr>
            <a:endParaRPr lang="fr-FR"/>
          </a:p>
        </c:txPr>
      </c:legendEntry>
      <c:layout>
        <c:manualLayout>
          <c:xMode val="edge"/>
          <c:yMode val="edge"/>
          <c:x val="1.2779552715654952E-2"/>
          <c:y val="2.3353164048253446E-2"/>
          <c:w val="0.29180296283189322"/>
          <c:h val="0.92294837973933808"/>
        </c:manualLayout>
      </c:layout>
      <c:overlay val="0"/>
      <c:txPr>
        <a:bodyPr/>
        <a:lstStyle/>
        <a:p>
          <a:pPr>
            <a:defRPr sz="9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80839895013128E-2"/>
          <c:y val="6.1238678296609124E-2"/>
          <c:w val="0.90679323417906099"/>
          <c:h val="0.71871983545776463"/>
        </c:manualLayout>
      </c:layout>
      <c:lineChart>
        <c:grouping val="standard"/>
        <c:varyColors val="0"/>
        <c:ser>
          <c:idx val="0"/>
          <c:order val="0"/>
          <c:tx>
            <c:strRef>
              <c:f>'D_ch5-3'!$A$6</c:f>
              <c:strCache>
                <c:ptCount val="1"/>
                <c:pt idx="0">
                  <c:v>Création trimestrielle d'emplois</c:v>
                </c:pt>
              </c:strCache>
            </c:strRef>
          </c:tx>
          <c:spPr>
            <a:ln>
              <a:solidFill>
                <a:srgbClr val="7030A0"/>
              </a:solidFill>
            </a:ln>
          </c:spPr>
          <c:marker>
            <c:symbol val="none"/>
          </c:marker>
          <c:dLbls>
            <c:numFmt formatCode="#,##0" sourceLinked="0"/>
            <c:txPr>
              <a:bodyPr/>
              <a:lstStyle/>
              <a:p>
                <a:pPr>
                  <a:defRPr sz="800" b="1" i="1"/>
                </a:pPr>
                <a:endParaRPr lang="fr-FR"/>
              </a:p>
            </c:txPr>
            <c:showLegendKey val="0"/>
            <c:showVal val="1"/>
            <c:showCatName val="0"/>
            <c:showSerName val="0"/>
            <c:showPercent val="0"/>
            <c:showBubbleSize val="0"/>
            <c:showLeaderLines val="0"/>
          </c:dLbls>
          <c:trendline>
            <c:trendlineType val="linear"/>
            <c:dispRSqr val="0"/>
            <c:dispEq val="0"/>
          </c:trendline>
          <c:cat>
            <c:strRef>
              <c:f>'D_ch5-3'!$C$5:$T$5</c:f>
              <c:strCache>
                <c:ptCount val="18"/>
                <c:pt idx="0">
                  <c:v>T2-2012</c:v>
                </c:pt>
                <c:pt idx="1">
                  <c:v>T3-2012</c:v>
                </c:pt>
                <c:pt idx="2">
                  <c:v>T4-2012</c:v>
                </c:pt>
                <c:pt idx="3">
                  <c:v>T1-2013</c:v>
                </c:pt>
                <c:pt idx="4">
                  <c:v>T2-2013</c:v>
                </c:pt>
                <c:pt idx="5">
                  <c:v>T3-2013</c:v>
                </c:pt>
                <c:pt idx="6">
                  <c:v>T4-2013</c:v>
                </c:pt>
                <c:pt idx="7">
                  <c:v>T1-2014</c:v>
                </c:pt>
                <c:pt idx="8">
                  <c:v>T2-2014</c:v>
                </c:pt>
                <c:pt idx="9">
                  <c:v>T3-2014</c:v>
                </c:pt>
                <c:pt idx="10">
                  <c:v>T4-2014</c:v>
                </c:pt>
                <c:pt idx="11">
                  <c:v>T1-2015</c:v>
                </c:pt>
                <c:pt idx="12">
                  <c:v>T2-2015</c:v>
                </c:pt>
                <c:pt idx="13">
                  <c:v>T3-2015</c:v>
                </c:pt>
                <c:pt idx="14">
                  <c:v>T4-2015</c:v>
                </c:pt>
                <c:pt idx="15">
                  <c:v>T1-2016</c:v>
                </c:pt>
                <c:pt idx="16">
                  <c:v>T2-2016</c:v>
                </c:pt>
                <c:pt idx="17">
                  <c:v>T3-2016</c:v>
                </c:pt>
              </c:strCache>
            </c:strRef>
          </c:cat>
          <c:val>
            <c:numRef>
              <c:f>'D_ch5-3'!$C$6:$T$6</c:f>
              <c:numCache>
                <c:formatCode>General</c:formatCode>
                <c:ptCount val="18"/>
                <c:pt idx="0">
                  <c:v>1987</c:v>
                </c:pt>
                <c:pt idx="1">
                  <c:v>-802</c:v>
                </c:pt>
                <c:pt idx="2">
                  <c:v>1350</c:v>
                </c:pt>
                <c:pt idx="3">
                  <c:v>-2608</c:v>
                </c:pt>
                <c:pt idx="4">
                  <c:v>4168</c:v>
                </c:pt>
                <c:pt idx="5">
                  <c:v>-544</c:v>
                </c:pt>
                <c:pt idx="6">
                  <c:v>713</c:v>
                </c:pt>
                <c:pt idx="7">
                  <c:v>-2021</c:v>
                </c:pt>
                <c:pt idx="8">
                  <c:v>2500</c:v>
                </c:pt>
                <c:pt idx="9">
                  <c:v>-654</c:v>
                </c:pt>
                <c:pt idx="10">
                  <c:v>1079</c:v>
                </c:pt>
                <c:pt idx="11">
                  <c:v>-1705</c:v>
                </c:pt>
                <c:pt idx="12">
                  <c:v>3797</c:v>
                </c:pt>
                <c:pt idx="13">
                  <c:v>1009</c:v>
                </c:pt>
                <c:pt idx="14">
                  <c:v>1657</c:v>
                </c:pt>
                <c:pt idx="15">
                  <c:v>131</c:v>
                </c:pt>
                <c:pt idx="16">
                  <c:v>5469</c:v>
                </c:pt>
                <c:pt idx="17">
                  <c:v>416</c:v>
                </c:pt>
              </c:numCache>
            </c:numRef>
          </c:val>
          <c:smooth val="0"/>
        </c:ser>
        <c:dLbls>
          <c:showLegendKey val="0"/>
          <c:showVal val="0"/>
          <c:showCatName val="0"/>
          <c:showSerName val="0"/>
          <c:showPercent val="0"/>
          <c:showBubbleSize val="0"/>
        </c:dLbls>
        <c:marker val="1"/>
        <c:smooth val="0"/>
        <c:axId val="129979520"/>
        <c:axId val="129981056"/>
      </c:lineChart>
      <c:catAx>
        <c:axId val="129979520"/>
        <c:scaling>
          <c:orientation val="minMax"/>
        </c:scaling>
        <c:delete val="0"/>
        <c:axPos val="b"/>
        <c:majorTickMark val="out"/>
        <c:minorTickMark val="none"/>
        <c:tickLblPos val="low"/>
        <c:txPr>
          <a:bodyPr rot="-5400000" vert="horz"/>
          <a:lstStyle/>
          <a:p>
            <a:pPr>
              <a:defRPr sz="800">
                <a:latin typeface="Avenir LT Std 35 Light" pitchFamily="34" charset="0"/>
              </a:defRPr>
            </a:pPr>
            <a:endParaRPr lang="fr-FR"/>
          </a:p>
        </c:txPr>
        <c:crossAx val="129981056"/>
        <c:crosses val="autoZero"/>
        <c:auto val="1"/>
        <c:lblAlgn val="ctr"/>
        <c:lblOffset val="100"/>
        <c:noMultiLvlLbl val="0"/>
      </c:catAx>
      <c:valAx>
        <c:axId val="129981056"/>
        <c:scaling>
          <c:orientation val="minMax"/>
        </c:scaling>
        <c:delete val="0"/>
        <c:axPos val="l"/>
        <c:majorGridlines/>
        <c:numFmt formatCode="General" sourceLinked="1"/>
        <c:majorTickMark val="out"/>
        <c:minorTickMark val="none"/>
        <c:tickLblPos val="nextTo"/>
        <c:txPr>
          <a:bodyPr/>
          <a:lstStyle/>
          <a:p>
            <a:pPr>
              <a:defRPr sz="900">
                <a:latin typeface="Avenir LT Std 35 Light" pitchFamily="34" charset="0"/>
              </a:defRPr>
            </a:pPr>
            <a:endParaRPr lang="fr-FR"/>
          </a:p>
        </c:txPr>
        <c:crossAx val="1299795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61067366579174E-2"/>
          <c:y val="6.2278825466823708E-2"/>
          <c:w val="0.62662182852143478"/>
          <c:h val="0.81689044543848843"/>
        </c:manualLayout>
      </c:layout>
      <c:lineChart>
        <c:grouping val="standard"/>
        <c:varyColors val="0"/>
        <c:ser>
          <c:idx val="3"/>
          <c:order val="0"/>
          <c:tx>
            <c:strRef>
              <c:f>'Dynamique de l''emploi'!$I$44:$L$44</c:f>
              <c:strCache>
                <c:ptCount val="1"/>
                <c:pt idx="0">
                  <c:v>Gironde</c:v>
                </c:pt>
              </c:strCache>
            </c:strRef>
          </c:tx>
          <c:spPr>
            <a:ln>
              <a:solidFill>
                <a:srgbClr val="9900CC"/>
              </a:solidFill>
            </a:ln>
          </c:spPr>
          <c:marker>
            <c:symbol val="none"/>
          </c:marker>
          <c:cat>
            <c:numRef>
              <c:f>'Dynamique de l''emploi'!$M$42:$T$42</c:f>
              <c:numCache>
                <c:formatCode>General</c:formatCode>
                <c:ptCount val="8"/>
                <c:pt idx="0">
                  <c:v>2008</c:v>
                </c:pt>
                <c:pt idx="1">
                  <c:v>2009</c:v>
                </c:pt>
                <c:pt idx="2">
                  <c:v>2010</c:v>
                </c:pt>
                <c:pt idx="3">
                  <c:v>2011</c:v>
                </c:pt>
                <c:pt idx="4">
                  <c:v>2012</c:v>
                </c:pt>
                <c:pt idx="5">
                  <c:v>2013</c:v>
                </c:pt>
                <c:pt idx="6">
                  <c:v>2014</c:v>
                </c:pt>
                <c:pt idx="7">
                  <c:v>2015</c:v>
                </c:pt>
              </c:numCache>
            </c:numRef>
          </c:cat>
          <c:val>
            <c:numRef>
              <c:f>'Dynamique de l''emploi'!$M$44:$T$44</c:f>
              <c:numCache>
                <c:formatCode>General</c:formatCode>
                <c:ptCount val="8"/>
                <c:pt idx="0">
                  <c:v>100</c:v>
                </c:pt>
                <c:pt idx="1">
                  <c:v>99.474785376357204</c:v>
                </c:pt>
                <c:pt idx="2">
                  <c:v>100.98153613837599</c:v>
                </c:pt>
                <c:pt idx="3">
                  <c:v>102.51243762123026</c:v>
                </c:pt>
                <c:pt idx="4">
                  <c:v>103.63582746725035</c:v>
                </c:pt>
                <c:pt idx="5">
                  <c:v>104.37890701464043</c:v>
                </c:pt>
                <c:pt idx="6">
                  <c:v>104.75260764230494</c:v>
                </c:pt>
                <c:pt idx="7">
                  <c:v>106.2039388554592</c:v>
                </c:pt>
              </c:numCache>
            </c:numRef>
          </c:val>
          <c:smooth val="0"/>
        </c:ser>
        <c:ser>
          <c:idx val="4"/>
          <c:order val="1"/>
          <c:tx>
            <c:strRef>
              <c:f>'Dynamique de l''emploi'!$I$45:$L$45</c:f>
              <c:strCache>
                <c:ptCount val="1"/>
                <c:pt idx="0">
                  <c:v>Aquitaine</c:v>
                </c:pt>
              </c:strCache>
            </c:strRef>
          </c:tx>
          <c:marker>
            <c:symbol val="none"/>
          </c:marker>
          <c:cat>
            <c:numRef>
              <c:f>'Dynamique de l''emploi'!$M$42:$T$42</c:f>
              <c:numCache>
                <c:formatCode>General</c:formatCode>
                <c:ptCount val="8"/>
                <c:pt idx="0">
                  <c:v>2008</c:v>
                </c:pt>
                <c:pt idx="1">
                  <c:v>2009</c:v>
                </c:pt>
                <c:pt idx="2">
                  <c:v>2010</c:v>
                </c:pt>
                <c:pt idx="3">
                  <c:v>2011</c:v>
                </c:pt>
                <c:pt idx="4">
                  <c:v>2012</c:v>
                </c:pt>
                <c:pt idx="5">
                  <c:v>2013</c:v>
                </c:pt>
                <c:pt idx="6">
                  <c:v>2014</c:v>
                </c:pt>
                <c:pt idx="7">
                  <c:v>2015</c:v>
                </c:pt>
              </c:numCache>
            </c:numRef>
          </c:cat>
          <c:val>
            <c:numRef>
              <c:f>'Dynamique de l''emploi'!$M$45:$T$45</c:f>
              <c:numCache>
                <c:formatCode>General</c:formatCode>
                <c:ptCount val="8"/>
                <c:pt idx="0">
                  <c:v>100</c:v>
                </c:pt>
                <c:pt idx="1">
                  <c:v>98.724339329503223</c:v>
                </c:pt>
                <c:pt idx="2">
                  <c:v>99.922694837872513</c:v>
                </c:pt>
                <c:pt idx="3">
                  <c:v>100.9122260121831</c:v>
                </c:pt>
                <c:pt idx="4">
                  <c:v>100.88097765931012</c:v>
                </c:pt>
                <c:pt idx="5">
                  <c:v>100.85989443327537</c:v>
                </c:pt>
                <c:pt idx="6">
                  <c:v>100.98990766048979</c:v>
                </c:pt>
                <c:pt idx="7">
                  <c:v>101.68301871638292</c:v>
                </c:pt>
              </c:numCache>
            </c:numRef>
          </c:val>
          <c:smooth val="0"/>
        </c:ser>
        <c:ser>
          <c:idx val="5"/>
          <c:order val="2"/>
          <c:tx>
            <c:strRef>
              <c:f>'Dynamique de l''emploi'!$I$46:$L$46</c:f>
              <c:strCache>
                <c:ptCount val="1"/>
                <c:pt idx="0">
                  <c:v>Haute-Garonne</c:v>
                </c:pt>
              </c:strCache>
            </c:strRef>
          </c:tx>
          <c:marker>
            <c:symbol val="none"/>
          </c:marker>
          <c:cat>
            <c:numRef>
              <c:f>'Dynamique de l''emploi'!$M$42:$T$42</c:f>
              <c:numCache>
                <c:formatCode>General</c:formatCode>
                <c:ptCount val="8"/>
                <c:pt idx="0">
                  <c:v>2008</c:v>
                </c:pt>
                <c:pt idx="1">
                  <c:v>2009</c:v>
                </c:pt>
                <c:pt idx="2">
                  <c:v>2010</c:v>
                </c:pt>
                <c:pt idx="3">
                  <c:v>2011</c:v>
                </c:pt>
                <c:pt idx="4">
                  <c:v>2012</c:v>
                </c:pt>
                <c:pt idx="5">
                  <c:v>2013</c:v>
                </c:pt>
                <c:pt idx="6">
                  <c:v>2014</c:v>
                </c:pt>
                <c:pt idx="7">
                  <c:v>2015</c:v>
                </c:pt>
              </c:numCache>
            </c:numRef>
          </c:cat>
          <c:val>
            <c:numRef>
              <c:f>'Dynamique de l''emploi'!$M$46:$T$46</c:f>
              <c:numCache>
                <c:formatCode>General</c:formatCode>
                <c:ptCount val="8"/>
                <c:pt idx="0">
                  <c:v>100</c:v>
                </c:pt>
                <c:pt idx="1">
                  <c:v>99.760342268226736</c:v>
                </c:pt>
                <c:pt idx="2">
                  <c:v>101.43919590957482</c:v>
                </c:pt>
                <c:pt idx="3">
                  <c:v>103.66858759377639</c:v>
                </c:pt>
                <c:pt idx="4">
                  <c:v>105.12652628737935</c:v>
                </c:pt>
                <c:pt idx="5">
                  <c:v>106.01243521244321</c:v>
                </c:pt>
                <c:pt idx="6">
                  <c:v>106.69517235864193</c:v>
                </c:pt>
                <c:pt idx="7">
                  <c:v>108.37602523028633</c:v>
                </c:pt>
              </c:numCache>
            </c:numRef>
          </c:val>
          <c:smooth val="0"/>
        </c:ser>
        <c:ser>
          <c:idx val="0"/>
          <c:order val="3"/>
          <c:tx>
            <c:strRef>
              <c:f>'Dynamique de l''emploi'!$I$47:$L$47</c:f>
              <c:strCache>
                <c:ptCount val="1"/>
                <c:pt idx="0">
                  <c:v>Loire-Atlantique</c:v>
                </c:pt>
              </c:strCache>
            </c:strRef>
          </c:tx>
          <c:marker>
            <c:symbol val="none"/>
          </c:marker>
          <c:cat>
            <c:numRef>
              <c:f>'Dynamique de l''emploi'!$M$42:$T$42</c:f>
              <c:numCache>
                <c:formatCode>General</c:formatCode>
                <c:ptCount val="8"/>
                <c:pt idx="0">
                  <c:v>2008</c:v>
                </c:pt>
                <c:pt idx="1">
                  <c:v>2009</c:v>
                </c:pt>
                <c:pt idx="2">
                  <c:v>2010</c:v>
                </c:pt>
                <c:pt idx="3">
                  <c:v>2011</c:v>
                </c:pt>
                <c:pt idx="4">
                  <c:v>2012</c:v>
                </c:pt>
                <c:pt idx="5">
                  <c:v>2013</c:v>
                </c:pt>
                <c:pt idx="6">
                  <c:v>2014</c:v>
                </c:pt>
                <c:pt idx="7">
                  <c:v>2015</c:v>
                </c:pt>
              </c:numCache>
            </c:numRef>
          </c:cat>
          <c:val>
            <c:numRef>
              <c:f>'Dynamique de l''emploi'!$M$47:$T$47</c:f>
              <c:numCache>
                <c:formatCode>General</c:formatCode>
                <c:ptCount val="8"/>
                <c:pt idx="0">
                  <c:v>100</c:v>
                </c:pt>
                <c:pt idx="1">
                  <c:v>97.707863100609131</c:v>
                </c:pt>
                <c:pt idx="2">
                  <c:v>99.505632567924394</c:v>
                </c:pt>
                <c:pt idx="3">
                  <c:v>101.67532789546199</c:v>
                </c:pt>
                <c:pt idx="4">
                  <c:v>102.57229548551024</c:v>
                </c:pt>
                <c:pt idx="5">
                  <c:v>102.99713450935182</c:v>
                </c:pt>
                <c:pt idx="6">
                  <c:v>103.51501890303598</c:v>
                </c:pt>
                <c:pt idx="7">
                  <c:v>105.24632739189228</c:v>
                </c:pt>
              </c:numCache>
            </c:numRef>
          </c:val>
          <c:smooth val="0"/>
        </c:ser>
        <c:ser>
          <c:idx val="1"/>
          <c:order val="4"/>
          <c:tx>
            <c:strRef>
              <c:f>'Dynamique de l''emploi'!$I$48:$L$48</c:f>
              <c:strCache>
                <c:ptCount val="1"/>
                <c:pt idx="0">
                  <c:v>Ille-et-Vilaine</c:v>
                </c:pt>
              </c:strCache>
            </c:strRef>
          </c:tx>
          <c:marker>
            <c:symbol val="none"/>
          </c:marker>
          <c:cat>
            <c:numRef>
              <c:f>'Dynamique de l''emploi'!$M$42:$T$42</c:f>
              <c:numCache>
                <c:formatCode>General</c:formatCode>
                <c:ptCount val="8"/>
                <c:pt idx="0">
                  <c:v>2008</c:v>
                </c:pt>
                <c:pt idx="1">
                  <c:v>2009</c:v>
                </c:pt>
                <c:pt idx="2">
                  <c:v>2010</c:v>
                </c:pt>
                <c:pt idx="3">
                  <c:v>2011</c:v>
                </c:pt>
                <c:pt idx="4">
                  <c:v>2012</c:v>
                </c:pt>
                <c:pt idx="5">
                  <c:v>2013</c:v>
                </c:pt>
                <c:pt idx="6">
                  <c:v>2014</c:v>
                </c:pt>
                <c:pt idx="7">
                  <c:v>2015</c:v>
                </c:pt>
              </c:numCache>
            </c:numRef>
          </c:cat>
          <c:val>
            <c:numRef>
              <c:f>'Dynamique de l''emploi'!$M$48:$T$48</c:f>
              <c:numCache>
                <c:formatCode>General</c:formatCode>
                <c:ptCount val="8"/>
                <c:pt idx="0">
                  <c:v>100</c:v>
                </c:pt>
                <c:pt idx="1">
                  <c:v>98.276580432559371</c:v>
                </c:pt>
                <c:pt idx="2">
                  <c:v>99.586448171729032</c:v>
                </c:pt>
                <c:pt idx="3">
                  <c:v>101.04093853194267</c:v>
                </c:pt>
                <c:pt idx="4">
                  <c:v>100.54646690380184</c:v>
                </c:pt>
                <c:pt idx="5">
                  <c:v>100.80472158423753</c:v>
                </c:pt>
                <c:pt idx="6">
                  <c:v>101.4465705500136</c:v>
                </c:pt>
                <c:pt idx="7">
                  <c:v>103.12763634986277</c:v>
                </c:pt>
              </c:numCache>
            </c:numRef>
          </c:val>
          <c:smooth val="0"/>
        </c:ser>
        <c:ser>
          <c:idx val="2"/>
          <c:order val="5"/>
          <c:tx>
            <c:strRef>
              <c:f>'Dynamique de l''emploi'!$I$43:$L$43</c:f>
              <c:strCache>
                <c:ptCount val="1"/>
                <c:pt idx="0">
                  <c:v>France Métro.</c:v>
                </c:pt>
              </c:strCache>
            </c:strRef>
          </c:tx>
          <c:spPr>
            <a:ln w="19050">
              <a:solidFill>
                <a:schemeClr val="tx1"/>
              </a:solidFill>
              <a:prstDash val="dash"/>
            </a:ln>
          </c:spPr>
          <c:marker>
            <c:symbol val="none"/>
          </c:marker>
          <c:cat>
            <c:numRef>
              <c:f>'Dynamique de l''emploi'!$M$42:$T$42</c:f>
              <c:numCache>
                <c:formatCode>General</c:formatCode>
                <c:ptCount val="8"/>
                <c:pt idx="0">
                  <c:v>2008</c:v>
                </c:pt>
                <c:pt idx="1">
                  <c:v>2009</c:v>
                </c:pt>
                <c:pt idx="2">
                  <c:v>2010</c:v>
                </c:pt>
                <c:pt idx="3">
                  <c:v>2011</c:v>
                </c:pt>
                <c:pt idx="4">
                  <c:v>2012</c:v>
                </c:pt>
                <c:pt idx="5">
                  <c:v>2013</c:v>
                </c:pt>
                <c:pt idx="6">
                  <c:v>2014</c:v>
                </c:pt>
                <c:pt idx="7">
                  <c:v>2015</c:v>
                </c:pt>
              </c:numCache>
            </c:numRef>
          </c:cat>
          <c:val>
            <c:numRef>
              <c:f>'Dynamique de l''emploi'!$M$43:$T$43</c:f>
              <c:numCache>
                <c:formatCode>General</c:formatCode>
                <c:ptCount val="8"/>
                <c:pt idx="0">
                  <c:v>100</c:v>
                </c:pt>
                <c:pt idx="1">
                  <c:v>97.779571593997744</c:v>
                </c:pt>
                <c:pt idx="2">
                  <c:v>98.668417290260209</c:v>
                </c:pt>
                <c:pt idx="3">
                  <c:v>99.328539140689003</c:v>
                </c:pt>
                <c:pt idx="4">
                  <c:v>98.816170072666552</c:v>
                </c:pt>
                <c:pt idx="5">
                  <c:v>98.493492819902713</c:v>
                </c:pt>
                <c:pt idx="6">
                  <c:v>98.306504006761472</c:v>
                </c:pt>
                <c:pt idx="7">
                  <c:v>98.856856771204477</c:v>
                </c:pt>
              </c:numCache>
            </c:numRef>
          </c:val>
          <c:smooth val="0"/>
        </c:ser>
        <c:dLbls>
          <c:showLegendKey val="0"/>
          <c:showVal val="0"/>
          <c:showCatName val="0"/>
          <c:showSerName val="0"/>
          <c:showPercent val="0"/>
          <c:showBubbleSize val="0"/>
        </c:dLbls>
        <c:marker val="1"/>
        <c:smooth val="0"/>
        <c:axId val="130299776"/>
        <c:axId val="130301312"/>
      </c:lineChart>
      <c:catAx>
        <c:axId val="130299776"/>
        <c:scaling>
          <c:orientation val="minMax"/>
        </c:scaling>
        <c:delete val="0"/>
        <c:axPos val="b"/>
        <c:numFmt formatCode="General" sourceLinked="1"/>
        <c:majorTickMark val="out"/>
        <c:minorTickMark val="none"/>
        <c:tickLblPos val="nextTo"/>
        <c:txPr>
          <a:bodyPr/>
          <a:lstStyle/>
          <a:p>
            <a:pPr>
              <a:defRPr sz="800"/>
            </a:pPr>
            <a:endParaRPr lang="fr-FR"/>
          </a:p>
        </c:txPr>
        <c:crossAx val="130301312"/>
        <c:crosses val="autoZero"/>
        <c:auto val="1"/>
        <c:lblAlgn val="ctr"/>
        <c:lblOffset val="100"/>
        <c:noMultiLvlLbl val="0"/>
      </c:catAx>
      <c:valAx>
        <c:axId val="130301312"/>
        <c:scaling>
          <c:orientation val="minMax"/>
          <c:max val="110"/>
          <c:min val="93"/>
        </c:scaling>
        <c:delete val="0"/>
        <c:axPos val="l"/>
        <c:majorGridlines/>
        <c:numFmt formatCode="General" sourceLinked="1"/>
        <c:majorTickMark val="out"/>
        <c:minorTickMark val="none"/>
        <c:tickLblPos val="nextTo"/>
        <c:txPr>
          <a:bodyPr/>
          <a:lstStyle/>
          <a:p>
            <a:pPr>
              <a:defRPr sz="800"/>
            </a:pPr>
            <a:endParaRPr lang="fr-FR"/>
          </a:p>
        </c:txPr>
        <c:crossAx val="130299776"/>
        <c:crosses val="autoZero"/>
        <c:crossBetween val="midCat"/>
      </c:valAx>
    </c:plotArea>
    <c:legend>
      <c:legendPos val="r"/>
      <c:layout>
        <c:manualLayout>
          <c:xMode val="edge"/>
          <c:yMode val="edge"/>
          <c:x val="0.70284689413823276"/>
          <c:y val="9.1895817377263447E-2"/>
          <c:w val="0.28881977252843394"/>
          <c:h val="0.83319349946369758"/>
        </c:manualLayout>
      </c:layout>
      <c:overlay val="0"/>
      <c:txPr>
        <a:bodyPr/>
        <a:lstStyle/>
        <a:p>
          <a:pPr>
            <a:defRPr sz="800">
              <a:latin typeface="Avenir LT Std 35 Light" pitchFamily="34" charset="0"/>
            </a:defRPr>
          </a:pPr>
          <a:endParaRPr lang="fr-FR"/>
        </a:p>
      </c:tx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571121001179199"/>
          <c:y val="2.3682648040792335E-2"/>
          <c:w val="0.51866408003347408"/>
          <c:h val="0.86643807006185092"/>
        </c:manualLayout>
      </c:layout>
      <c:barChart>
        <c:barDir val="bar"/>
        <c:grouping val="clustered"/>
        <c:varyColors val="0"/>
        <c:ser>
          <c:idx val="0"/>
          <c:order val="0"/>
          <c:tx>
            <c:strRef>
              <c:f>'Dynamique de l''emploi'!$A$101</c:f>
              <c:strCache>
                <c:ptCount val="1"/>
                <c:pt idx="0">
                  <c:v>Gironde</c:v>
                </c:pt>
              </c:strCache>
            </c:strRef>
          </c:tx>
          <c:spPr>
            <a:solidFill>
              <a:schemeClr val="accent3">
                <a:lumMod val="60000"/>
                <a:lumOff val="40000"/>
              </a:schemeClr>
            </a:solidFill>
          </c:spPr>
          <c:invertIfNegative val="0"/>
          <c:cat>
            <c:strRef>
              <c:f>'Dynamique de l''emploi'!$B$100:$M$100</c:f>
              <c:strCache>
                <c:ptCount val="12"/>
                <c:pt idx="0">
                  <c:v>Agriculture, sylviculture et pêche</c:v>
                </c:pt>
                <c:pt idx="1">
                  <c:v>Industries manufacturières, industries extractives et autres</c:v>
                </c:pt>
                <c:pt idx="2">
                  <c:v>Construction</c:v>
                </c:pt>
                <c:pt idx="3">
                  <c:v>Commerce ; réparation d'auto. et de moto.</c:v>
                </c:pt>
                <c:pt idx="4">
                  <c:v>Transport et entreposage</c:v>
                </c:pt>
                <c:pt idx="5">
                  <c:v>Hébergement et restauration</c:v>
                </c:pt>
                <c:pt idx="6">
                  <c:v>Information et communication</c:v>
                </c:pt>
                <c:pt idx="7">
                  <c:v>Activités financières et d'assurance</c:v>
                </c:pt>
                <c:pt idx="8">
                  <c:v>Activités immobilières</c:v>
                </c:pt>
                <c:pt idx="9">
                  <c:v>Activités scientifiques et techn. ; services administratifs et de soutien</c:v>
                </c:pt>
                <c:pt idx="10">
                  <c:v>Activités de droit privé liées à un service public</c:v>
                </c:pt>
                <c:pt idx="11">
                  <c:v>Autres activités de services</c:v>
                </c:pt>
              </c:strCache>
            </c:strRef>
          </c:cat>
          <c:val>
            <c:numRef>
              <c:f>'Dynamique de l''emploi'!$B$101:$M$101</c:f>
              <c:numCache>
                <c:formatCode>General</c:formatCode>
                <c:ptCount val="12"/>
                <c:pt idx="0">
                  <c:v>3.2000538974303252</c:v>
                </c:pt>
                <c:pt idx="1">
                  <c:v>0.73942087845600912</c:v>
                </c:pt>
                <c:pt idx="2">
                  <c:v>1.0113585382641668</c:v>
                </c:pt>
                <c:pt idx="3">
                  <c:v>1.026824170585477</c:v>
                </c:pt>
                <c:pt idx="4">
                  <c:v>1.039564513473372</c:v>
                </c:pt>
                <c:pt idx="5">
                  <c:v>0.96582931831889107</c:v>
                </c:pt>
                <c:pt idx="6">
                  <c:v>1.0349100465638315</c:v>
                </c:pt>
                <c:pt idx="7">
                  <c:v>1.0220367915897766</c:v>
                </c:pt>
                <c:pt idx="8">
                  <c:v>1.0481585424163113</c:v>
                </c:pt>
                <c:pt idx="9">
                  <c:v>0.99865847930879648</c:v>
                </c:pt>
                <c:pt idx="10">
                  <c:v>1.0257982995095398</c:v>
                </c:pt>
                <c:pt idx="11">
                  <c:v>0.90128686345424436</c:v>
                </c:pt>
              </c:numCache>
            </c:numRef>
          </c:val>
        </c:ser>
        <c:ser>
          <c:idx val="1"/>
          <c:order val="1"/>
          <c:tx>
            <c:strRef>
              <c:f>'Dynamique de l''emploi'!$A$102</c:f>
              <c:strCache>
                <c:ptCount val="1"/>
                <c:pt idx="0">
                  <c:v>Aquitaine</c:v>
                </c:pt>
              </c:strCache>
            </c:strRef>
          </c:tx>
          <c:spPr>
            <a:solidFill>
              <a:schemeClr val="accent1">
                <a:lumMod val="40000"/>
                <a:lumOff val="60000"/>
              </a:schemeClr>
            </a:solidFill>
          </c:spPr>
          <c:invertIfNegative val="0"/>
          <c:cat>
            <c:strRef>
              <c:f>'Dynamique de l''emploi'!$B$100:$M$100</c:f>
              <c:strCache>
                <c:ptCount val="12"/>
                <c:pt idx="0">
                  <c:v>Agriculture, sylviculture et pêche</c:v>
                </c:pt>
                <c:pt idx="1">
                  <c:v>Industries manufacturières, industries extractives et autres</c:v>
                </c:pt>
                <c:pt idx="2">
                  <c:v>Construction</c:v>
                </c:pt>
                <c:pt idx="3">
                  <c:v>Commerce ; réparation d'auto. et de moto.</c:v>
                </c:pt>
                <c:pt idx="4">
                  <c:v>Transport et entreposage</c:v>
                </c:pt>
                <c:pt idx="5">
                  <c:v>Hébergement et restauration</c:v>
                </c:pt>
                <c:pt idx="6">
                  <c:v>Information et communication</c:v>
                </c:pt>
                <c:pt idx="7">
                  <c:v>Activités financières et d'assurance</c:v>
                </c:pt>
                <c:pt idx="8">
                  <c:v>Activités immobilières</c:v>
                </c:pt>
                <c:pt idx="9">
                  <c:v>Activités scientifiques et techn. ; services administratifs et de soutien</c:v>
                </c:pt>
                <c:pt idx="10">
                  <c:v>Activités de droit privé liées à un service public</c:v>
                </c:pt>
                <c:pt idx="11">
                  <c:v>Autres activités de services</c:v>
                </c:pt>
              </c:strCache>
            </c:strRef>
          </c:cat>
          <c:val>
            <c:numRef>
              <c:f>'Dynamique de l''emploi'!$B$102:$M$102</c:f>
              <c:numCache>
                <c:formatCode>General</c:formatCode>
                <c:ptCount val="12"/>
                <c:pt idx="0">
                  <c:v>2.5297100381221314</c:v>
                </c:pt>
                <c:pt idx="1">
                  <c:v>0.93036080671305976</c:v>
                </c:pt>
                <c:pt idx="2">
                  <c:v>1.0789488312800879</c:v>
                </c:pt>
                <c:pt idx="3">
                  <c:v>1.0742747446925482</c:v>
                </c:pt>
                <c:pt idx="4">
                  <c:v>0.94790552744302525</c:v>
                </c:pt>
                <c:pt idx="5">
                  <c:v>0.95473982886752662</c:v>
                </c:pt>
                <c:pt idx="6">
                  <c:v>0.67638585928079764</c:v>
                </c:pt>
                <c:pt idx="7">
                  <c:v>0.84424196100133575</c:v>
                </c:pt>
                <c:pt idx="8">
                  <c:v>0.91945370953241901</c:v>
                </c:pt>
                <c:pt idx="9">
                  <c:v>0.83812174039015219</c:v>
                </c:pt>
                <c:pt idx="10">
                  <c:v>1.0644414859930811</c:v>
                </c:pt>
                <c:pt idx="11">
                  <c:v>0.90985577102245396</c:v>
                </c:pt>
              </c:numCache>
            </c:numRef>
          </c:val>
        </c:ser>
        <c:dLbls>
          <c:showLegendKey val="0"/>
          <c:showVal val="0"/>
          <c:showCatName val="0"/>
          <c:showSerName val="0"/>
          <c:showPercent val="0"/>
          <c:showBubbleSize val="0"/>
        </c:dLbls>
        <c:gapWidth val="150"/>
        <c:overlap val="1"/>
        <c:axId val="130332544"/>
        <c:axId val="130334080"/>
      </c:barChart>
      <c:catAx>
        <c:axId val="130332544"/>
        <c:scaling>
          <c:orientation val="minMax"/>
        </c:scaling>
        <c:delete val="0"/>
        <c:axPos val="l"/>
        <c:majorTickMark val="out"/>
        <c:minorTickMark val="none"/>
        <c:tickLblPos val="low"/>
        <c:txPr>
          <a:bodyPr/>
          <a:lstStyle/>
          <a:p>
            <a:pPr>
              <a:defRPr sz="800"/>
            </a:pPr>
            <a:endParaRPr lang="fr-FR"/>
          </a:p>
        </c:txPr>
        <c:crossAx val="130334080"/>
        <c:crossesAt val="1"/>
        <c:auto val="1"/>
        <c:lblAlgn val="ctr"/>
        <c:lblOffset val="100"/>
        <c:noMultiLvlLbl val="0"/>
      </c:catAx>
      <c:valAx>
        <c:axId val="130334080"/>
        <c:scaling>
          <c:orientation val="minMax"/>
        </c:scaling>
        <c:delete val="0"/>
        <c:axPos val="b"/>
        <c:majorGridlines/>
        <c:numFmt formatCode="General" sourceLinked="1"/>
        <c:majorTickMark val="out"/>
        <c:minorTickMark val="none"/>
        <c:tickLblPos val="nextTo"/>
        <c:txPr>
          <a:bodyPr/>
          <a:lstStyle/>
          <a:p>
            <a:pPr>
              <a:defRPr sz="900"/>
            </a:pPr>
            <a:endParaRPr lang="fr-FR"/>
          </a:p>
        </c:txPr>
        <c:crossAx val="130332544"/>
        <c:crossesAt val="1"/>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openxmlformats.org/officeDocument/2006/relationships/chart" Target="../charts/chart12.xml"/><Relationship Id="rId1" Type="http://schemas.openxmlformats.org/officeDocument/2006/relationships/image" Target="../media/image2.jpeg"/><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5.jpeg"/><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6.jpeg"/><Relationship Id="rId5" Type="http://schemas.openxmlformats.org/officeDocument/2006/relationships/chart" Target="../charts/chart28.xml"/><Relationship Id="rId4" Type="http://schemas.openxmlformats.org/officeDocument/2006/relationships/chart" Target="../charts/chart27.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image" Target="../media/image2.jpeg"/><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image" Target="../media/image2.jpeg"/><Relationship Id="rId4" Type="http://schemas.openxmlformats.org/officeDocument/2006/relationships/chart" Target="../charts/chart3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image" Target="../media/image2.jpeg"/><Relationship Id="rId4"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1.xml"/><Relationship Id="rId2" Type="http://schemas.openxmlformats.org/officeDocument/2006/relationships/chart" Target="../charts/chart7.xml"/><Relationship Id="rId1" Type="http://schemas.openxmlformats.org/officeDocument/2006/relationships/image" Target="../media/image2.jpe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19050</xdr:rowOff>
    </xdr:from>
    <xdr:to>
      <xdr:col>4</xdr:col>
      <xdr:colOff>314325</xdr:colOff>
      <xdr:row>4</xdr:row>
      <xdr:rowOff>28575</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9050"/>
          <a:ext cx="1590675" cy="695325"/>
        </a:xfrm>
        <a:prstGeom prst="rect">
          <a:avLst/>
        </a:prstGeom>
      </xdr:spPr>
    </xdr:pic>
    <xdr:clientData/>
  </xdr:twoCellAnchor>
  <xdr:twoCellAnchor>
    <xdr:from>
      <xdr:col>23</xdr:col>
      <xdr:colOff>342900</xdr:colOff>
      <xdr:row>17</xdr:row>
      <xdr:rowOff>66675</xdr:rowOff>
    </xdr:from>
    <xdr:to>
      <xdr:col>31</xdr:col>
      <xdr:colOff>457200</xdr:colOff>
      <xdr:row>29</xdr:row>
      <xdr:rowOff>142875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45</xdr:row>
      <xdr:rowOff>142874</xdr:rowOff>
    </xdr:from>
    <xdr:to>
      <xdr:col>19</xdr:col>
      <xdr:colOff>266699</xdr:colOff>
      <xdr:row>52</xdr:row>
      <xdr:rowOff>171449</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114300</xdr:colOff>
      <xdr:row>53</xdr:row>
      <xdr:rowOff>28575</xdr:rowOff>
    </xdr:from>
    <xdr:ext cx="1590675" cy="695325"/>
    <xdr:pic>
      <xdr:nvPicPr>
        <xdr:cNvPr id="5" name="Imag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300" y="9982200"/>
          <a:ext cx="1590675" cy="695325"/>
        </a:xfrm>
        <a:prstGeom prst="rect">
          <a:avLst/>
        </a:prstGeom>
      </xdr:spPr>
    </xdr:pic>
    <xdr:clientData/>
  </xdr:oneCellAnchor>
  <xdr:twoCellAnchor>
    <xdr:from>
      <xdr:col>0</xdr:col>
      <xdr:colOff>0</xdr:colOff>
      <xdr:row>72</xdr:row>
      <xdr:rowOff>19050</xdr:rowOff>
    </xdr:from>
    <xdr:to>
      <xdr:col>19</xdr:col>
      <xdr:colOff>200025</xdr:colOff>
      <xdr:row>86</xdr:row>
      <xdr:rowOff>95250</xdr:rowOff>
    </xdr:to>
    <xdr:grpSp>
      <xdr:nvGrpSpPr>
        <xdr:cNvPr id="6" name="Groupe 5"/>
        <xdr:cNvGrpSpPr/>
      </xdr:nvGrpSpPr>
      <xdr:grpSpPr>
        <a:xfrm>
          <a:off x="0" y="13716000"/>
          <a:ext cx="6172200" cy="2743200"/>
          <a:chOff x="0" y="13963650"/>
          <a:chExt cx="6534150" cy="2743200"/>
        </a:xfrm>
      </xdr:grpSpPr>
      <xdr:graphicFrame macro="">
        <xdr:nvGraphicFramePr>
          <xdr:cNvPr id="8" name="Graphique 7"/>
          <xdr:cNvGraphicFramePr/>
        </xdr:nvGraphicFramePr>
        <xdr:xfrm>
          <a:off x="0" y="13963650"/>
          <a:ext cx="4305300" cy="27432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9" name="Graphique 8"/>
          <xdr:cNvGraphicFramePr/>
        </xdr:nvGraphicFramePr>
        <xdr:xfrm>
          <a:off x="3429000" y="13963650"/>
          <a:ext cx="3105150" cy="27432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0.xml><?xml version="1.0" encoding="utf-8"?>
<c:userShapes xmlns:c="http://schemas.openxmlformats.org/drawingml/2006/chart">
  <cdr:relSizeAnchor xmlns:cdr="http://schemas.openxmlformats.org/drawingml/2006/chartDrawing">
    <cdr:from>
      <cdr:x>0.59735</cdr:x>
      <cdr:y>0.15972</cdr:y>
    </cdr:from>
    <cdr:to>
      <cdr:x>0.89823</cdr:x>
      <cdr:y>0.22916</cdr:y>
    </cdr:to>
    <cdr:sp macro="" textlink="">
      <cdr:nvSpPr>
        <cdr:cNvPr id="2" name="ZoneTexte 1"/>
        <cdr:cNvSpPr txBox="1"/>
      </cdr:nvSpPr>
      <cdr:spPr>
        <a:xfrm xmlns:a="http://schemas.openxmlformats.org/drawingml/2006/main">
          <a:off x="2571750" y="438156"/>
          <a:ext cx="1295379" cy="1904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Sphère productive</a:t>
          </a:r>
        </a:p>
      </cdr:txBody>
    </cdr:sp>
  </cdr:relSizeAnchor>
  <cdr:relSizeAnchor xmlns:cdr="http://schemas.openxmlformats.org/drawingml/2006/chartDrawing">
    <cdr:from>
      <cdr:x>0.59735</cdr:x>
      <cdr:y>0.50116</cdr:y>
    </cdr:from>
    <cdr:to>
      <cdr:x>0.89824</cdr:x>
      <cdr:y>0.5706</cdr:y>
    </cdr:to>
    <cdr:sp macro="" textlink="">
      <cdr:nvSpPr>
        <cdr:cNvPr id="3" name="ZoneTexte 1"/>
        <cdr:cNvSpPr txBox="1"/>
      </cdr:nvSpPr>
      <cdr:spPr>
        <a:xfrm xmlns:a="http://schemas.openxmlformats.org/drawingml/2006/main">
          <a:off x="2571750" y="1374782"/>
          <a:ext cx="1295422" cy="1904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Sphère présentielle</a:t>
          </a:r>
        </a:p>
      </cdr:txBody>
    </cdr:sp>
  </cdr:relSizeAnchor>
  <cdr:relSizeAnchor xmlns:cdr="http://schemas.openxmlformats.org/drawingml/2006/chartDrawing">
    <cdr:from>
      <cdr:x>0.26844</cdr:x>
      <cdr:y>0.0081</cdr:y>
    </cdr:from>
    <cdr:to>
      <cdr:x>0.4646</cdr:x>
      <cdr:y>0.08681</cdr:y>
    </cdr:to>
    <cdr:sp macro="" textlink="">
      <cdr:nvSpPr>
        <cdr:cNvPr id="4" name="ZoneTexte 1"/>
        <cdr:cNvSpPr txBox="1"/>
      </cdr:nvSpPr>
      <cdr:spPr>
        <a:xfrm xmlns:a="http://schemas.openxmlformats.org/drawingml/2006/main">
          <a:off x="1155700" y="22225"/>
          <a:ext cx="844550" cy="2159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Effectif</a:t>
          </a:r>
        </a:p>
      </cdr:txBody>
    </cdr:sp>
  </cdr:relSizeAnchor>
</c:userShapes>
</file>

<file path=xl/drawings/drawing11.xml><?xml version="1.0" encoding="utf-8"?>
<c:userShapes xmlns:c="http://schemas.openxmlformats.org/drawingml/2006/chart">
  <cdr:relSizeAnchor xmlns:cdr="http://schemas.openxmlformats.org/drawingml/2006/chartDrawing">
    <cdr:from>
      <cdr:x>0.35048</cdr:x>
      <cdr:y>0</cdr:y>
    </cdr:from>
    <cdr:to>
      <cdr:x>0.74277</cdr:x>
      <cdr:y>0.10069</cdr:y>
    </cdr:to>
    <cdr:sp macro="" textlink="">
      <cdr:nvSpPr>
        <cdr:cNvPr id="2" name="ZoneTexte 1"/>
        <cdr:cNvSpPr txBox="1"/>
      </cdr:nvSpPr>
      <cdr:spPr>
        <a:xfrm xmlns:a="http://schemas.openxmlformats.org/drawingml/2006/main">
          <a:off x="1038225" y="0"/>
          <a:ext cx="116205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Etablissement</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5</xdr:col>
      <xdr:colOff>2003</xdr:colOff>
      <xdr:row>4</xdr:row>
      <xdr:rowOff>9719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66675"/>
          <a:ext cx="1597149" cy="662279"/>
        </a:xfrm>
        <a:prstGeom prst="rect">
          <a:avLst/>
        </a:prstGeom>
      </xdr:spPr>
    </xdr:pic>
    <xdr:clientData/>
  </xdr:twoCellAnchor>
  <xdr:twoCellAnchor>
    <xdr:from>
      <xdr:col>0</xdr:col>
      <xdr:colOff>9525</xdr:colOff>
      <xdr:row>18</xdr:row>
      <xdr:rowOff>57151</xdr:rowOff>
    </xdr:from>
    <xdr:to>
      <xdr:col>12</xdr:col>
      <xdr:colOff>76200</xdr:colOff>
      <xdr:row>29</xdr:row>
      <xdr:rowOff>59871</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57150</xdr:colOff>
      <xdr:row>55</xdr:row>
      <xdr:rowOff>9720</xdr:rowOff>
    </xdr:from>
    <xdr:ext cx="1609725" cy="709516"/>
    <xdr:pic>
      <xdr:nvPicPr>
        <xdr:cNvPr id="5" name="Imag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0321990"/>
          <a:ext cx="1609725" cy="709516"/>
        </a:xfrm>
        <a:prstGeom prst="rect">
          <a:avLst/>
        </a:prstGeom>
      </xdr:spPr>
    </xdr:pic>
    <xdr:clientData/>
  </xdr:oneCellAnchor>
  <xdr:twoCellAnchor>
    <xdr:from>
      <xdr:col>0</xdr:col>
      <xdr:colOff>10886</xdr:colOff>
      <xdr:row>37</xdr:row>
      <xdr:rowOff>20602</xdr:rowOff>
    </xdr:from>
    <xdr:to>
      <xdr:col>19</xdr:col>
      <xdr:colOff>215577</xdr:colOff>
      <xdr:row>53</xdr:row>
      <xdr:rowOff>152399</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27384</xdr:colOff>
      <xdr:row>76</xdr:row>
      <xdr:rowOff>112712</xdr:rowOff>
    </xdr:from>
    <xdr:to>
      <xdr:col>19</xdr:col>
      <xdr:colOff>326628</xdr:colOff>
      <xdr:row>94</xdr:row>
      <xdr:rowOff>182530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38100</xdr:colOff>
      <xdr:row>111</xdr:row>
      <xdr:rowOff>9525</xdr:rowOff>
    </xdr:from>
    <xdr:ext cx="1609725" cy="723900"/>
    <xdr:pic>
      <xdr:nvPicPr>
        <xdr:cNvPr id="9" name="Imag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9535775"/>
          <a:ext cx="1609725" cy="723900"/>
        </a:xfrm>
        <a:prstGeom prst="rect">
          <a:avLst/>
        </a:prstGeom>
      </xdr:spPr>
    </xdr:pic>
    <xdr:clientData/>
  </xdr:oneCellAnchor>
  <xdr:twoCellAnchor>
    <xdr:from>
      <xdr:col>0</xdr:col>
      <xdr:colOff>38100</xdr:colOff>
      <xdr:row>97</xdr:row>
      <xdr:rowOff>171450</xdr:rowOff>
    </xdr:from>
    <xdr:to>
      <xdr:col>19</xdr:col>
      <xdr:colOff>247649</xdr:colOff>
      <xdr:row>111</xdr:row>
      <xdr:rowOff>0</xdr:rowOff>
    </xdr:to>
    <xdr:grpSp>
      <xdr:nvGrpSpPr>
        <xdr:cNvPr id="3" name="Groupe 2"/>
        <xdr:cNvGrpSpPr/>
      </xdr:nvGrpSpPr>
      <xdr:grpSpPr>
        <a:xfrm>
          <a:off x="38100" y="17116425"/>
          <a:ext cx="6543674" cy="2495550"/>
          <a:chOff x="38100" y="16954500"/>
          <a:chExt cx="6543674" cy="2495550"/>
        </a:xfrm>
      </xdr:grpSpPr>
      <xdr:graphicFrame macro="">
        <xdr:nvGraphicFramePr>
          <xdr:cNvPr id="10" name="Graphique 7"/>
          <xdr:cNvGraphicFramePr/>
        </xdr:nvGraphicFramePr>
        <xdr:xfrm>
          <a:off x="38100" y="16954500"/>
          <a:ext cx="6343650" cy="249555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1" name="Graphique 8"/>
          <xdr:cNvGraphicFramePr/>
        </xdr:nvGraphicFramePr>
        <xdr:xfrm>
          <a:off x="2459381" y="16981045"/>
          <a:ext cx="2102109" cy="215468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2" name="Graphique 9"/>
          <xdr:cNvGraphicFramePr/>
        </xdr:nvGraphicFramePr>
        <xdr:xfrm>
          <a:off x="4600575" y="16973549"/>
          <a:ext cx="1981199" cy="2152651"/>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28073</xdr:colOff>
      <xdr:row>151</xdr:row>
      <xdr:rowOff>49630</xdr:rowOff>
    </xdr:from>
    <xdr:to>
      <xdr:col>12</xdr:col>
      <xdr:colOff>275722</xdr:colOff>
      <xdr:row>165</xdr:row>
      <xdr:rowOff>123825</xdr:rowOff>
    </xdr:to>
    <xdr:graphicFrame macro="">
      <xdr:nvGraphicFramePr>
        <xdr:cNvPr id="15"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38100</xdr:colOff>
      <xdr:row>166</xdr:row>
      <xdr:rowOff>9525</xdr:rowOff>
    </xdr:from>
    <xdr:ext cx="1609725" cy="723900"/>
    <xdr:pic>
      <xdr:nvPicPr>
        <xdr:cNvPr id="16" name="Image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9421475"/>
          <a:ext cx="1609725" cy="723900"/>
        </a:xfrm>
        <a:prstGeom prst="rect">
          <a:avLst/>
        </a:prstGeom>
      </xdr:spPr>
    </xdr:pic>
    <xdr:clientData/>
  </xdr:oneCellAnchor>
  <xdr:twoCellAnchor>
    <xdr:from>
      <xdr:col>8</xdr:col>
      <xdr:colOff>120205</xdr:colOff>
      <xdr:row>178</xdr:row>
      <xdr:rowOff>19439</xdr:rowOff>
    </xdr:from>
    <xdr:to>
      <xdr:col>19</xdr:col>
      <xdr:colOff>260992</xdr:colOff>
      <xdr:row>194</xdr:row>
      <xdr:rowOff>48598</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196</xdr:row>
      <xdr:rowOff>14286</xdr:rowOff>
    </xdr:from>
    <xdr:to>
      <xdr:col>13</xdr:col>
      <xdr:colOff>117078</xdr:colOff>
      <xdr:row>207</xdr:row>
      <xdr:rowOff>169069</xdr:rowOff>
    </xdr:to>
    <xdr:graphicFrame macro="">
      <xdr:nvGraphicFramePr>
        <xdr:cNvPr id="19" name="Graphique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18256</xdr:colOff>
      <xdr:row>208</xdr:row>
      <xdr:rowOff>19843</xdr:rowOff>
    </xdr:from>
    <xdr:to>
      <xdr:col>13</xdr:col>
      <xdr:colOff>135334</xdr:colOff>
      <xdr:row>220</xdr:row>
      <xdr:rowOff>198438</xdr:rowOff>
    </xdr:to>
    <xdr:graphicFrame macro="">
      <xdr:nvGraphicFramePr>
        <xdr:cNvPr id="21"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52387</xdr:colOff>
      <xdr:row>131</xdr:row>
      <xdr:rowOff>33336</xdr:rowOff>
    </xdr:from>
    <xdr:to>
      <xdr:col>20</xdr:col>
      <xdr:colOff>28575</xdr:colOff>
      <xdr:row>149</xdr:row>
      <xdr:rowOff>28574</xdr:rowOff>
    </xdr:to>
    <xdr:graphicFrame macro="">
      <xdr:nvGraphicFramePr>
        <xdr:cNvPr id="8"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0.07481</cdr:x>
      <cdr:y>0.04198</cdr:y>
    </cdr:from>
    <cdr:to>
      <cdr:x>0.35725</cdr:x>
      <cdr:y>0.17557</cdr:y>
    </cdr:to>
    <cdr:sp macro="" textlink="">
      <cdr:nvSpPr>
        <cdr:cNvPr id="2" name="ZoneTexte 1"/>
        <cdr:cNvSpPr txBox="1"/>
      </cdr:nvSpPr>
      <cdr:spPr>
        <a:xfrm xmlns:a="http://schemas.openxmlformats.org/drawingml/2006/main">
          <a:off x="466725" y="104775"/>
          <a:ext cx="1762125"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1000" b="1"/>
            <a:t>Aquitaine</a:t>
          </a:r>
        </a:p>
      </cdr:txBody>
    </cdr:sp>
  </cdr:relSizeAnchor>
</c:userShapes>
</file>

<file path=xl/drawings/drawing14.xml><?xml version="1.0" encoding="utf-8"?>
<c:userShapes xmlns:c="http://schemas.openxmlformats.org/drawingml/2006/chart">
  <cdr:relSizeAnchor xmlns:cdr="http://schemas.openxmlformats.org/drawingml/2006/chartDrawing">
    <cdr:from>
      <cdr:x>0.07556</cdr:x>
      <cdr:y>0.04185</cdr:y>
    </cdr:from>
    <cdr:to>
      <cdr:x>0.98667</cdr:x>
      <cdr:y>0.1988</cdr:y>
    </cdr:to>
    <cdr:sp macro="" textlink="">
      <cdr:nvSpPr>
        <cdr:cNvPr id="2" name="ZoneTexte 1"/>
        <cdr:cNvSpPr txBox="1"/>
      </cdr:nvSpPr>
      <cdr:spPr>
        <a:xfrm xmlns:a="http://schemas.openxmlformats.org/drawingml/2006/main">
          <a:off x="161926" y="88900"/>
          <a:ext cx="1952624" cy="3333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000" b="1"/>
            <a:t>Gironde</a:t>
          </a:r>
        </a:p>
      </cdr:txBody>
    </cdr:sp>
  </cdr:relSizeAnchor>
</c:userShapes>
</file>

<file path=xl/drawings/drawing15.xml><?xml version="1.0" encoding="utf-8"?>
<c:userShapes xmlns:c="http://schemas.openxmlformats.org/drawingml/2006/chart">
  <cdr:relSizeAnchor xmlns:cdr="http://schemas.openxmlformats.org/drawingml/2006/chartDrawing">
    <cdr:from>
      <cdr:x>0.01442</cdr:x>
      <cdr:y>0.04572</cdr:y>
    </cdr:from>
    <cdr:to>
      <cdr:x>0.97596</cdr:x>
      <cdr:y>0.20059</cdr:y>
    </cdr:to>
    <cdr:sp macro="" textlink="">
      <cdr:nvSpPr>
        <cdr:cNvPr id="2" name="ZoneTexte 1"/>
        <cdr:cNvSpPr txBox="1"/>
      </cdr:nvSpPr>
      <cdr:spPr>
        <a:xfrm xmlns:a="http://schemas.openxmlformats.org/drawingml/2006/main">
          <a:off x="28575" y="98425"/>
          <a:ext cx="1905000" cy="3333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000" b="1"/>
            <a:t>Bordeaux Métropole</a:t>
          </a:r>
        </a:p>
      </cdr:txBody>
    </cdr:sp>
  </cdr:relSizeAnchor>
</c:userShapes>
</file>

<file path=xl/drawings/drawing16.xml><?xml version="1.0" encoding="utf-8"?>
<c:userShapes xmlns:c="http://schemas.openxmlformats.org/drawingml/2006/chart">
  <cdr:relSizeAnchor xmlns:cdr="http://schemas.openxmlformats.org/drawingml/2006/chartDrawing">
    <cdr:from>
      <cdr:x>0.00648</cdr:x>
      <cdr:y>0.16565</cdr:y>
    </cdr:from>
    <cdr:to>
      <cdr:x>0.08106</cdr:x>
      <cdr:y>0.23008</cdr:y>
    </cdr:to>
    <cdr:sp macro="" textlink="">
      <cdr:nvSpPr>
        <cdr:cNvPr id="2" name="ZoneTexte 1"/>
        <cdr:cNvSpPr txBox="1"/>
      </cdr:nvSpPr>
      <cdr:spPr>
        <a:xfrm xmlns:a="http://schemas.openxmlformats.org/drawingml/2006/main">
          <a:off x="24701" y="489340"/>
          <a:ext cx="284513" cy="190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900" b="1" i="1"/>
            <a:t>en %</a:t>
          </a:r>
        </a:p>
      </cdr:txBody>
    </cdr:sp>
  </cdr:relSizeAnchor>
</c:userShapes>
</file>

<file path=xl/drawings/drawing17.xml><?xml version="1.0" encoding="utf-8"?>
<xdr:wsDr xmlns:xdr="http://schemas.openxmlformats.org/drawingml/2006/spreadsheetDrawing" xmlns:a="http://schemas.openxmlformats.org/drawingml/2006/main">
  <xdr:twoCellAnchor>
    <xdr:from>
      <xdr:col>5</xdr:col>
      <xdr:colOff>1259</xdr:colOff>
      <xdr:row>25</xdr:row>
      <xdr:rowOff>167764</xdr:rowOff>
    </xdr:from>
    <xdr:to>
      <xdr:col>18</xdr:col>
      <xdr:colOff>314325</xdr:colOff>
      <xdr:row>35</xdr:row>
      <xdr:rowOff>96327</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76200</xdr:rowOff>
    </xdr:from>
    <xdr:to>
      <xdr:col>5</xdr:col>
      <xdr:colOff>4822</xdr:colOff>
      <xdr:row>3</xdr:row>
      <xdr:rowOff>66674</xdr:rowOff>
    </xdr:to>
    <xdr:pic>
      <xdr:nvPicPr>
        <xdr:cNvPr id="5" name="Imag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6200"/>
          <a:ext cx="1360547" cy="619124"/>
        </a:xfrm>
        <a:prstGeom prst="rect">
          <a:avLst/>
        </a:prstGeom>
      </xdr:spPr>
    </xdr:pic>
    <xdr:clientData/>
  </xdr:twoCellAnchor>
  <xdr:twoCellAnchor>
    <xdr:from>
      <xdr:col>4</xdr:col>
      <xdr:colOff>257175</xdr:colOff>
      <xdr:row>37</xdr:row>
      <xdr:rowOff>60325</xdr:rowOff>
    </xdr:from>
    <xdr:to>
      <xdr:col>18</xdr:col>
      <xdr:colOff>244474</xdr:colOff>
      <xdr:row>48</xdr:row>
      <xdr:rowOff>41275</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4</xdr:col>
      <xdr:colOff>295275</xdr:colOff>
      <xdr:row>4</xdr:row>
      <xdr:rowOff>3</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66675"/>
          <a:ext cx="1533525" cy="770486"/>
        </a:xfrm>
        <a:prstGeom prst="rect">
          <a:avLst/>
        </a:prstGeom>
      </xdr:spPr>
    </xdr:pic>
    <xdr:clientData/>
  </xdr:twoCellAnchor>
  <xdr:twoCellAnchor>
    <xdr:from>
      <xdr:col>4</xdr:col>
      <xdr:colOff>214312</xdr:colOff>
      <xdr:row>27</xdr:row>
      <xdr:rowOff>123825</xdr:rowOff>
    </xdr:from>
    <xdr:to>
      <xdr:col>16</xdr:col>
      <xdr:colOff>9525</xdr:colOff>
      <xdr:row>35</xdr:row>
      <xdr:rowOff>39825</xdr:rowOff>
    </xdr:to>
    <xdr:graphicFrame macro="">
      <xdr:nvGraphicFramePr>
        <xdr:cNvPr id="4" name="Graphique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14288</xdr:colOff>
      <xdr:row>27</xdr:row>
      <xdr:rowOff>123825</xdr:rowOff>
    </xdr:from>
    <xdr:to>
      <xdr:col>18</xdr:col>
      <xdr:colOff>333374</xdr:colOff>
      <xdr:row>35</xdr:row>
      <xdr:rowOff>39825</xdr:rowOff>
    </xdr:to>
    <xdr:graphicFrame macro="">
      <xdr:nvGraphicFramePr>
        <xdr:cNvPr id="5" name="Graphique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33337</xdr:colOff>
      <xdr:row>41</xdr:row>
      <xdr:rowOff>76200</xdr:rowOff>
    </xdr:from>
    <xdr:to>
      <xdr:col>15</xdr:col>
      <xdr:colOff>90487</xdr:colOff>
      <xdr:row>49</xdr:row>
      <xdr:rowOff>142875</xdr:rowOff>
    </xdr:to>
    <xdr:graphicFrame macro="">
      <xdr:nvGraphicFramePr>
        <xdr:cNvPr id="7" name="Graphique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52386</xdr:colOff>
      <xdr:row>41</xdr:row>
      <xdr:rowOff>133349</xdr:rowOff>
    </xdr:from>
    <xdr:to>
      <xdr:col>19</xdr:col>
      <xdr:colOff>190499</xdr:colOff>
      <xdr:row>49</xdr:row>
      <xdr:rowOff>123825</xdr:rowOff>
    </xdr:to>
    <xdr:graphicFrame macro="">
      <xdr:nvGraphicFramePr>
        <xdr:cNvPr id="8" name="Graphique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47431</xdr:colOff>
      <xdr:row>0</xdr:row>
      <xdr:rowOff>27797</xdr:rowOff>
    </xdr:from>
    <xdr:to>
      <xdr:col>4</xdr:col>
      <xdr:colOff>226851</xdr:colOff>
      <xdr:row>3</xdr:row>
      <xdr:rowOff>58316</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431" y="27797"/>
          <a:ext cx="1540134" cy="671999"/>
        </a:xfrm>
        <a:prstGeom prst="rect">
          <a:avLst/>
        </a:prstGeom>
      </xdr:spPr>
    </xdr:pic>
    <xdr:clientData/>
  </xdr:twoCellAnchor>
  <xdr:twoCellAnchor>
    <xdr:from>
      <xdr:col>0</xdr:col>
      <xdr:colOff>19439</xdr:colOff>
      <xdr:row>10</xdr:row>
      <xdr:rowOff>19442</xdr:rowOff>
    </xdr:from>
    <xdr:to>
      <xdr:col>13</xdr:col>
      <xdr:colOff>212726</xdr:colOff>
      <xdr:row>24</xdr:row>
      <xdr:rowOff>128784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225517</xdr:colOff>
      <xdr:row>10</xdr:row>
      <xdr:rowOff>23620</xdr:rowOff>
    </xdr:from>
    <xdr:to>
      <xdr:col>19</xdr:col>
      <xdr:colOff>281863</xdr:colOff>
      <xdr:row>24</xdr:row>
      <xdr:rowOff>109539</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57150</xdr:colOff>
      <xdr:row>51</xdr:row>
      <xdr:rowOff>66676</xdr:rowOff>
    </xdr:from>
    <xdr:ext cx="1590675" cy="623402"/>
    <xdr:pic>
      <xdr:nvPicPr>
        <xdr:cNvPr id="7" name="Imag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0378946"/>
          <a:ext cx="1590675" cy="623402"/>
        </a:xfrm>
        <a:prstGeom prst="rect">
          <a:avLst/>
        </a:prstGeom>
      </xdr:spPr>
    </xdr:pic>
    <xdr:clientData/>
  </xdr:oneCellAnchor>
  <xdr:twoCellAnchor>
    <xdr:from>
      <xdr:col>0</xdr:col>
      <xdr:colOff>0</xdr:colOff>
      <xdr:row>60</xdr:row>
      <xdr:rowOff>4179</xdr:rowOff>
    </xdr:from>
    <xdr:to>
      <xdr:col>10</xdr:col>
      <xdr:colOff>266700</xdr:colOff>
      <xdr:row>71</xdr:row>
      <xdr:rowOff>47042</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287111</xdr:colOff>
      <xdr:row>59</xdr:row>
      <xdr:rowOff>145209</xdr:rowOff>
    </xdr:from>
    <xdr:to>
      <xdr:col>19</xdr:col>
      <xdr:colOff>306162</xdr:colOff>
      <xdr:row>70</xdr:row>
      <xdr:rowOff>83977</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57150</xdr:colOff>
      <xdr:row>51</xdr:row>
      <xdr:rowOff>66676</xdr:rowOff>
    </xdr:from>
    <xdr:ext cx="1590675" cy="623402"/>
    <xdr:pic>
      <xdr:nvPicPr>
        <xdr:cNvPr id="12" name="Imag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0417824"/>
          <a:ext cx="1590675" cy="623402"/>
        </a:xfrm>
        <a:prstGeom prst="rect">
          <a:avLst/>
        </a:prstGeom>
      </xdr:spPr>
    </xdr:pic>
    <xdr:clientData/>
  </xdr:oneCellAnchor>
  <xdr:oneCellAnchor>
    <xdr:from>
      <xdr:col>0</xdr:col>
      <xdr:colOff>57150</xdr:colOff>
      <xdr:row>95</xdr:row>
      <xdr:rowOff>66676</xdr:rowOff>
    </xdr:from>
    <xdr:ext cx="1590675" cy="623402"/>
    <xdr:pic>
      <xdr:nvPicPr>
        <xdr:cNvPr id="13" name="Imag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0417824"/>
          <a:ext cx="1590675" cy="623402"/>
        </a:xfrm>
        <a:prstGeom prst="rect">
          <a:avLst/>
        </a:prstGeom>
      </xdr:spPr>
    </xdr:pic>
    <xdr:clientData/>
  </xdr:oneCellAnchor>
  <xdr:oneCellAnchor>
    <xdr:from>
      <xdr:col>0</xdr:col>
      <xdr:colOff>66870</xdr:colOff>
      <xdr:row>95</xdr:row>
      <xdr:rowOff>58315</xdr:rowOff>
    </xdr:from>
    <xdr:ext cx="1590675" cy="699798"/>
    <xdr:pic>
      <xdr:nvPicPr>
        <xdr:cNvPr id="14" name="Imag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70" y="19915024"/>
          <a:ext cx="1590675" cy="699798"/>
        </a:xfrm>
        <a:prstGeom prst="rect">
          <a:avLst/>
        </a:prstGeom>
      </xdr:spPr>
    </xdr:pic>
    <xdr:clientData/>
  </xdr:oneCellAnchor>
  <xdr:twoCellAnchor>
    <xdr:from>
      <xdr:col>0</xdr:col>
      <xdr:colOff>18856</xdr:colOff>
      <xdr:row>106</xdr:row>
      <xdr:rowOff>10789</xdr:rowOff>
    </xdr:from>
    <xdr:to>
      <xdr:col>19</xdr:col>
      <xdr:colOff>330459</xdr:colOff>
      <xdr:row>120</xdr:row>
      <xdr:rowOff>32559</xdr:rowOff>
    </xdr:to>
    <xdr:graphicFrame macro="">
      <xdr:nvGraphicFramePr>
        <xdr:cNvPr id="8"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112065</xdr:colOff>
      <xdr:row>28</xdr:row>
      <xdr:rowOff>132475</xdr:rowOff>
    </xdr:from>
    <xdr:to>
      <xdr:col>20</xdr:col>
      <xdr:colOff>0</xdr:colOff>
      <xdr:row>49</xdr:row>
      <xdr:rowOff>77755</xdr:rowOff>
    </xdr:to>
    <xdr:graphicFrame macro="">
      <xdr:nvGraphicFramePr>
        <xdr:cNvPr id="6"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6026</xdr:colOff>
      <xdr:row>131</xdr:row>
      <xdr:rowOff>193804</xdr:rowOff>
    </xdr:from>
    <xdr:to>
      <xdr:col>19</xdr:col>
      <xdr:colOff>223546</xdr:colOff>
      <xdr:row>147</xdr:row>
      <xdr:rowOff>87475</xdr:rowOff>
    </xdr:to>
    <xdr:graphicFrame macro="">
      <xdr:nvGraphicFramePr>
        <xdr:cNvPr id="15"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0.59735</cdr:x>
      <cdr:y>0.15972</cdr:y>
    </cdr:from>
    <cdr:to>
      <cdr:x>0.89823</cdr:x>
      <cdr:y>0.22916</cdr:y>
    </cdr:to>
    <cdr:sp macro="" textlink="">
      <cdr:nvSpPr>
        <cdr:cNvPr id="2" name="ZoneTexte 1"/>
        <cdr:cNvSpPr txBox="1"/>
      </cdr:nvSpPr>
      <cdr:spPr>
        <a:xfrm xmlns:a="http://schemas.openxmlformats.org/drawingml/2006/main">
          <a:off x="2571750" y="438156"/>
          <a:ext cx="1295379" cy="1904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Sphère productive</a:t>
          </a:r>
        </a:p>
      </cdr:txBody>
    </cdr:sp>
  </cdr:relSizeAnchor>
  <cdr:relSizeAnchor xmlns:cdr="http://schemas.openxmlformats.org/drawingml/2006/chartDrawing">
    <cdr:from>
      <cdr:x>0.59735</cdr:x>
      <cdr:y>0.50116</cdr:y>
    </cdr:from>
    <cdr:to>
      <cdr:x>0.89824</cdr:x>
      <cdr:y>0.5706</cdr:y>
    </cdr:to>
    <cdr:sp macro="" textlink="">
      <cdr:nvSpPr>
        <cdr:cNvPr id="3" name="ZoneTexte 1"/>
        <cdr:cNvSpPr txBox="1"/>
      </cdr:nvSpPr>
      <cdr:spPr>
        <a:xfrm xmlns:a="http://schemas.openxmlformats.org/drawingml/2006/main">
          <a:off x="2571750" y="1374782"/>
          <a:ext cx="1295422" cy="1904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Sphère présentielle</a:t>
          </a:r>
        </a:p>
      </cdr:txBody>
    </cdr:sp>
  </cdr:relSizeAnchor>
  <cdr:relSizeAnchor xmlns:cdr="http://schemas.openxmlformats.org/drawingml/2006/chartDrawing">
    <cdr:from>
      <cdr:x>0.26844</cdr:x>
      <cdr:y>0.0081</cdr:y>
    </cdr:from>
    <cdr:to>
      <cdr:x>0.4646</cdr:x>
      <cdr:y>0.08681</cdr:y>
    </cdr:to>
    <cdr:sp macro="" textlink="">
      <cdr:nvSpPr>
        <cdr:cNvPr id="4" name="ZoneTexte 1"/>
        <cdr:cNvSpPr txBox="1"/>
      </cdr:nvSpPr>
      <cdr:spPr>
        <a:xfrm xmlns:a="http://schemas.openxmlformats.org/drawingml/2006/main">
          <a:off x="1155700" y="22225"/>
          <a:ext cx="844550" cy="2159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Effectif</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57150</xdr:colOff>
      <xdr:row>0</xdr:row>
      <xdr:rowOff>26988</xdr:rowOff>
    </xdr:from>
    <xdr:to>
      <xdr:col>4</xdr:col>
      <xdr:colOff>314325</xdr:colOff>
      <xdr:row>4</xdr:row>
      <xdr:rowOff>39688</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6988"/>
          <a:ext cx="1606550" cy="707231"/>
        </a:xfrm>
        <a:prstGeom prst="rect">
          <a:avLst/>
        </a:prstGeom>
      </xdr:spPr>
    </xdr:pic>
    <xdr:clientData/>
  </xdr:twoCellAnchor>
  <xdr:twoCellAnchor>
    <xdr:from>
      <xdr:col>0</xdr:col>
      <xdr:colOff>49609</xdr:colOff>
      <xdr:row>18</xdr:row>
      <xdr:rowOff>18650</xdr:rowOff>
    </xdr:from>
    <xdr:to>
      <xdr:col>19</xdr:col>
      <xdr:colOff>297259</xdr:colOff>
      <xdr:row>31</xdr:row>
      <xdr:rowOff>148828</xdr:rowOff>
    </xdr:to>
    <xdr:graphicFrame macro="">
      <xdr:nvGraphicFramePr>
        <xdr:cNvPr id="2"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47228</xdr:colOff>
      <xdr:row>50</xdr:row>
      <xdr:rowOff>17066</xdr:rowOff>
    </xdr:from>
    <xdr:ext cx="1590675" cy="717153"/>
    <xdr:pic>
      <xdr:nvPicPr>
        <xdr:cNvPr id="4" name="Imag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228" y="9909175"/>
          <a:ext cx="1590675" cy="717153"/>
        </a:xfrm>
        <a:prstGeom prst="rect">
          <a:avLst/>
        </a:prstGeom>
      </xdr:spPr>
    </xdr:pic>
    <xdr:clientData/>
  </xdr:oneCellAnchor>
  <xdr:twoCellAnchor>
    <xdr:from>
      <xdr:col>0</xdr:col>
      <xdr:colOff>35717</xdr:colOff>
      <xdr:row>70</xdr:row>
      <xdr:rowOff>29767</xdr:rowOff>
    </xdr:from>
    <xdr:to>
      <xdr:col>19</xdr:col>
      <xdr:colOff>290511</xdr:colOff>
      <xdr:row>86</xdr:row>
      <xdr:rowOff>396</xdr:rowOff>
    </xdr:to>
    <xdr:graphicFrame macro="">
      <xdr:nvGraphicFramePr>
        <xdr:cNvPr id="5"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49609</xdr:colOff>
      <xdr:row>88</xdr:row>
      <xdr:rowOff>24606</xdr:rowOff>
    </xdr:from>
    <xdr:to>
      <xdr:col>19</xdr:col>
      <xdr:colOff>218281</xdr:colOff>
      <xdr:row>100</xdr:row>
      <xdr:rowOff>128985</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xdr:colOff>
      <xdr:row>0</xdr:row>
      <xdr:rowOff>19051</xdr:rowOff>
    </xdr:from>
    <xdr:to>
      <xdr:col>4</xdr:col>
      <xdr:colOff>209550</xdr:colOff>
      <xdr:row>4</xdr:row>
      <xdr:rowOff>19051</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1"/>
          <a:ext cx="1590675" cy="704850"/>
        </a:xfrm>
        <a:prstGeom prst="rect">
          <a:avLst/>
        </a:prstGeom>
      </xdr:spPr>
    </xdr:pic>
    <xdr:clientData/>
  </xdr:twoCellAnchor>
  <xdr:twoCellAnchor>
    <xdr:from>
      <xdr:col>0</xdr:col>
      <xdr:colOff>0</xdr:colOff>
      <xdr:row>16</xdr:row>
      <xdr:rowOff>61912</xdr:rowOff>
    </xdr:from>
    <xdr:to>
      <xdr:col>19</xdr:col>
      <xdr:colOff>190500</xdr:colOff>
      <xdr:row>27</xdr:row>
      <xdr:rowOff>114300</xdr:rowOff>
    </xdr:to>
    <xdr:graphicFrame macro="">
      <xdr:nvGraphicFramePr>
        <xdr:cNvPr id="3"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28</xdr:row>
      <xdr:rowOff>170258</xdr:rowOff>
    </xdr:from>
    <xdr:to>
      <xdr:col>19</xdr:col>
      <xdr:colOff>251619</xdr:colOff>
      <xdr:row>42</xdr:row>
      <xdr:rowOff>21432</xdr:rowOff>
    </xdr:to>
    <xdr:graphicFrame macro="">
      <xdr:nvGraphicFramePr>
        <xdr:cNvPr id="4"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66675</xdr:colOff>
      <xdr:row>53</xdr:row>
      <xdr:rowOff>71437</xdr:rowOff>
    </xdr:from>
    <xdr:ext cx="1590675" cy="695325"/>
    <xdr:pic>
      <xdr:nvPicPr>
        <xdr:cNvPr id="5" name="Imag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0382250"/>
          <a:ext cx="1590675" cy="695325"/>
        </a:xfrm>
        <a:prstGeom prst="rect">
          <a:avLst/>
        </a:prstGeom>
      </xdr:spPr>
    </xdr:pic>
    <xdr:clientData/>
  </xdr:oneCellAnchor>
  <xdr:twoCellAnchor>
    <xdr:from>
      <xdr:col>0</xdr:col>
      <xdr:colOff>19049</xdr:colOff>
      <xdr:row>62</xdr:row>
      <xdr:rowOff>33337</xdr:rowOff>
    </xdr:from>
    <xdr:to>
      <xdr:col>19</xdr:col>
      <xdr:colOff>266699</xdr:colOff>
      <xdr:row>90</xdr:row>
      <xdr:rowOff>76201</xdr:rowOff>
    </xdr:to>
    <xdr:graphicFrame macro="">
      <xdr:nvGraphicFramePr>
        <xdr:cNvPr id="7"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0</xdr:colOff>
      <xdr:row>52</xdr:row>
      <xdr:rowOff>19051</xdr:rowOff>
    </xdr:from>
    <xdr:ext cx="1590675" cy="704850"/>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0862"/>
          <a:ext cx="1590675" cy="704850"/>
        </a:xfrm>
        <a:prstGeom prst="rect">
          <a:avLst/>
        </a:prstGeom>
      </xdr:spPr>
    </xdr:pic>
    <xdr:clientData/>
  </xdr:oneCellAnchor>
  <xdr:oneCellAnchor>
    <xdr:from>
      <xdr:col>0</xdr:col>
      <xdr:colOff>66675</xdr:colOff>
      <xdr:row>0</xdr:row>
      <xdr:rowOff>19051</xdr:rowOff>
    </xdr:from>
    <xdr:ext cx="1590675" cy="704850"/>
    <xdr:pic>
      <xdr:nvPicPr>
        <xdr:cNvPr id="4" name="Imag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258051"/>
          <a:ext cx="1590675" cy="704850"/>
        </a:xfrm>
        <a:prstGeom prst="rect">
          <a:avLst/>
        </a:prstGeom>
      </xdr:spPr>
    </xdr:pic>
    <xdr:clientData/>
  </xdr:oneCellAnchor>
  <xdr:oneCellAnchor>
    <xdr:from>
      <xdr:col>5</xdr:col>
      <xdr:colOff>203726</xdr:colOff>
      <xdr:row>33</xdr:row>
      <xdr:rowOff>47432</xdr:rowOff>
    </xdr:from>
    <xdr:ext cx="2993951" cy="3429435"/>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56022" y="6335876"/>
          <a:ext cx="2993951" cy="3429435"/>
        </a:xfrm>
        <a:prstGeom prst="rect">
          <a:avLst/>
        </a:prstGeom>
        <a:ln>
          <a:solidFill>
            <a:schemeClr val="accent3">
              <a:lumMod val="75000"/>
            </a:schemeClr>
          </a:solidFill>
        </a:ln>
      </xdr:spPr>
    </xdr:pic>
    <xdr:clientData/>
  </xdr:oneCellAnchor>
  <xdr:twoCellAnchor editAs="oneCell">
    <xdr:from>
      <xdr:col>2</xdr:col>
      <xdr:colOff>287547</xdr:colOff>
      <xdr:row>7</xdr:row>
      <xdr:rowOff>98843</xdr:rowOff>
    </xdr:from>
    <xdr:to>
      <xdr:col>17</xdr:col>
      <xdr:colOff>29941</xdr:colOff>
      <xdr:row>31</xdr:row>
      <xdr:rowOff>5175</xdr:rowOff>
    </xdr:to>
    <xdr:pic>
      <xdr:nvPicPr>
        <xdr:cNvPr id="2" name="Imag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00" y="1293961"/>
          <a:ext cx="4729540" cy="4435200"/>
        </a:xfrm>
        <a:prstGeom prst="rect">
          <a:avLst/>
        </a:prstGeom>
      </xdr:spPr>
    </xdr:pic>
    <xdr:clientData/>
  </xdr:twoCellAnchor>
  <xdr:twoCellAnchor>
    <xdr:from>
      <xdr:col>7</xdr:col>
      <xdr:colOff>210174</xdr:colOff>
      <xdr:row>8</xdr:row>
      <xdr:rowOff>77234</xdr:rowOff>
    </xdr:from>
    <xdr:to>
      <xdr:col>10</xdr:col>
      <xdr:colOff>192503</xdr:colOff>
      <xdr:row>9</xdr:row>
      <xdr:rowOff>68247</xdr:rowOff>
    </xdr:to>
    <xdr:sp macro="" textlink="">
      <xdr:nvSpPr>
        <xdr:cNvPr id="7" name="ZoneTexte 6"/>
        <xdr:cNvSpPr txBox="1"/>
      </xdr:nvSpPr>
      <xdr:spPr>
        <a:xfrm>
          <a:off x="2571580" y="1466297"/>
          <a:ext cx="994361" cy="179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600"/>
            <a:t>Partie française de l'A.U.</a:t>
          </a:r>
        </a:p>
      </xdr:txBody>
    </xdr:sp>
    <xdr:clientData/>
  </xdr:twoCellAnchor>
  <xdr:twoCellAnchor>
    <xdr:from>
      <xdr:col>14</xdr:col>
      <xdr:colOff>175203</xdr:colOff>
      <xdr:row>15</xdr:row>
      <xdr:rowOff>68507</xdr:rowOff>
    </xdr:from>
    <xdr:to>
      <xdr:col>17</xdr:col>
      <xdr:colOff>292078</xdr:colOff>
      <xdr:row>16</xdr:row>
      <xdr:rowOff>59881</xdr:rowOff>
    </xdr:to>
    <xdr:sp macro="" textlink="">
      <xdr:nvSpPr>
        <xdr:cNvPr id="8" name="ZoneTexte 7"/>
        <xdr:cNvSpPr txBox="1"/>
      </xdr:nvSpPr>
      <xdr:spPr>
        <a:xfrm>
          <a:off x="4825644" y="2825954"/>
          <a:ext cx="1113398" cy="183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600"/>
            <a:t>Partie française de l'A.U.</a:t>
          </a: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38100</xdr:colOff>
      <xdr:row>0</xdr:row>
      <xdr:rowOff>28575</xdr:rowOff>
    </xdr:from>
    <xdr:ext cx="1914869" cy="828675"/>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914869" cy="828675"/>
        </a:xfrm>
        <a:prstGeom prst="rect">
          <a:avLst/>
        </a:prstGeom>
      </xdr:spPr>
    </xdr:pic>
    <xdr:clientData/>
  </xdr:oneCellAnchor>
</xdr:wsDr>
</file>

<file path=xl/drawings/drawing3.xml><?xml version="1.0" encoding="utf-8"?>
<c:userShapes xmlns:c="http://schemas.openxmlformats.org/drawingml/2006/chart">
  <cdr:relSizeAnchor xmlns:cdr="http://schemas.openxmlformats.org/drawingml/2006/chartDrawing">
    <cdr:from>
      <cdr:x>0.35048</cdr:x>
      <cdr:y>0</cdr:y>
    </cdr:from>
    <cdr:to>
      <cdr:x>0.74277</cdr:x>
      <cdr:y>0.10069</cdr:y>
    </cdr:to>
    <cdr:sp macro="" textlink="">
      <cdr:nvSpPr>
        <cdr:cNvPr id="2" name="ZoneTexte 1"/>
        <cdr:cNvSpPr txBox="1"/>
      </cdr:nvSpPr>
      <cdr:spPr>
        <a:xfrm xmlns:a="http://schemas.openxmlformats.org/drawingml/2006/main">
          <a:off x="1038225" y="0"/>
          <a:ext cx="116205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a:t>Etablissement</a:t>
          </a:r>
        </a:p>
      </cdr:txBody>
    </cdr:sp>
  </cdr:relSizeAnchor>
</c:userShapes>
</file>

<file path=xl/drawings/drawing4.xml><?xml version="1.0" encoding="utf-8"?>
<xdr:wsDr xmlns:xdr="http://schemas.openxmlformats.org/drawingml/2006/spreadsheetDrawing" xmlns:a="http://schemas.openxmlformats.org/drawingml/2006/main">
  <xdr:oneCellAnchor>
    <xdr:from>
      <xdr:col>0</xdr:col>
      <xdr:colOff>38100</xdr:colOff>
      <xdr:row>0</xdr:row>
      <xdr:rowOff>28575</xdr:rowOff>
    </xdr:from>
    <xdr:ext cx="1914869" cy="828675"/>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914869" cy="8286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142875</xdr:colOff>
      <xdr:row>136</xdr:row>
      <xdr:rowOff>9525</xdr:rowOff>
    </xdr:from>
    <xdr:to>
      <xdr:col>11</xdr:col>
      <xdr:colOff>752475</xdr:colOff>
      <xdr:row>162</xdr:row>
      <xdr:rowOff>28575</xdr:rowOff>
    </xdr:to>
    <xdr:sp macro="" textlink="">
      <xdr:nvSpPr>
        <xdr:cNvPr id="2" name="ZoneTexte 1"/>
        <xdr:cNvSpPr txBox="1"/>
      </xdr:nvSpPr>
      <xdr:spPr>
        <a:xfrm>
          <a:off x="142875" y="27251025"/>
          <a:ext cx="9658350" cy="497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b="1">
              <a:solidFill>
                <a:srgbClr val="FF0000"/>
              </a:solidFill>
            </a:rPr>
            <a:t>Micro-entrepreneur</a:t>
          </a:r>
        </a:p>
        <a:p>
          <a:r>
            <a:rPr lang="fr-FR" b="1"/>
            <a:t>Définition</a:t>
          </a:r>
        </a:p>
        <a:p>
          <a:r>
            <a:rPr lang="fr-FR"/>
            <a:t>Le régime du micro-entrepreneur est la nouvelle dénomination pour celui de l'</a:t>
          </a:r>
          <a:r>
            <a:rPr lang="fr-FR">
              <a:hlinkClick xmlns:r="http://schemas.openxmlformats.org/officeDocument/2006/relationships" r:id=""/>
            </a:rPr>
            <a:t>auto-entrepreneur</a:t>
          </a:r>
          <a:r>
            <a:rPr lang="fr-FR"/>
            <a:t> depuis le 19 décembre 2014. Ce régime a été mis en place par la loi de modernisation de l'économie (LME) d'août 2008 et s'applique depuis le 1er janvier 2009 aux </a:t>
          </a:r>
          <a:r>
            <a:rPr lang="fr-FR">
              <a:hlinkClick xmlns:r="http://schemas.openxmlformats.org/officeDocument/2006/relationships" r:id=""/>
            </a:rPr>
            <a:t>personnes physiques</a:t>
          </a:r>
          <a:r>
            <a:rPr lang="fr-FR"/>
            <a:t> qui créent, ou possèdent déjà, une </a:t>
          </a:r>
          <a:r>
            <a:rPr lang="fr-FR">
              <a:hlinkClick xmlns:r="http://schemas.openxmlformats.org/officeDocument/2006/relationships" r:id=""/>
            </a:rPr>
            <a:t>entreprise individuelle</a:t>
          </a:r>
          <a:r>
            <a:rPr lang="fr-FR"/>
            <a:t> pour exercer une activité commerciale, artisanale ou libérale (hormis certaines activités exclues), à titre principal ou complémentaire. Il offre des formalités de création d'entreprises allégées ainsi qu'un mode de calcul et de paiement simplifié des cotisations sociales et de l'impôt sur le revenu. Pour en bénéficier, l'entrepreneur individuel doit remplir les conditions du régime fiscal de la micro-entreprise. De nouvelles dispositions, définies par la loi Pinel du 18 juin 2014, s'appliquent depuis le 19 décembre 2014. Le micro-entrepreneur bénéficie ainsi :</a:t>
          </a:r>
          <a:br>
            <a:rPr lang="fr-FR"/>
          </a:br>
          <a:r>
            <a:rPr lang="fr-FR"/>
            <a:t>- du régime micro-social ;</a:t>
          </a:r>
          <a:br>
            <a:rPr lang="fr-FR"/>
          </a:br>
          <a:r>
            <a:rPr lang="fr-FR"/>
            <a:t>- d'un régime micro-fiscal ;</a:t>
          </a:r>
          <a:br>
            <a:rPr lang="fr-FR"/>
          </a:br>
          <a:r>
            <a:rPr lang="fr-FR"/>
            <a:t>- d'une exonération temporaire de la cotisation foncière des entreprises ;</a:t>
          </a:r>
          <a:br>
            <a:rPr lang="fr-FR"/>
          </a:br>
          <a:r>
            <a:rPr lang="fr-FR"/>
            <a:t>- d'une exonération ou d'une franchise de </a:t>
          </a:r>
          <a:r>
            <a:rPr lang="fr-FR">
              <a:hlinkClick xmlns:r="http://schemas.openxmlformats.org/officeDocument/2006/relationships" r:id=""/>
            </a:rPr>
            <a:t>TVA</a:t>
          </a:r>
          <a:r>
            <a:rPr lang="fr-FR"/>
            <a:t> du fait de son activité.</a:t>
          </a:r>
          <a:br>
            <a:rPr lang="fr-FR"/>
          </a:br>
          <a:r>
            <a:rPr lang="fr-FR"/>
            <a:t>Avant le 19 décembre 2014, il bénéficiait également d'une dispense d'immatriculation au registre du commerce et des sociétés (RCS) pour les commerçants ou au répertoire des métiers (RM) pour les artisans, sauf cas particuliers. Depuis la dispense a été supprimée mais l'immatriculation est gratuite.</a:t>
          </a:r>
        </a:p>
        <a:p>
          <a:endParaRPr lang="fr-FR" sz="1100"/>
        </a:p>
        <a:p>
          <a:r>
            <a:rPr lang="fr-FR" b="1">
              <a:solidFill>
                <a:srgbClr val="FF0000"/>
              </a:solidFill>
            </a:rPr>
            <a:t>Microentreprise</a:t>
          </a:r>
        </a:p>
        <a:p>
          <a:r>
            <a:rPr lang="fr-FR" b="1"/>
            <a:t>Définition</a:t>
          </a:r>
        </a:p>
        <a:p>
          <a:r>
            <a:rPr lang="fr-FR"/>
            <a:t>Une microentreprise est une </a:t>
          </a:r>
          <a:r>
            <a:rPr lang="fr-FR">
              <a:hlinkClick xmlns:r="http://schemas.openxmlformats.org/officeDocument/2006/relationships" r:id=""/>
            </a:rPr>
            <a:t>entreprise</a:t>
          </a:r>
          <a:r>
            <a:rPr lang="fr-FR"/>
            <a:t> occupant moins de 10 personnes, et qui a un </a:t>
          </a:r>
          <a:r>
            <a:rPr lang="fr-FR">
              <a:hlinkClick xmlns:r="http://schemas.openxmlformats.org/officeDocument/2006/relationships" r:id=""/>
            </a:rPr>
            <a:t>chiffre d'affaires</a:t>
          </a:r>
          <a:r>
            <a:rPr lang="fr-FR"/>
            <a:t> annuel ou un total de bilan n'excédant pas 2 millions d'euros.</a:t>
          </a:r>
          <a:br>
            <a:rPr lang="fr-FR"/>
          </a:br>
          <a:r>
            <a:rPr lang="fr-FR"/>
            <a:t>Cette notion, utilisée à des fins d'analyse statistique et économique, diffère de celle du régime fiscal de la micro-entreprise et </a:t>
          </a:r>
          <a:r>
            <a:rPr lang="fr-FR" b="1">
              <a:solidFill>
                <a:srgbClr val="00B050"/>
              </a:solidFill>
            </a:rPr>
            <a:t>ne s'apparente pas non plus au statut de </a:t>
          </a:r>
          <a:r>
            <a:rPr lang="fr-FR" b="1">
              <a:solidFill>
                <a:srgbClr val="00B050"/>
              </a:solidFill>
              <a:hlinkClick xmlns:r="http://schemas.openxmlformats.org/officeDocument/2006/relationships" r:id=""/>
            </a:rPr>
            <a:t>micro-entrepreneur</a:t>
          </a:r>
          <a:r>
            <a:rPr lang="fr-FR" b="1">
              <a:solidFill>
                <a:srgbClr val="00B050"/>
              </a:solidFill>
            </a:rPr>
            <a:t>, appelé </a:t>
          </a:r>
          <a:r>
            <a:rPr lang="fr-FR" b="1">
              <a:solidFill>
                <a:srgbClr val="00B050"/>
              </a:solidFill>
              <a:hlinkClick xmlns:r="http://schemas.openxmlformats.org/officeDocument/2006/relationships" r:id=""/>
            </a:rPr>
            <a:t>auto-entrepreneur</a:t>
          </a:r>
          <a:r>
            <a:rPr lang="fr-FR" b="1">
              <a:solidFill>
                <a:srgbClr val="00B050"/>
              </a:solidFill>
            </a:rPr>
            <a:t> avant le 19 décembre 2014</a:t>
          </a:r>
        </a:p>
        <a:p>
          <a:endParaRPr lang="fr-FR" sz="1100"/>
        </a:p>
        <a:p>
          <a:endParaRPr lang="fr-FR" b="1"/>
        </a:p>
        <a:p>
          <a:r>
            <a:rPr lang="fr-FR" b="1">
              <a:solidFill>
                <a:srgbClr val="FF0000"/>
              </a:solidFill>
            </a:rPr>
            <a:t>Entreprise Individuelle</a:t>
          </a:r>
        </a:p>
        <a:p>
          <a:r>
            <a:rPr lang="fr-FR" b="1"/>
            <a:t>Définition</a:t>
          </a:r>
        </a:p>
        <a:p>
          <a:r>
            <a:rPr lang="fr-FR"/>
            <a:t>Une entreprise individuelle est une entreprise qui est la propriété exclusive d'une </a:t>
          </a:r>
          <a:r>
            <a:rPr lang="fr-FR">
              <a:hlinkClick xmlns:r="http://schemas.openxmlformats.org/officeDocument/2006/relationships" r:id=""/>
            </a:rPr>
            <a:t>personne physique</a:t>
          </a:r>
          <a:r>
            <a:rPr lang="fr-FR"/>
            <a:t>. L'entrepreneur exerce son activité sans avoir créé de </a:t>
          </a:r>
          <a:r>
            <a:rPr lang="fr-FR">
              <a:hlinkClick xmlns:r="http://schemas.openxmlformats.org/officeDocument/2006/relationships" r:id=""/>
            </a:rPr>
            <a:t>personne juridique</a:t>
          </a:r>
          <a:r>
            <a:rPr lang="fr-FR"/>
            <a:t> distincte. Les différentes formes d'entreprises individuelles sont : commerçant, </a:t>
          </a:r>
          <a:r>
            <a:rPr lang="fr-FR">
              <a:hlinkClick xmlns:r="http://schemas.openxmlformats.org/officeDocument/2006/relationships" r:id=""/>
            </a:rPr>
            <a:t>artisan</a:t>
          </a:r>
          <a:r>
            <a:rPr lang="fr-FR"/>
            <a:t>, profession libérale, agriculteur. Chaque entreprise individuelle (comme chaque société) est répertoriée dans le répertoire </a:t>
          </a:r>
          <a:r>
            <a:rPr lang="fr-FR">
              <a:hlinkClick xmlns:r="http://schemas.openxmlformats.org/officeDocument/2006/relationships" r:id=""/>
            </a:rPr>
            <a:t>SIRENE</a:t>
          </a:r>
          <a:r>
            <a:rPr lang="fr-FR"/>
            <a:t>.</a:t>
          </a:r>
        </a:p>
        <a:p>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195262</xdr:colOff>
      <xdr:row>23</xdr:row>
      <xdr:rowOff>138112</xdr:rowOff>
    </xdr:from>
    <xdr:to>
      <xdr:col>10</xdr:col>
      <xdr:colOff>195262</xdr:colOff>
      <xdr:row>38</xdr:row>
      <xdr:rowOff>23812</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23033</xdr:colOff>
      <xdr:row>61</xdr:row>
      <xdr:rowOff>160717</xdr:rowOff>
    </xdr:from>
    <xdr:to>
      <xdr:col>8</xdr:col>
      <xdr:colOff>231179</xdr:colOff>
      <xdr:row>70</xdr:row>
      <xdr:rowOff>145504</xdr:rowOff>
    </xdr:to>
    <xdr:graphicFrame macro="">
      <xdr:nvGraphicFramePr>
        <xdr:cNvPr id="2" name="Graphique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0</xdr:col>
      <xdr:colOff>38100</xdr:colOff>
      <xdr:row>0</xdr:row>
      <xdr:rowOff>19050</xdr:rowOff>
    </xdr:from>
    <xdr:ext cx="1914869" cy="876300"/>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9050"/>
          <a:ext cx="1914869" cy="8763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114300</xdr:colOff>
      <xdr:row>0</xdr:row>
      <xdr:rowOff>28575</xdr:rowOff>
    </xdr:from>
    <xdr:ext cx="1590675" cy="695325"/>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9982200"/>
          <a:ext cx="1590675" cy="695325"/>
        </a:xfrm>
        <a:prstGeom prst="rect">
          <a:avLst/>
        </a:prstGeom>
      </xdr:spPr>
    </xdr:pic>
    <xdr:clientData/>
  </xdr:oneCellAnchor>
  <xdr:twoCellAnchor>
    <xdr:from>
      <xdr:col>0</xdr:col>
      <xdr:colOff>0</xdr:colOff>
      <xdr:row>14</xdr:row>
      <xdr:rowOff>71437</xdr:rowOff>
    </xdr:from>
    <xdr:to>
      <xdr:col>20</xdr:col>
      <xdr:colOff>0</xdr:colOff>
      <xdr:row>26</xdr:row>
      <xdr:rowOff>66675</xdr:rowOff>
    </xdr:to>
    <xdr:graphicFrame macro="">
      <xdr:nvGraphicFramePr>
        <xdr:cNvPr id="3"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66675</xdr:colOff>
      <xdr:row>40</xdr:row>
      <xdr:rowOff>23812</xdr:rowOff>
    </xdr:from>
    <xdr:to>
      <xdr:col>20</xdr:col>
      <xdr:colOff>76200</xdr:colOff>
      <xdr:row>50</xdr:row>
      <xdr:rowOff>171450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57150</xdr:colOff>
      <xdr:row>52</xdr:row>
      <xdr:rowOff>19050</xdr:rowOff>
    </xdr:from>
    <xdr:to>
      <xdr:col>4</xdr:col>
      <xdr:colOff>9525</xdr:colOff>
      <xdr:row>55</xdr:row>
      <xdr:rowOff>165229</xdr:rowOff>
    </xdr:to>
    <xdr:pic>
      <xdr:nvPicPr>
        <xdr:cNvPr id="6" name="Imag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 y="9944100"/>
          <a:ext cx="1323975" cy="717679"/>
        </a:xfrm>
        <a:prstGeom prst="rect">
          <a:avLst/>
        </a:prstGeom>
      </xdr:spPr>
    </xdr:pic>
    <xdr:clientData/>
  </xdr:twoCellAnchor>
  <xdr:twoCellAnchor>
    <xdr:from>
      <xdr:col>0</xdr:col>
      <xdr:colOff>28575</xdr:colOff>
      <xdr:row>89</xdr:row>
      <xdr:rowOff>200024</xdr:rowOff>
    </xdr:from>
    <xdr:to>
      <xdr:col>19</xdr:col>
      <xdr:colOff>266700</xdr:colOff>
      <xdr:row>103</xdr:row>
      <xdr:rowOff>123825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114300</xdr:colOff>
      <xdr:row>105</xdr:row>
      <xdr:rowOff>28575</xdr:rowOff>
    </xdr:from>
    <xdr:ext cx="1590675" cy="695325"/>
    <xdr:pic>
      <xdr:nvPicPr>
        <xdr:cNvPr id="9" name="Imag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9982200"/>
          <a:ext cx="1590675" cy="695325"/>
        </a:xfrm>
        <a:prstGeom prst="rect">
          <a:avLst/>
        </a:prstGeom>
      </xdr:spPr>
    </xdr:pic>
    <xdr:clientData/>
  </xdr:oneCellAnchor>
  <xdr:twoCellAnchor>
    <xdr:from>
      <xdr:col>0</xdr:col>
      <xdr:colOff>38100</xdr:colOff>
      <xdr:row>122</xdr:row>
      <xdr:rowOff>57150</xdr:rowOff>
    </xdr:from>
    <xdr:to>
      <xdr:col>19</xdr:col>
      <xdr:colOff>238125</xdr:colOff>
      <xdr:row>136</xdr:row>
      <xdr:rowOff>133350</xdr:rowOff>
    </xdr:to>
    <xdr:grpSp>
      <xdr:nvGrpSpPr>
        <xdr:cNvPr id="13" name="Groupe 12"/>
        <xdr:cNvGrpSpPr/>
      </xdr:nvGrpSpPr>
      <xdr:grpSpPr>
        <a:xfrm>
          <a:off x="38100" y="23088600"/>
          <a:ext cx="6715125" cy="2743200"/>
          <a:chOff x="7115175" y="23021925"/>
          <a:chExt cx="6715125" cy="2743200"/>
        </a:xfrm>
      </xdr:grpSpPr>
      <xdr:graphicFrame macro="">
        <xdr:nvGraphicFramePr>
          <xdr:cNvPr id="11" name="Graphique 10"/>
          <xdr:cNvGraphicFramePr/>
        </xdr:nvGraphicFramePr>
        <xdr:xfrm>
          <a:off x="7115175" y="23021925"/>
          <a:ext cx="4424543" cy="27432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2" name="Graphique 11"/>
          <xdr:cNvGraphicFramePr/>
        </xdr:nvGraphicFramePr>
        <xdr:xfrm>
          <a:off x="10639147" y="23021925"/>
          <a:ext cx="3191153" cy="274320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lantenne.com/Les-ports-francais_a14374.html" TargetMode="External"/><Relationship Id="rId1" Type="http://schemas.openxmlformats.org/officeDocument/2006/relationships/hyperlink" Target="http://www.developpement-durable.gouv.fr/Trafics-des-principaux-ports.h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lekiosque.finances.gouv.fr/regionales/region_accueil.asp"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data.gouv.fr/fr/topics/education-et-recherche/"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education.gouv.fr/cid57096/reperes-et-references-statistiques.html" TargetMode="External"/><Relationship Id="rId2" Type="http://schemas.openxmlformats.org/officeDocument/2006/relationships/hyperlink" Target="http://www.obs-ost.fr/frressources_en_ligne/documents_methodologiques" TargetMode="External"/><Relationship Id="rId1" Type="http://schemas.openxmlformats.org/officeDocument/2006/relationships/hyperlink" Target="http://www.obs-ost.fr/frindicateur/analyses_et_indicateurs_de_reference" TargetMode="External"/><Relationship Id="rId4"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see.fr/fr/statistiques/2021703" TargetMode="External"/><Relationship Id="rId1" Type="http://schemas.openxmlformats.org/officeDocument/2006/relationships/hyperlink" Target="http://etudes.obs-aquitaine.fr/rub.asp?id=4&amp;page=Les_donnees_mensuelles_chiffree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www.insee.fr/fr/themes/detail.asp?reg_id=99&amp;ref_id=base-cc-salaire-net-horaire-moyen"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bmo.pole-emploi.org/bmo?graph=1&amp;in=4&amp;lc=0&amp;pp=2016"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www.acoss.fr/home/observatoire-economique/publications/acoss-stat/acoss-stat-n227.html" TargetMode="External"/><Relationship Id="rId2" Type="http://schemas.openxmlformats.org/officeDocument/2006/relationships/hyperlink" Target="http://www.insee.fr/fr/themes/detail.asp?reg_id=99&amp;ref_id=micro-entrepreneurs2015" TargetMode="External"/><Relationship Id="rId1" Type="http://schemas.openxmlformats.org/officeDocument/2006/relationships/hyperlink" Target="http://www.acoss.fr/home/observatoire-economique/publications/acoss-stat/acoss-stat-n227.html"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www.insee.fr/fr/themes/detail.asp?reg_id=99&amp;ref_id=base-cc-demo-entreprises"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insee.fr/fr/statistiques/18932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V166"/>
  <sheetViews>
    <sheetView showRuler="0" topLeftCell="A10" zoomScaleNormal="100" workbookViewId="0">
      <selection activeCell="A24" sqref="A24:U31"/>
    </sheetView>
  </sheetViews>
  <sheetFormatPr baseColWidth="10" defaultColWidth="11.42578125" defaultRowHeight="15" zeroHeight="1"/>
  <cols>
    <col min="1" max="20" width="4.7109375" customWidth="1"/>
  </cols>
  <sheetData>
    <row r="1" spans="1:22" s="208" customFormat="1" ht="14.1" customHeight="1">
      <c r="A1" s="205"/>
      <c r="B1" s="206"/>
      <c r="C1" s="207"/>
      <c r="D1" s="207"/>
      <c r="E1" s="207"/>
      <c r="F1" s="866" t="s">
        <v>1369</v>
      </c>
      <c r="G1" s="867"/>
      <c r="H1" s="867"/>
      <c r="I1" s="867"/>
      <c r="J1" s="867"/>
      <c r="K1" s="867"/>
      <c r="L1" s="867"/>
      <c r="M1" s="867"/>
      <c r="N1" s="867"/>
      <c r="O1" s="867"/>
      <c r="P1" s="867"/>
      <c r="Q1" s="867"/>
      <c r="R1" s="867"/>
      <c r="S1" s="867"/>
      <c r="T1" s="868"/>
    </row>
    <row r="2" spans="1:22" s="208" customFormat="1" ht="14.1" customHeight="1">
      <c r="A2" s="209"/>
      <c r="B2" s="207"/>
      <c r="C2" s="207"/>
      <c r="D2" s="207"/>
      <c r="E2" s="207"/>
      <c r="F2" s="869"/>
      <c r="G2" s="870"/>
      <c r="H2" s="870"/>
      <c r="I2" s="870"/>
      <c r="J2" s="870"/>
      <c r="K2" s="870"/>
      <c r="L2" s="870"/>
      <c r="M2" s="870"/>
      <c r="N2" s="870"/>
      <c r="O2" s="870"/>
      <c r="P2" s="870"/>
      <c r="Q2" s="870"/>
      <c r="R2" s="870"/>
      <c r="S2" s="870"/>
      <c r="T2" s="871"/>
    </row>
    <row r="3" spans="1:22" s="208" customFormat="1" ht="14.1" customHeight="1">
      <c r="A3" s="210"/>
      <c r="B3" s="207"/>
      <c r="C3" s="207"/>
      <c r="D3" s="207"/>
      <c r="E3" s="207"/>
      <c r="F3" s="869"/>
      <c r="G3" s="870"/>
      <c r="H3" s="870"/>
      <c r="I3" s="870"/>
      <c r="J3" s="870"/>
      <c r="K3" s="870"/>
      <c r="L3" s="870"/>
      <c r="M3" s="870"/>
      <c r="N3" s="870"/>
      <c r="O3" s="870"/>
      <c r="P3" s="870"/>
      <c r="Q3" s="870"/>
      <c r="R3" s="870"/>
      <c r="S3" s="870"/>
      <c r="T3" s="871"/>
    </row>
    <row r="4" spans="1:22" s="208" customFormat="1" ht="14.1" customHeight="1">
      <c r="A4" s="210"/>
      <c r="B4" s="207"/>
      <c r="C4" s="207"/>
      <c r="D4" s="207"/>
      <c r="E4" s="207"/>
      <c r="F4" s="872"/>
      <c r="G4" s="873"/>
      <c r="H4" s="873"/>
      <c r="I4" s="873"/>
      <c r="J4" s="873"/>
      <c r="K4" s="873"/>
      <c r="L4" s="873"/>
      <c r="M4" s="873"/>
      <c r="N4" s="873"/>
      <c r="O4" s="873"/>
      <c r="P4" s="873"/>
      <c r="Q4" s="873"/>
      <c r="R4" s="873"/>
      <c r="S4" s="873"/>
      <c r="T4" s="874"/>
    </row>
    <row r="5" spans="1:22" s="208" customFormat="1" ht="5.25" customHeight="1">
      <c r="A5" s="211"/>
      <c r="B5" s="212"/>
      <c r="C5" s="211"/>
      <c r="D5" s="211"/>
      <c r="E5" s="211"/>
      <c r="F5" s="213"/>
      <c r="G5" s="213"/>
      <c r="H5" s="214"/>
      <c r="I5" s="214"/>
      <c r="J5" s="214"/>
      <c r="K5" s="214"/>
      <c r="L5" s="214"/>
      <c r="M5" s="214"/>
      <c r="N5" s="214"/>
      <c r="O5" s="214"/>
      <c r="P5" s="214"/>
      <c r="Q5" s="214"/>
      <c r="R5" s="214"/>
      <c r="S5" s="214"/>
      <c r="T5" s="214"/>
    </row>
    <row r="6" spans="1:22" s="208" customFormat="1" ht="15" customHeight="1">
      <c r="A6" s="875" t="s">
        <v>1134</v>
      </c>
      <c r="B6" s="875"/>
      <c r="C6" s="875"/>
      <c r="D6" s="875"/>
      <c r="E6" s="875"/>
      <c r="F6" s="875"/>
      <c r="G6" s="875"/>
      <c r="H6" s="875"/>
      <c r="I6" s="875"/>
      <c r="J6" s="875"/>
      <c r="K6" s="875"/>
      <c r="L6" s="875"/>
      <c r="M6" s="875"/>
      <c r="N6" s="875"/>
      <c r="O6" s="875"/>
      <c r="P6" s="875"/>
      <c r="Q6" s="875"/>
      <c r="R6" s="875"/>
      <c r="S6" s="875"/>
      <c r="T6" s="875"/>
    </row>
    <row r="7" spans="1:22" s="208" customFormat="1" ht="15" customHeight="1" thickBot="1">
      <c r="A7" s="875"/>
      <c r="B7" s="875"/>
      <c r="C7" s="875"/>
      <c r="D7" s="875"/>
      <c r="E7" s="875"/>
      <c r="F7" s="875"/>
      <c r="G7" s="875"/>
      <c r="H7" s="875"/>
      <c r="I7" s="875"/>
      <c r="J7" s="875"/>
      <c r="K7" s="875"/>
      <c r="L7" s="875"/>
      <c r="M7" s="875"/>
      <c r="N7" s="875"/>
      <c r="O7" s="875"/>
      <c r="P7" s="875"/>
      <c r="Q7" s="875"/>
      <c r="R7" s="875"/>
      <c r="S7" s="875"/>
      <c r="T7" s="875"/>
    </row>
    <row r="8" spans="1:22" ht="16.5" thickTop="1" thickBot="1">
      <c r="A8" s="889" t="s">
        <v>1407</v>
      </c>
      <c r="B8" s="890"/>
      <c r="C8" s="891"/>
      <c r="D8" s="341"/>
      <c r="E8" s="581"/>
      <c r="F8" s="581"/>
      <c r="G8" s="581"/>
      <c r="H8" s="581"/>
      <c r="I8" s="876" t="s">
        <v>680</v>
      </c>
      <c r="J8" s="877"/>
      <c r="K8" s="877"/>
      <c r="L8" s="878"/>
      <c r="M8" s="582"/>
      <c r="N8" s="581"/>
      <c r="O8" s="879" t="s">
        <v>470</v>
      </c>
      <c r="P8" s="880"/>
      <c r="Q8" s="880"/>
      <c r="R8" s="881"/>
      <c r="S8" s="581"/>
      <c r="T8" s="215"/>
      <c r="U8" s="208"/>
      <c r="V8" s="208"/>
    </row>
    <row r="9" spans="1:22" ht="15.75" thickTop="1">
      <c r="A9" s="435" t="s">
        <v>1961</v>
      </c>
      <c r="B9" s="495"/>
      <c r="C9" s="495"/>
      <c r="D9" s="495"/>
      <c r="E9" s="495"/>
      <c r="F9" s="495"/>
      <c r="G9" s="324"/>
      <c r="H9" s="324"/>
      <c r="I9" s="324"/>
      <c r="J9" s="324"/>
      <c r="K9" s="324"/>
      <c r="L9" s="483" t="s">
        <v>1749</v>
      </c>
      <c r="M9" s="483"/>
      <c r="N9" s="483"/>
      <c r="O9" s="483"/>
      <c r="P9" s="483"/>
      <c r="Q9" s="483"/>
      <c r="R9" s="483"/>
      <c r="S9" s="416"/>
      <c r="T9" s="416"/>
    </row>
    <row r="10" spans="1:22" ht="24" customHeight="1">
      <c r="A10" s="420" t="s">
        <v>1596</v>
      </c>
      <c r="B10" s="324"/>
      <c r="C10" s="324"/>
      <c r="D10" s="324"/>
      <c r="E10" s="324"/>
      <c r="F10" s="324"/>
      <c r="G10" s="324"/>
      <c r="H10" s="324"/>
      <c r="I10" s="324"/>
      <c r="J10" s="882" t="s">
        <v>1628</v>
      </c>
      <c r="K10" s="883"/>
      <c r="L10" s="884"/>
      <c r="M10" s="882" t="s">
        <v>1597</v>
      </c>
      <c r="N10" s="884"/>
      <c r="O10" s="530"/>
      <c r="P10" s="882" t="s">
        <v>1628</v>
      </c>
      <c r="Q10" s="883"/>
      <c r="R10" s="884"/>
      <c r="S10" s="882" t="s">
        <v>1597</v>
      </c>
      <c r="T10" s="884"/>
    </row>
    <row r="11" spans="1:22">
      <c r="A11" s="531" t="s">
        <v>724</v>
      </c>
      <c r="B11" s="532"/>
      <c r="C11" s="532"/>
      <c r="D11" s="532"/>
      <c r="E11" s="532"/>
      <c r="F11" s="532"/>
      <c r="G11" s="498"/>
      <c r="H11" s="414"/>
      <c r="I11" s="414"/>
      <c r="J11" s="415"/>
      <c r="K11" s="887">
        <f>VLOOKUP($I$8,'D_Ch-5-1'!$B$57:$O$105,MATCH("Agriculture",'D_Ch-5-1'!$B$57:$O$57,0),FALSE)</f>
        <v>931</v>
      </c>
      <c r="L11" s="888"/>
      <c r="M11" s="864">
        <f>VLOOKUP($I$8,'D_Ch-5-1'!$B$107:$O$155,MATCH("Agriculture",'D_Ch-5-1'!$B$57:$O$57,0),FALSE)</f>
        <v>2.6160135998988436E-3</v>
      </c>
      <c r="N11" s="865"/>
      <c r="O11" s="324"/>
      <c r="P11" s="324"/>
      <c r="Q11" s="885">
        <f>VLOOKUP($O$8,'D_Ch-5-1'!$B$57:$O$105,MATCH("Agriculture",'D_Ch-5-1'!$B$57:$O$57,0),FALSE)</f>
        <v>1690</v>
      </c>
      <c r="R11" s="886"/>
      <c r="S11" s="864">
        <f>VLOOKUP($O$8,'D_Ch-5-1'!$B$107:$O$155,MATCH("Agriculture",'D_Ch-5-1'!$B$57:$O$57,0),FALSE)</f>
        <v>4.0352812519400391E-3</v>
      </c>
      <c r="T11" s="865"/>
    </row>
    <row r="12" spans="1:22">
      <c r="A12" s="531" t="s">
        <v>726</v>
      </c>
      <c r="B12" s="532"/>
      <c r="C12" s="532"/>
      <c r="D12" s="532"/>
      <c r="E12" s="532"/>
      <c r="F12" s="532"/>
      <c r="G12" s="498"/>
      <c r="H12" s="414"/>
      <c r="I12" s="414"/>
      <c r="J12" s="415"/>
      <c r="K12" s="887">
        <f>VLOOKUP($I$8,'D_Ch-5-1'!$B$57:$O$105,MATCH("Industries",'D_Ch-5-1'!$B$57:$O$57,0),FALSE)</f>
        <v>33370</v>
      </c>
      <c r="L12" s="888"/>
      <c r="M12" s="864">
        <f>VLOOKUP($I$8,'D_Ch-5-1'!$B$107:$O$155,MATCH("Industries",'D_Ch-5-1'!$B$57:$O$57,0),FALSE)</f>
        <v>9.3766244713882299E-2</v>
      </c>
      <c r="N12" s="865"/>
      <c r="O12" s="324"/>
      <c r="P12" s="324"/>
      <c r="Q12" s="887">
        <f>VLOOKUP($O$8,'D_Ch-5-1'!$B$57:$O$105,MATCH("Industries",'D_Ch-5-1'!$B$57:$O$57,0),FALSE)</f>
        <v>80788</v>
      </c>
      <c r="R12" s="888"/>
      <c r="S12" s="864">
        <f>VLOOKUP($O$8,'D_Ch-5-1'!$B$107:$O$155,MATCH("Industries",'D_Ch-5-1'!$B$57:$O$57,0),FALSE)</f>
        <v>0.19290077028504846</v>
      </c>
      <c r="T12" s="865"/>
    </row>
    <row r="13" spans="1:22">
      <c r="A13" s="531" t="s">
        <v>510</v>
      </c>
      <c r="B13" s="532"/>
      <c r="C13" s="532"/>
      <c r="D13" s="532"/>
      <c r="E13" s="532"/>
      <c r="F13" s="532"/>
      <c r="G13" s="498"/>
      <c r="H13" s="414"/>
      <c r="I13" s="414"/>
      <c r="J13" s="415"/>
      <c r="K13" s="887">
        <f>VLOOKUP($I$8,'D_Ch-5-1'!$B$57:$O$105,MATCH("Construction",'D_Ch-5-1'!$B$57:$O$57,0),FALSE)</f>
        <v>19386</v>
      </c>
      <c r="L13" s="888"/>
      <c r="M13" s="864">
        <f>VLOOKUP($I$8,'D_Ch-5-1'!$B$107:$O$155,MATCH("Construction",'D_Ch-5-1'!$B$57:$O$57,0),FALSE)</f>
        <v>5.4472652682748639E-2</v>
      </c>
      <c r="N13" s="865"/>
      <c r="O13" s="324"/>
      <c r="P13" s="324"/>
      <c r="Q13" s="887">
        <f>VLOOKUP($O$8,'D_Ch-5-1'!$B$57:$O$105,MATCH("Construction",'D_Ch-5-1'!$B$57:$O$57,0),FALSE)</f>
        <v>27273</v>
      </c>
      <c r="R13" s="888"/>
      <c r="S13" s="864">
        <f>VLOOKUP($O$8,'D_Ch-5-1'!$B$107:$O$155,MATCH("Construction",'D_Ch-5-1'!$B$57:$O$57,0),FALSE)</f>
        <v>6.5120843540923484E-2</v>
      </c>
      <c r="T13" s="865"/>
    </row>
    <row r="14" spans="1:22">
      <c r="A14" s="531" t="s">
        <v>1135</v>
      </c>
      <c r="B14" s="532"/>
      <c r="C14" s="532"/>
      <c r="D14" s="532"/>
      <c r="E14" s="532"/>
      <c r="F14" s="532"/>
      <c r="G14" s="498"/>
      <c r="H14" s="414"/>
      <c r="I14" s="414"/>
      <c r="J14" s="415"/>
      <c r="K14" s="887">
        <f>VLOOKUP($I$8,'D_Ch-5-1'!$B$57:$O$105,MATCH("Commerce ; répar auto,moto",'D_Ch-5-1'!$B$57:$O$57,0),FALSE)</f>
        <v>44795</v>
      </c>
      <c r="L14" s="888"/>
      <c r="M14" s="864">
        <f>VLOOKUP($I$8,'D_Ch-5-1'!$B$107:$O$155,MATCH("Commerce ; répar auto,moto",'D_Ch-5-1'!$B$57:$O$57,0),FALSE)</f>
        <v>0.12586931171586327</v>
      </c>
      <c r="N14" s="865"/>
      <c r="O14" s="324"/>
      <c r="P14" s="324"/>
      <c r="Q14" s="887">
        <f>VLOOKUP($O$8,'D_Ch-5-1'!$B$57:$O$105,MATCH("Commerce ; répar auto,moto",'D_Ch-5-1'!$B$57:$O$57,0),FALSE)</f>
        <v>53276</v>
      </c>
      <c r="R14" s="888"/>
      <c r="S14" s="864">
        <f>VLOOKUP($O$8,'D_Ch-5-1'!$B$107:$O$155,MATCH("Commerce ; répar auto,moto",'D_Ch-5-1'!$B$57:$O$57,0),FALSE)</f>
        <v>0.12720925679192752</v>
      </c>
      <c r="T14" s="865"/>
    </row>
    <row r="15" spans="1:22">
      <c r="A15" s="531" t="s">
        <v>512</v>
      </c>
      <c r="B15" s="532"/>
      <c r="C15" s="532"/>
      <c r="D15" s="532"/>
      <c r="E15" s="532"/>
      <c r="F15" s="532"/>
      <c r="G15" s="498"/>
      <c r="H15" s="414"/>
      <c r="I15" s="414"/>
      <c r="J15" s="415"/>
      <c r="K15" s="887">
        <f>VLOOKUP($I$8,'D_Ch-5-1'!$B$57:$O$105,MATCH("Transports et entreposage",'D_Ch-5-1'!$B$57:$O$57,0),FALSE)</f>
        <v>23012</v>
      </c>
      <c r="L15" s="888"/>
      <c r="M15" s="864">
        <f>VLOOKUP($I$8,'D_Ch-5-1'!$B$107:$O$155,MATCH("Transports et entreposage",'D_Ch-5-1'!$B$57:$O$57,0),FALSE)</f>
        <v>6.4661337229723087E-2</v>
      </c>
      <c r="N15" s="865"/>
      <c r="O15" s="324"/>
      <c r="P15" s="324"/>
      <c r="Q15" s="887">
        <f>VLOOKUP($O$8,'D_Ch-5-1'!$B$57:$O$105,MATCH("Transports et entreposage",'D_Ch-5-1'!$B$57:$O$57,0),FALSE)</f>
        <v>22648</v>
      </c>
      <c r="R15" s="888"/>
      <c r="S15" s="864">
        <f>VLOOKUP($O$8,'D_Ch-5-1'!$B$107:$O$155,MATCH("Transports et entreposage",'D_Ch-5-1'!$B$57:$O$57,0),FALSE)</f>
        <v>5.4077544256768049E-2</v>
      </c>
      <c r="T15" s="865"/>
    </row>
    <row r="16" spans="1:22">
      <c r="A16" s="531" t="s">
        <v>513</v>
      </c>
      <c r="B16" s="532"/>
      <c r="C16" s="532"/>
      <c r="D16" s="532"/>
      <c r="E16" s="532"/>
      <c r="F16" s="532"/>
      <c r="G16" s="498"/>
      <c r="H16" s="414"/>
      <c r="I16" s="414"/>
      <c r="J16" s="415"/>
      <c r="K16" s="887">
        <f>VLOOKUP($I$8,'D_Ch-5-1'!$B$57:$O$105,MATCH("Hébergement et restauration",'D_Ch-5-1'!$B$57:$O$57,0),FALSE)</f>
        <v>15095</v>
      </c>
      <c r="L16" s="888"/>
      <c r="M16" s="864">
        <f>VLOOKUP($I$8,'D_Ch-5-1'!$B$107:$O$155,MATCH("Hébergement et restauration",'D_Ch-5-1'!$B$57:$O$57,0),FALSE)</f>
        <v>4.2415386992989308E-2</v>
      </c>
      <c r="N16" s="865"/>
      <c r="O16" s="324"/>
      <c r="P16" s="324"/>
      <c r="Q16" s="887">
        <f>VLOOKUP($O$8,'D_Ch-5-1'!$B$57:$O$105,MATCH("Hébergement et restauration",'D_Ch-5-1'!$B$57:$O$57,0),FALSE)</f>
        <v>15151</v>
      </c>
      <c r="R16" s="888"/>
      <c r="S16" s="864">
        <f>VLOOKUP($O$8,'D_Ch-5-1'!$B$107:$O$155,MATCH("Hébergement et restauration",'D_Ch-5-1'!$B$57:$O$57,0),FALSE)</f>
        <v>3.6176654584700312E-2</v>
      </c>
      <c r="T16" s="865"/>
    </row>
    <row r="17" spans="1:20">
      <c r="A17" s="531" t="s">
        <v>514</v>
      </c>
      <c r="B17" s="532"/>
      <c r="C17" s="532"/>
      <c r="D17" s="532"/>
      <c r="E17" s="532"/>
      <c r="F17" s="532"/>
      <c r="G17" s="498"/>
      <c r="H17" s="414"/>
      <c r="I17" s="414"/>
      <c r="J17" s="415"/>
      <c r="K17" s="887">
        <f>VLOOKUP($I$8,'D_Ch-5-1'!$B$57:$O$105,MATCH("Information et communication",'D_Ch-5-1'!$B$57:$O$57,0),FALSE)</f>
        <v>15931</v>
      </c>
      <c r="L17" s="888"/>
      <c r="M17" s="864">
        <f>VLOOKUP($I$8,'D_Ch-5-1'!$B$107:$O$155,MATCH("Information et communication",'D_Ch-5-1'!$B$57:$O$57,0),FALSE)</f>
        <v>4.4764460429633168E-2</v>
      </c>
      <c r="N17" s="865"/>
      <c r="O17" s="324"/>
      <c r="P17" s="324"/>
      <c r="Q17" s="887">
        <f>VLOOKUP($O$8,'D_Ch-5-1'!$B$57:$O$105,MATCH("Information et communication",'D_Ch-5-1'!$B$57:$O$57,0),FALSE)</f>
        <v>12898</v>
      </c>
      <c r="R17" s="888"/>
      <c r="S17" s="864">
        <f>VLOOKUP($O$8,'D_Ch-5-1'!$B$107:$O$155,MATCH("Information et communication",'D_Ch-5-1'!$B$57:$O$57,0),FALSE)</f>
        <v>3.0797075495575518E-2</v>
      </c>
      <c r="T17" s="865"/>
    </row>
    <row r="18" spans="1:20">
      <c r="A18" s="531" t="s">
        <v>515</v>
      </c>
      <c r="B18" s="532"/>
      <c r="C18" s="532"/>
      <c r="D18" s="532"/>
      <c r="E18" s="532"/>
      <c r="F18" s="532"/>
      <c r="G18" s="498"/>
      <c r="H18" s="414"/>
      <c r="I18" s="414"/>
      <c r="J18" s="415"/>
      <c r="K18" s="887">
        <f>VLOOKUP($I$8,'D_Ch-5-1'!$B$57:$O$105,MATCH("Activités financières et d'assurance",'D_Ch-5-1'!$B$57:$O$57,0),FALSE)</f>
        <v>17314</v>
      </c>
      <c r="L18" s="888"/>
      <c r="M18" s="864">
        <f>VLOOKUP($I$8,'D_Ch-5-1'!$B$107:$O$155,MATCH("Activités financières et d'assurance",'D_Ch-5-1'!$B$57:$O$57,0),FALSE)</f>
        <v>4.8650547227334674E-2</v>
      </c>
      <c r="N18" s="865"/>
      <c r="O18" s="324"/>
      <c r="P18" s="324"/>
      <c r="Q18" s="887">
        <f>VLOOKUP($O$8,'D_Ch-5-1'!$B$57:$O$105,MATCH("Activités financières et d'assurance",'D_Ch-5-1'!$B$57:$O$57,0),FALSE)</f>
        <v>10523</v>
      </c>
      <c r="R18" s="888"/>
      <c r="S18" s="864">
        <f>VLOOKUP($O$8,'D_Ch-5-1'!$B$107:$O$155,MATCH("Activités financières et d'assurance",'D_Ch-5-1'!$B$57:$O$57,0),FALSE)</f>
        <v>2.5126192079387592E-2</v>
      </c>
      <c r="T18" s="865"/>
    </row>
    <row r="19" spans="1:20">
      <c r="A19" s="531" t="s">
        <v>516</v>
      </c>
      <c r="B19" s="532"/>
      <c r="C19" s="532"/>
      <c r="D19" s="532"/>
      <c r="E19" s="532"/>
      <c r="F19" s="532"/>
      <c r="G19" s="498"/>
      <c r="H19" s="414"/>
      <c r="I19" s="414"/>
      <c r="J19" s="415"/>
      <c r="K19" s="887">
        <f>VLOOKUP($I$8,'D_Ch-5-1'!$B$57:$O$105,MATCH("Activités immobilières",'D_Ch-5-1'!$B$57:$O$57,0),FALSE)</f>
        <v>4719</v>
      </c>
      <c r="L19" s="888"/>
      <c r="M19" s="864">
        <f>VLOOKUP($I$8,'D_Ch-5-1'!$B$107:$O$155,MATCH("Activités immobilières",'D_Ch-5-1'!$B$57:$O$57,0),FALSE)</f>
        <v>1.3259901372634419E-2</v>
      </c>
      <c r="N19" s="865"/>
      <c r="O19" s="324"/>
      <c r="P19" s="324"/>
      <c r="Q19" s="887">
        <f>VLOOKUP($O$8,'D_Ch-5-1'!$B$57:$O$105,MATCH("Activités immobilières",'D_Ch-5-1'!$B$57:$O$57,0),FALSE)</f>
        <v>3779</v>
      </c>
      <c r="R19" s="888"/>
      <c r="S19" s="864">
        <f>VLOOKUP($O$8,'D_Ch-5-1'!$B$107:$O$155,MATCH("Activités immobilières",'D_Ch-5-1'!$B$57:$O$57,0),FALSE)</f>
        <v>9.0232709177996487E-3</v>
      </c>
      <c r="T19" s="865"/>
    </row>
    <row r="20" spans="1:20">
      <c r="A20" s="531" t="s">
        <v>1139</v>
      </c>
      <c r="B20" s="532"/>
      <c r="C20" s="532"/>
      <c r="D20" s="532"/>
      <c r="E20" s="532"/>
      <c r="F20" s="532"/>
      <c r="G20" s="498"/>
      <c r="H20" s="414"/>
      <c r="I20" s="414"/>
      <c r="J20" s="415"/>
      <c r="K20" s="887">
        <f>VLOOKUP($I$8,'D_Ch-5-1'!$B$57:$O$105,MATCH("Ac spé, sci &amp; tec, svces adm &amp; stn",'D_Ch-5-1'!$B$57:$O$57,0),FALSE)</f>
        <v>44093</v>
      </c>
      <c r="L20" s="888"/>
      <c r="M20" s="864">
        <f>VLOOKUP($I$8,'D_Ch-5-1'!$B$107:$O$155,MATCH("Ac spé, sci &amp; tec, svces adm &amp; stn",'D_Ch-5-1'!$B$57:$O$57,0),FALSE)</f>
        <v>0.12389676440423171</v>
      </c>
      <c r="N20" s="865"/>
      <c r="O20" s="324"/>
      <c r="P20" s="324"/>
      <c r="Q20" s="887">
        <f>VLOOKUP($O$8,'D_Ch-5-1'!$B$57:$O$105,MATCH("Ac spé, sci &amp; tec, svces adm &amp; stn",'D_Ch-5-1'!$B$57:$O$57,0),FALSE)</f>
        <v>47643</v>
      </c>
      <c r="R20" s="888"/>
      <c r="S20" s="864">
        <f>VLOOKUP($O$8,'D_Ch-5-1'!$B$107:$O$155,MATCH("Ac spé, sci &amp; tec, svces adm &amp; stn",'D_Ch-5-1'!$B$57:$O$57,0),FALSE)</f>
        <v>0.11375911519892265</v>
      </c>
      <c r="T20" s="865"/>
    </row>
    <row r="21" spans="1:20">
      <c r="A21" s="531" t="s">
        <v>1520</v>
      </c>
      <c r="B21" s="532"/>
      <c r="C21" s="532"/>
      <c r="D21" s="532"/>
      <c r="E21" s="532"/>
      <c r="F21" s="532"/>
      <c r="G21" s="498"/>
      <c r="H21" s="414"/>
      <c r="I21" s="414"/>
      <c r="J21" s="415"/>
      <c r="K21" s="887">
        <f>VLOOKUP($I$8,'D_Ch-5-1'!$B$57:$O$105,MATCH("Admin pub, enseign, santé &amp; act soc",'D_Ch-5-1'!$B$57:$O$57,0),FALSE)</f>
        <v>125019</v>
      </c>
      <c r="L21" s="888"/>
      <c r="M21" s="864">
        <f>VLOOKUP($I$8,'D_Ch-5-1'!$B$107:$O$155,MATCH("Admin pub, enseign, santé &amp; act soc",'D_Ch-5-1'!$B$57:$O$57,0),FALSE)</f>
        <v>0.35129044494710371</v>
      </c>
      <c r="N21" s="865"/>
      <c r="O21" s="324"/>
      <c r="P21" s="324"/>
      <c r="Q21" s="887">
        <f>VLOOKUP($O$8,'D_Ch-5-1'!$B$57:$O$105,MATCH("Admin pub, enseign, santé &amp; act soc",'D_Ch-5-1'!$B$57:$O$57,0),FALSE)</f>
        <v>130945</v>
      </c>
      <c r="R21" s="888"/>
      <c r="S21" s="864">
        <f>VLOOKUP($O$8,'D_Ch-5-1'!$B$107:$O$155,MATCH("Admin pub, enseign, santé &amp; act soc",'D_Ch-5-1'!$B$57:$O$57,0),FALSE)</f>
        <v>0.31266266481378013</v>
      </c>
      <c r="T21" s="865"/>
    </row>
    <row r="22" spans="1:20">
      <c r="A22" s="531" t="s">
        <v>519</v>
      </c>
      <c r="B22" s="532"/>
      <c r="C22" s="532"/>
      <c r="D22" s="532"/>
      <c r="E22" s="532"/>
      <c r="F22" s="532"/>
      <c r="G22" s="498"/>
      <c r="H22" s="414"/>
      <c r="I22" s="414"/>
      <c r="J22" s="415"/>
      <c r="K22" s="887">
        <f>VLOOKUP($I$8,'D_Ch-5-1'!$B$57:$O$105,MATCH("Autres activités de services",'D_Ch-5-1'!$B$57:$O$57,0),FALSE)</f>
        <v>12220</v>
      </c>
      <c r="L22" s="888"/>
      <c r="M22" s="864">
        <f>VLOOKUP($I$8,'D_Ch-5-1'!$B$107:$O$155,MATCH("Autres activités de services",'D_Ch-5-1'!$B$57:$O$57,0),FALSE)</f>
        <v>3.4336934683956898E-2</v>
      </c>
      <c r="N22" s="865"/>
      <c r="O22" s="324"/>
      <c r="P22" s="324"/>
      <c r="Q22" s="887">
        <f>VLOOKUP($O$8,'D_Ch-5-1'!$B$57:$O$105,MATCH("Autres activités de services",'D_Ch-5-1'!$B$57:$O$57,0),FALSE)</f>
        <v>12192</v>
      </c>
      <c r="R22" s="888"/>
      <c r="S22" s="864">
        <f>VLOOKUP($O$8,'D_Ch-5-1'!$B$107:$O$155,MATCH("Autres activités de services",'D_Ch-5-1'!$B$57:$O$57,0),FALSE)</f>
        <v>2.9111330783226603E-2</v>
      </c>
      <c r="T22" s="865"/>
    </row>
    <row r="23" spans="1:20">
      <c r="A23" s="435" t="s">
        <v>1435</v>
      </c>
      <c r="B23" s="495"/>
      <c r="C23" s="495"/>
      <c r="D23" s="495"/>
      <c r="E23" s="495"/>
      <c r="F23" s="495"/>
      <c r="G23" s="324"/>
      <c r="H23" s="324"/>
      <c r="I23" s="324"/>
      <c r="J23" s="324"/>
      <c r="K23" s="324"/>
      <c r="L23" s="324"/>
      <c r="M23" s="324"/>
      <c r="N23" s="324"/>
      <c r="O23" s="324"/>
      <c r="P23" s="324"/>
      <c r="Q23" s="324"/>
      <c r="R23" s="324"/>
      <c r="S23" s="324"/>
      <c r="T23" s="324"/>
    </row>
    <row r="24" spans="1:20">
      <c r="A24" s="324"/>
      <c r="B24" s="324"/>
      <c r="C24" s="324"/>
      <c r="D24" s="324"/>
      <c r="E24" s="324"/>
      <c r="F24" s="324"/>
      <c r="G24" s="324"/>
      <c r="H24" s="324"/>
      <c r="I24" s="324"/>
      <c r="J24" s="324"/>
      <c r="K24" s="324"/>
      <c r="L24" s="324"/>
      <c r="M24" s="324"/>
      <c r="N24" s="324"/>
      <c r="O24" s="324"/>
      <c r="P24" s="324"/>
      <c r="Q24" s="324"/>
      <c r="R24" s="324"/>
      <c r="S24" s="324"/>
      <c r="T24" s="324"/>
    </row>
    <row r="25" spans="1:20">
      <c r="A25" s="324"/>
      <c r="B25" s="324"/>
      <c r="C25" s="324"/>
      <c r="D25" s="324"/>
      <c r="E25" s="324"/>
      <c r="F25" s="324"/>
      <c r="G25" s="324"/>
      <c r="H25" s="324"/>
      <c r="I25" s="324"/>
      <c r="J25" s="324"/>
      <c r="K25" s="324"/>
      <c r="L25" s="324"/>
      <c r="M25" s="324"/>
      <c r="N25" s="324"/>
      <c r="O25" s="324"/>
      <c r="P25" s="324"/>
      <c r="Q25" s="324"/>
      <c r="R25" s="324"/>
      <c r="S25" s="324"/>
      <c r="T25" s="324"/>
    </row>
    <row r="26" spans="1:20">
      <c r="A26" s="324"/>
      <c r="B26" s="324"/>
      <c r="C26" s="324"/>
      <c r="D26" s="324"/>
      <c r="E26" s="324"/>
      <c r="F26" s="324"/>
      <c r="G26" s="324"/>
      <c r="H26" s="324"/>
      <c r="I26" s="324"/>
      <c r="J26" s="324"/>
      <c r="K26" s="324"/>
      <c r="L26" s="324"/>
      <c r="M26" s="324"/>
      <c r="N26" s="324"/>
      <c r="O26" s="416"/>
      <c r="P26" s="416"/>
      <c r="Q26" s="324"/>
      <c r="R26" s="324"/>
      <c r="S26" s="324"/>
      <c r="T26" s="324"/>
    </row>
    <row r="27" spans="1:20">
      <c r="A27" s="416"/>
      <c r="B27" s="533" t="s">
        <v>508</v>
      </c>
      <c r="C27" s="533" t="s">
        <v>509</v>
      </c>
      <c r="D27" s="533" t="s">
        <v>510</v>
      </c>
      <c r="E27" s="533" t="s">
        <v>1135</v>
      </c>
      <c r="F27" s="533" t="s">
        <v>512</v>
      </c>
      <c r="G27" s="533" t="s">
        <v>513</v>
      </c>
      <c r="H27" s="533" t="s">
        <v>514</v>
      </c>
      <c r="I27" s="533" t="s">
        <v>515</v>
      </c>
      <c r="J27" s="533" t="s">
        <v>516</v>
      </c>
      <c r="K27" s="533" t="s">
        <v>1521</v>
      </c>
      <c r="L27" s="533" t="s">
        <v>1520</v>
      </c>
      <c r="M27" s="533" t="s">
        <v>519</v>
      </c>
      <c r="N27" s="416"/>
      <c r="O27" s="324"/>
      <c r="P27" s="324"/>
      <c r="Q27" s="324"/>
      <c r="R27" s="324"/>
      <c r="S27" s="324"/>
      <c r="T27" s="324"/>
    </row>
    <row r="28" spans="1:20">
      <c r="A28" s="416" t="str">
        <f>I8</f>
        <v>Bx Métropole</v>
      </c>
      <c r="B28" s="416">
        <f>VLOOKUP($I$8,'D_Ch-5-1'!$B$158:$O$206,MATCH("Agriculture",'D_Ch-5-1'!$B$158:$O$158,0),FALSE)</f>
        <v>0.23358761427068483</v>
      </c>
      <c r="C28" s="416">
        <f>VLOOKUP($I$8,'D_Ch-5-1'!$B$158:$O$206,MATCH("Industries",'D_Ch-5-1'!$B$158:$O$158,0),FALSE)</f>
        <v>0.65964132066818193</v>
      </c>
      <c r="D28" s="416">
        <f>VLOOKUP($I$8,'D_Ch-5-1'!$B$158:$O$206,MATCH("Construction",'D_Ch-5-1'!$B$158:$O$158,0),FALSE)</f>
        <v>0.88244218853491529</v>
      </c>
      <c r="E28" s="416">
        <f>VLOOKUP($I$8,'D_Ch-5-1'!$B$158:$O$206,MATCH("Commerce ; répar auto,moto",'D_Ch-5-1'!$B$158:$O$158,0),FALSE)</f>
        <v>0.92945657540757221</v>
      </c>
      <c r="F28" s="416">
        <f>VLOOKUP($I$8,'D_Ch-5-1'!$B$158:$O$206,MATCH("Transports et entreposage",'D_Ch-5-1'!$B$158:$O$158,0),FALSE)</f>
        <v>1.0767737881842427</v>
      </c>
      <c r="G28" s="416">
        <f>VLOOKUP($I$8,'D_Ch-5-1'!$B$158:$O$206,MATCH("Hébergement et restauration",'D_Ch-5-1'!$B$158:$O$158,0),FALSE)</f>
        <v>1.0101399992104232</v>
      </c>
      <c r="H28" s="416">
        <f>VLOOKUP($I$8,'D_Ch-5-1'!$B$158:$O$206,MATCH("Information et communication",'D_Ch-5-1'!$B$158:$O$158,0),FALSE)</f>
        <v>1.4231451390289831</v>
      </c>
      <c r="I28" s="416">
        <f>VLOOKUP($I$8,'D_Ch-5-1'!$B$158:$O$206,MATCH("Activités financières et d'assurance",'D_Ch-5-1'!$B$158:$O$158,0),FALSE)</f>
        <v>1.2916173592903917</v>
      </c>
      <c r="J28" s="416">
        <f>VLOOKUP($I$8,'D_Ch-5-1'!$B$158:$O$206,MATCH("Activités immobilières",'D_Ch-5-1'!$B$158:$O$158,0),FALSE)</f>
        <v>1.2771564978021717</v>
      </c>
      <c r="K28" s="416">
        <f>VLOOKUP($I$8,'D_Ch-5-1'!$B$158:$O$206,MATCH("Ac spé, sci &amp; tec, svces adm &amp; stn",'D_Ch-5-1'!$B$158:$O$158,0),FALSE)</f>
        <v>1.1228490647985616</v>
      </c>
      <c r="L28" s="416">
        <f>VLOOKUP($I$8,'D_Ch-5-1'!$B$158:$O$206,MATCH("Admin pub, enseign, santé &amp; act soc",'D_Ch-5-1'!$B$158:$O$158,0),FALSE)</f>
        <v>1.0894587697144082</v>
      </c>
      <c r="M28" s="416">
        <f>VLOOKUP($I$8,'D_Ch-5-1'!$B$158:$O$206,MATCH("Autres activités de services",'D_Ch-5-1'!$B$158:$O$158,0),FALSE)</f>
        <v>0.97627976705281316</v>
      </c>
      <c r="N28" s="416"/>
      <c r="O28" s="324"/>
      <c r="P28" s="324"/>
      <c r="Q28" s="324"/>
      <c r="R28" s="324"/>
      <c r="S28" s="324"/>
      <c r="T28" s="324"/>
    </row>
    <row r="29" spans="1:20">
      <c r="A29" s="416" t="str">
        <f>O8</f>
        <v>Isère</v>
      </c>
      <c r="B29" s="416">
        <f>VLOOKUP($O$8,'D_Ch-5-1'!$B$158:$O$206,MATCH("Agriculture",'D_Ch-5-1'!$B$158:$O$158,0),FALSE)</f>
        <v>0.36031606280194578</v>
      </c>
      <c r="C29" s="416">
        <f>VLOOKUP($O$8,'D_Ch-5-1'!$B$158:$O$206,MATCH("Industries",'D_Ch-5-1'!$B$158:$O$158,0),FALSE)</f>
        <v>1.3570482560863397</v>
      </c>
      <c r="D29" s="416">
        <f>VLOOKUP($O$8,'D_Ch-5-1'!$B$158:$O$206,MATCH("Construction",'D_Ch-5-1'!$B$158:$O$158,0),FALSE)</f>
        <v>1.0549399903135519</v>
      </c>
      <c r="E29" s="416">
        <f>VLOOKUP($O$8,'D_Ch-5-1'!$B$158:$O$206,MATCH("Commerce ; répar auto,moto",'D_Ch-5-1'!$B$158:$O$158,0),FALSE)</f>
        <v>0.93935112988360148</v>
      </c>
      <c r="F29" s="416">
        <f>VLOOKUP($O$8,'D_Ch-5-1'!$B$158:$O$206,MATCH("Transports et entreposage",'D_Ch-5-1'!$B$158:$O$158,0),FALSE)</f>
        <v>0.90052703330568817</v>
      </c>
      <c r="G29" s="416">
        <f>VLOOKUP($O$8,'D_Ch-5-1'!$B$158:$O$206,MATCH("Hébergement et restauration",'D_Ch-5-1'!$B$158:$O$158,0),FALSE)</f>
        <v>0.861562004365658</v>
      </c>
      <c r="H29" s="416">
        <f>VLOOKUP($O$8,'D_Ch-5-1'!$B$158:$O$206,MATCH("Information et communication",'D_Ch-5-1'!$B$158:$O$158,0),FALSE)</f>
        <v>0.97909609246229612</v>
      </c>
      <c r="I29" s="416">
        <f>VLOOKUP($O$8,'D_Ch-5-1'!$B$158:$O$206,MATCH("Activités financières et d'assurance",'D_Ch-5-1'!$B$158:$O$158,0),FALSE)</f>
        <v>0.66707216490193055</v>
      </c>
      <c r="J29" s="416">
        <f>VLOOKUP($O$8,'D_Ch-5-1'!$B$158:$O$206,MATCH("Activités immobilières",'D_Ch-5-1'!$B$158:$O$158,0),FALSE)</f>
        <v>0.8690961388204973</v>
      </c>
      <c r="K29" s="416">
        <f>VLOOKUP($O$8,'D_Ch-5-1'!$B$158:$O$206,MATCH("Ac spé, sci &amp; tec, svces adm &amp; stn",'D_Ch-5-1'!$B$158:$O$158,0),FALSE)</f>
        <v>1.0309737847283069</v>
      </c>
      <c r="L29" s="416">
        <f>VLOOKUP($O$8,'D_Ch-5-1'!$B$158:$O$206,MATCH("Admin pub, enseign, santé &amp; act soc",'D_Ch-5-1'!$B$158:$O$158,0),FALSE)</f>
        <v>0.96966224684802016</v>
      </c>
      <c r="M29" s="416">
        <f>VLOOKUP($O$8,'D_Ch-5-1'!$B$158:$O$206,MATCH("Autres activités de services",'D_Ch-5-1'!$B$158:$O$158,0),FALSE)</f>
        <v>0.82770356460866001</v>
      </c>
      <c r="N29" s="416"/>
      <c r="O29" s="324"/>
      <c r="P29" s="324"/>
      <c r="Q29" s="324"/>
      <c r="R29" s="324"/>
      <c r="S29" s="324"/>
      <c r="T29" s="324"/>
    </row>
    <row r="30" spans="1:20">
      <c r="A30" s="324"/>
      <c r="B30" s="324"/>
      <c r="C30" s="324"/>
      <c r="D30" s="324"/>
      <c r="E30" s="495"/>
      <c r="F30" s="495"/>
      <c r="G30" s="324"/>
      <c r="H30" s="324"/>
      <c r="I30" s="324"/>
      <c r="J30" s="324"/>
      <c r="K30" s="324"/>
      <c r="L30" s="324"/>
      <c r="M30" s="324"/>
      <c r="N30" s="324"/>
      <c r="O30" s="324"/>
      <c r="P30" s="324"/>
      <c r="Q30" s="324"/>
      <c r="R30" s="324"/>
      <c r="S30" s="324"/>
      <c r="T30" s="324"/>
    </row>
    <row r="31" spans="1:20">
      <c r="A31" s="324"/>
      <c r="B31" s="324"/>
      <c r="C31" s="324"/>
      <c r="D31" s="324"/>
      <c r="E31" s="324"/>
      <c r="F31" s="324"/>
      <c r="G31" s="324"/>
      <c r="H31" s="324"/>
      <c r="I31" s="324"/>
      <c r="J31" s="324"/>
      <c r="K31" s="324"/>
      <c r="L31" s="324"/>
      <c r="M31" s="324"/>
      <c r="N31" s="324"/>
      <c r="O31" s="416"/>
      <c r="P31" s="416"/>
      <c r="Q31" s="324"/>
      <c r="R31" s="324"/>
      <c r="S31" s="324"/>
      <c r="T31" s="324"/>
    </row>
    <row r="32" spans="1:20">
      <c r="A32" s="324"/>
      <c r="B32" s="324"/>
      <c r="C32" s="324"/>
      <c r="D32" s="324"/>
      <c r="E32" s="324"/>
      <c r="F32" s="324"/>
      <c r="G32" s="324"/>
      <c r="H32" s="324"/>
      <c r="I32" s="324"/>
      <c r="J32" s="324"/>
      <c r="K32" s="324"/>
      <c r="L32" s="324"/>
      <c r="M32" s="324"/>
      <c r="N32" s="324"/>
      <c r="O32" s="324"/>
      <c r="P32" s="324"/>
      <c r="Q32" s="324"/>
      <c r="R32" s="324"/>
      <c r="S32" s="324"/>
      <c r="T32" s="324"/>
    </row>
    <row r="33" spans="1:20">
      <c r="A33" s="324"/>
      <c r="B33" s="324"/>
      <c r="C33" s="324"/>
      <c r="D33" s="324"/>
      <c r="E33" s="324"/>
      <c r="F33" s="324"/>
      <c r="G33" s="324"/>
      <c r="H33" s="324"/>
      <c r="I33" s="324"/>
      <c r="J33" s="324"/>
      <c r="K33" s="324"/>
      <c r="L33" s="324"/>
      <c r="M33" s="324"/>
      <c r="N33" s="324"/>
      <c r="O33" s="324"/>
      <c r="P33" s="324"/>
      <c r="Q33" s="324"/>
      <c r="R33" s="324"/>
      <c r="S33" s="324"/>
      <c r="T33" s="324"/>
    </row>
    <row r="34" spans="1:20">
      <c r="A34" s="324"/>
      <c r="B34" s="324"/>
      <c r="C34" s="324"/>
      <c r="D34" s="324"/>
      <c r="E34" s="324"/>
      <c r="F34" s="324"/>
      <c r="G34" s="324"/>
      <c r="H34" s="324"/>
      <c r="I34" s="324"/>
      <c r="J34" s="324"/>
      <c r="K34" s="324"/>
      <c r="L34" s="324"/>
      <c r="M34" s="324"/>
      <c r="N34" s="324"/>
      <c r="O34" s="324"/>
      <c r="P34" s="324"/>
      <c r="Q34" s="324"/>
      <c r="R34" s="324"/>
      <c r="S34" s="324"/>
      <c r="T34" s="324"/>
    </row>
    <row r="35" spans="1:20">
      <c r="A35" s="324"/>
      <c r="B35" s="324"/>
      <c r="C35" s="324"/>
      <c r="D35" s="324"/>
      <c r="E35" s="324"/>
      <c r="F35" s="324"/>
      <c r="G35" s="324"/>
      <c r="H35" s="324"/>
      <c r="I35" s="324"/>
      <c r="J35" s="324"/>
      <c r="K35" s="324"/>
      <c r="L35" s="324"/>
      <c r="M35" s="324"/>
      <c r="N35" s="324"/>
      <c r="O35" s="324"/>
      <c r="P35" s="324"/>
      <c r="Q35" s="324"/>
      <c r="R35" s="324"/>
      <c r="S35" s="324"/>
      <c r="T35" s="324"/>
    </row>
    <row r="36" spans="1:20">
      <c r="A36" s="435" t="s">
        <v>887</v>
      </c>
      <c r="B36" s="435"/>
      <c r="C36" s="435"/>
      <c r="D36" s="435"/>
      <c r="E36" s="435"/>
      <c r="F36" s="324"/>
      <c r="G36" s="324"/>
      <c r="H36" s="324"/>
      <c r="I36" s="324"/>
      <c r="J36" s="324"/>
      <c r="K36" s="324"/>
      <c r="L36" s="324"/>
      <c r="M36" s="324"/>
      <c r="N36" s="324"/>
      <c r="O36" s="324"/>
      <c r="P36" s="324"/>
      <c r="Q36" s="324"/>
      <c r="R36" s="324"/>
      <c r="S36" s="324"/>
      <c r="T36" s="324"/>
    </row>
    <row r="37" spans="1:20" ht="13.5" customHeight="1">
      <c r="A37" s="324"/>
      <c r="B37" s="587"/>
      <c r="C37" s="587"/>
      <c r="D37" s="587"/>
      <c r="E37" s="613"/>
      <c r="F37" s="894" t="str">
        <f>I8</f>
        <v>Bx Métropole</v>
      </c>
      <c r="G37" s="894"/>
      <c r="H37" s="894"/>
      <c r="I37" s="894"/>
      <c r="J37" s="894"/>
      <c r="K37" s="894"/>
      <c r="L37" s="807"/>
      <c r="M37" s="807"/>
      <c r="N37" s="896" t="str">
        <f>O8</f>
        <v>Isère</v>
      </c>
      <c r="O37" s="896"/>
      <c r="P37" s="896"/>
      <c r="Q37" s="896"/>
      <c r="R37" s="896"/>
      <c r="S37" s="896"/>
      <c r="T37" s="613"/>
    </row>
    <row r="38" spans="1:20" s="228" customFormat="1" ht="28.5" customHeight="1">
      <c r="A38" s="534"/>
      <c r="B38" s="534"/>
      <c r="C38" s="534"/>
      <c r="D38" s="534"/>
      <c r="E38" s="892" t="s">
        <v>1962</v>
      </c>
      <c r="F38" s="893"/>
      <c r="G38" s="892" t="s">
        <v>1963</v>
      </c>
      <c r="H38" s="895"/>
      <c r="I38" s="893"/>
      <c r="J38" s="892" t="s">
        <v>1682</v>
      </c>
      <c r="K38" s="895"/>
      <c r="L38" s="893"/>
      <c r="M38" s="892" t="s">
        <v>1962</v>
      </c>
      <c r="N38" s="893"/>
      <c r="O38" s="892" t="s">
        <v>1963</v>
      </c>
      <c r="P38" s="895"/>
      <c r="Q38" s="893"/>
      <c r="R38" s="892" t="s">
        <v>1682</v>
      </c>
      <c r="S38" s="895"/>
      <c r="T38" s="893"/>
    </row>
    <row r="39" spans="1:20" s="228" customFormat="1" ht="12">
      <c r="A39" s="497" t="s">
        <v>724</v>
      </c>
      <c r="B39" s="535"/>
      <c r="C39" s="535"/>
      <c r="D39" s="498"/>
      <c r="E39" s="887">
        <f>VLOOKUP($I$8,'D_Ch5-2'!$B$58:$J$106,MATCH("Agriculture",'D_Ch5-2'!$B$58:$J$58,0),FALSE)</f>
        <v>15</v>
      </c>
      <c r="F39" s="888">
        <f>VLOOKUP($I$8,'D_Ch5-2'!$B$58:$J$106,MATCH("Agriculture",'D_Ch5-2'!$B$58:$J$58,0),FALSE)</f>
        <v>15</v>
      </c>
      <c r="G39" s="901">
        <f>VLOOKUP($I$8,'D_Ch5-2'!$B$58:$S$106,MATCH("% Agriculture",'D_Ch5-2'!$B$58:$S$58,0),FALSE)</f>
        <v>5.2194609340747288E-5</v>
      </c>
      <c r="H39" s="902"/>
      <c r="I39" s="903"/>
      <c r="J39" s="897" t="str">
        <f>VLOOKUP($I$8,'D_Ch5-2'!$B$113:$Q$161,MATCH("MA Agric",'D_Ch5-2'!$B$113:$Q$113,0),FALSE)</f>
        <v>NC</v>
      </c>
      <c r="K39" s="898"/>
      <c r="L39" s="898"/>
      <c r="M39" s="905">
        <f>VLOOKUP($O$8,'D_Ch5-2'!$B$58:$J$106,MATCH("Agriculture",'D_Ch5-2'!$B$58:$J$58,0),FALSE)</f>
        <v>21</v>
      </c>
      <c r="N39" s="888">
        <f>VLOOKUP($I$8,'D_Ch5-2'!$B$58:$J$106,MATCH("Agriculture",'D_Ch5-2'!$B$58:$J$58,0),FALSE)</f>
        <v>15</v>
      </c>
      <c r="O39" s="899">
        <f>VLOOKUP($O$8,'D_Ch5-2'!$B$58:$S$106,MATCH("% Agriculture",'D_Ch5-2'!$B$58:$S$58,0),FALSE)</f>
        <v>6.2122090615422839E-5</v>
      </c>
      <c r="P39" s="900"/>
      <c r="Q39" s="900"/>
      <c r="R39" s="897" t="str">
        <f>VLOOKUP($O$8,'D_Ch5-2'!$B$113:$Q$161,MATCH("MA Agric",'D_Ch5-2'!$B$113:$Q$113,0),FALSE)</f>
        <v>NC</v>
      </c>
      <c r="S39" s="898"/>
      <c r="T39" s="898"/>
    </row>
    <row r="40" spans="1:20" s="228" customFormat="1" ht="12">
      <c r="A40" s="497" t="s">
        <v>726</v>
      </c>
      <c r="B40" s="498"/>
      <c r="C40" s="498"/>
      <c r="D40" s="498"/>
      <c r="E40" s="887">
        <f>VLOOKUP($I$8,'D_Ch5-2'!$B$58:$J$106,MATCH("Industrie",'D_Ch5-2'!$B$58:$J$58,0),FALSE)</f>
        <v>31614</v>
      </c>
      <c r="F40" s="888">
        <f>VLOOKUP($I$8,'D_Ch5-2'!$B$58:$J$106,MATCH("Agriculture",'D_Ch5-2'!$B$58:$J$58,0),FALSE)</f>
        <v>15</v>
      </c>
      <c r="G40" s="899">
        <f>VLOOKUP($I$8,'D_Ch5-2'!$B$58:$S$106,MATCH("% Industrie",'D_Ch5-2'!$B$58:$S$58,0),FALSE)</f>
        <v>0.11000535864655898</v>
      </c>
      <c r="H40" s="900"/>
      <c r="I40" s="904"/>
      <c r="J40" s="897">
        <f>VLOOKUP($I$8,'D_Ch5-2'!$B$113:$Q$161,MATCH("MA Industrie",'D_Ch5-2'!$B$113:$Q$113,0),FALSE)</f>
        <v>-5.1780518650896513E-3</v>
      </c>
      <c r="K40" s="898"/>
      <c r="L40" s="898"/>
      <c r="M40" s="905">
        <f>VLOOKUP($O$8,'D_Ch5-2'!$B$58:$J$106,MATCH("Industrie",'D_Ch5-2'!$B$58:$J$58,0),FALSE)</f>
        <v>80055</v>
      </c>
      <c r="N40" s="888">
        <f>VLOOKUP($I$8,'D_Ch5-2'!$B$58:$J$106,MATCH("Agriculture",'D_Ch5-2'!$B$58:$J$58,0),FALSE)</f>
        <v>15</v>
      </c>
      <c r="O40" s="899">
        <f>VLOOKUP($O$8,'D_Ch5-2'!$B$58:$S$106,MATCH("% Industrie",'D_Ch5-2'!$B$58:$S$58,0),FALSE)</f>
        <v>0.2368182840103655</v>
      </c>
      <c r="P40" s="900"/>
      <c r="Q40" s="900"/>
      <c r="R40" s="897">
        <f>VLOOKUP($O$8,'D_Ch5-2'!$B$113:$Q$161,MATCH("MA Industrie",'D_Ch5-2'!$B$113:$Q$113,0),FALSE)</f>
        <v>-1.7713808817430305E-2</v>
      </c>
      <c r="S40" s="898"/>
      <c r="T40" s="898"/>
    </row>
    <row r="41" spans="1:20" s="228" customFormat="1" ht="12">
      <c r="A41" s="497" t="s">
        <v>510</v>
      </c>
      <c r="B41" s="498"/>
      <c r="C41" s="498"/>
      <c r="D41" s="498"/>
      <c r="E41" s="887">
        <f>VLOOKUP($I$8,'D_Ch5-2'!$B$58:$J$106,MATCH("Construction",'D_Ch5-2'!$B$58:$J$58,0),FALSE)</f>
        <v>19730</v>
      </c>
      <c r="F41" s="888">
        <f>VLOOKUP($I$8,'D_Ch5-2'!$B$58:$J$106,MATCH("Agriculture",'D_Ch5-2'!$B$58:$J$58,0),FALSE)</f>
        <v>15</v>
      </c>
      <c r="G41" s="899">
        <f>VLOOKUP($I$8,'D_Ch5-2'!$B$58:$S$106,MATCH("% Construction",'D_Ch5-2'!$B$58:$S$58,0),FALSE)</f>
        <v>6.865330948619626E-2</v>
      </c>
      <c r="H41" s="900"/>
      <c r="I41" s="904"/>
      <c r="J41" s="897">
        <f>VLOOKUP($I$8,'D_Ch5-2'!$B$113:$Q$161,MATCH("MA Construction",'D_Ch5-2'!$B$113:$Q$113,0),FALSE)</f>
        <v>-7.7206040173687955E-3</v>
      </c>
      <c r="K41" s="898"/>
      <c r="L41" s="898"/>
      <c r="M41" s="905">
        <f>VLOOKUP($O$8,'D_Ch5-2'!$B$58:$J$106,MATCH("Construction",'D_Ch5-2'!$B$58:$J$58,0),FALSE)</f>
        <v>27015</v>
      </c>
      <c r="N41" s="888">
        <f>VLOOKUP($I$8,'D_Ch5-2'!$B$58:$J$106,MATCH("Agriculture",'D_Ch5-2'!$B$58:$J$58,0),FALSE)</f>
        <v>15</v>
      </c>
      <c r="O41" s="899">
        <f>VLOOKUP($O$8,'D_Ch5-2'!$B$58:$S$106,MATCH("% Construction",'D_Ch5-2'!$B$58:$S$58,0),FALSE)</f>
        <v>7.9915632284554672E-2</v>
      </c>
      <c r="P41" s="900"/>
      <c r="Q41" s="900"/>
      <c r="R41" s="897">
        <f>VLOOKUP($O$8,'D_Ch5-2'!$B$113:$Q$161,MATCH("MA Construction",'D_Ch5-2'!$B$113:$Q$113,0),FALSE)</f>
        <v>-1.2219573404229958E-2</v>
      </c>
      <c r="S41" s="898"/>
      <c r="T41" s="898"/>
    </row>
    <row r="42" spans="1:20" s="228" customFormat="1" ht="12">
      <c r="A42" s="497" t="s">
        <v>725</v>
      </c>
      <c r="B42" s="498"/>
      <c r="C42" s="498"/>
      <c r="D42" s="498"/>
      <c r="E42" s="887">
        <f>VLOOKUP($I$8,'D_Ch5-2'!$B$58:$J$106,MATCH("Commerce",'D_Ch5-2'!$B$58:$J$58,0),FALSE)</f>
        <v>45932</v>
      </c>
      <c r="F42" s="888">
        <f>VLOOKUP($I$8,'D_Ch5-2'!$B$58:$J$106,MATCH("Agriculture",'D_Ch5-2'!$B$58:$J$58,0),FALSE)</f>
        <v>15</v>
      </c>
      <c r="G42" s="899">
        <f>VLOOKUP($I$8,'D_Ch5-2'!$B$58:$S$106,MATCH("% Commerce",'D_Ch5-2'!$B$58:$S$58,0),FALSE)</f>
        <v>0.15982685308261363</v>
      </c>
      <c r="H42" s="900"/>
      <c r="I42" s="904"/>
      <c r="J42" s="897">
        <f>VLOOKUP($I$8,'D_Ch5-2'!$B$113:$Q$161,MATCH("MA Commerce",'D_Ch5-2'!$B$113:$Q$113,0),FALSE)</f>
        <v>1.4452253442003001E-3</v>
      </c>
      <c r="K42" s="898"/>
      <c r="L42" s="898"/>
      <c r="M42" s="905">
        <f>VLOOKUP($O$8,'D_Ch5-2'!$B$58:$J$106,MATCH("Commerce",'D_Ch5-2'!$B$58:$J$58,0),FALSE)</f>
        <v>53551</v>
      </c>
      <c r="N42" s="888">
        <f>VLOOKUP($I$8,'D_Ch5-2'!$B$58:$J$106,MATCH("Agriculture",'D_Ch5-2'!$B$58:$J$58,0),FALSE)</f>
        <v>15</v>
      </c>
      <c r="O42" s="899">
        <f>VLOOKUP($O$8,'D_Ch5-2'!$B$58:$S$106,MATCH("% Commerce",'D_Ch5-2'!$B$58:$S$58,0),FALSE)</f>
        <v>0.15841428926411946</v>
      </c>
      <c r="P42" s="900"/>
      <c r="Q42" s="900"/>
      <c r="R42" s="897">
        <f>VLOOKUP($O$8,'D_Ch5-2'!$B$113:$Q$161,MATCH("MA Commerce",'D_Ch5-2'!$B$113:$Q$113,0),FALSE)</f>
        <v>-7.102494882086851E-4</v>
      </c>
      <c r="S42" s="898"/>
      <c r="T42" s="898"/>
    </row>
    <row r="43" spans="1:20" s="228" customFormat="1" ht="12">
      <c r="A43" s="497" t="s">
        <v>727</v>
      </c>
      <c r="B43" s="498"/>
      <c r="C43" s="498"/>
      <c r="D43" s="498"/>
      <c r="E43" s="887">
        <f>VLOOKUP($I$8,'D_Ch5-2'!$B$58:$J$106,MATCH("Service",'D_Ch5-2'!$B$58:$J$58,0),FALSE)</f>
        <v>180341</v>
      </c>
      <c r="F43" s="888">
        <f>VLOOKUP($I$8,'D_Ch5-2'!$B$58:$J$106,MATCH("Agriculture",'D_Ch5-2'!$B$58:$J$58,0),FALSE)</f>
        <v>15</v>
      </c>
      <c r="G43" s="899">
        <f>VLOOKUP($I$8,'D_Ch5-2'!$B$58:$S$106,MATCH("% Service",'D_Ch5-2'!$B$58:$S$58,0),FALSE)</f>
        <v>0.62752186954131373</v>
      </c>
      <c r="H43" s="900"/>
      <c r="I43" s="904"/>
      <c r="J43" s="897">
        <f>VLOOKUP($I$8,'D_Ch5-2'!$B$113:$Q$161,MATCH("MA Service",'D_Ch5-2'!$B$113:$Q$113,0),FALSE)</f>
        <v>1.357763220290167E-2</v>
      </c>
      <c r="K43" s="898"/>
      <c r="L43" s="898"/>
      <c r="M43" s="905">
        <f>VLOOKUP($O$8,'D_Ch5-2'!$B$58:$J$106,MATCH("Service",'D_Ch5-2'!$B$58:$J$58,0),FALSE)</f>
        <v>170618</v>
      </c>
      <c r="N43" s="888">
        <f>VLOOKUP($I$8,'D_Ch5-2'!$B$58:$J$106,MATCH("Agriculture",'D_Ch5-2'!$B$58:$J$58,0),FALSE)</f>
        <v>15</v>
      </c>
      <c r="O43" s="899">
        <f>VLOOKUP($O$8,'D_Ch5-2'!$B$58:$S$106,MATCH("% Service",'D_Ch5-2'!$B$58:$S$58,0),FALSE)</f>
        <v>0.5047212788867721</v>
      </c>
      <c r="P43" s="900"/>
      <c r="Q43" s="900"/>
      <c r="R43" s="897">
        <f>VLOOKUP($O$8,'D_Ch5-2'!$B$113:$Q$161,MATCH("MA Service",'D_Ch5-2'!$B$113:$Q$113,0),FALSE)</f>
        <v>8.3851656004723732E-3</v>
      </c>
      <c r="S43" s="898"/>
      <c r="T43" s="898"/>
    </row>
    <row r="44" spans="1:20" s="228" customFormat="1" ht="12">
      <c r="A44" s="497" t="s">
        <v>1522</v>
      </c>
      <c r="B44" s="498"/>
      <c r="C44" s="498"/>
      <c r="D44" s="498"/>
      <c r="E44" s="887">
        <f>VLOOKUP($I$8,'D_Ch5-2'!$B$58:$J$106,MATCH("Support service public",'D_Ch5-2'!$B$58:$J$58,0),FALSE)</f>
        <v>9751</v>
      </c>
      <c r="F44" s="888">
        <f>VLOOKUP($I$8,'D_Ch5-2'!$B$58:$J$106,MATCH("Agriculture",'D_Ch5-2'!$B$58:$J$58,0),FALSE)</f>
        <v>15</v>
      </c>
      <c r="G44" s="907">
        <f>VLOOKUP($I$8,'D_Ch5-2'!$B$58:$S$106,MATCH("%Support service public",'D_Ch5-2'!$B$58:$S$58,0),FALSE)</f>
        <v>3.3929975712108457E-2</v>
      </c>
      <c r="H44" s="908"/>
      <c r="I44" s="912"/>
      <c r="J44" s="909">
        <f>VLOOKUP($I$8,'D_Ch5-2'!$B$113:$Q$161,MATCH("MA Support service public",'D_Ch5-2'!$B$113:$Q$113,0),FALSE)</f>
        <v>3.1000433351767082E-3</v>
      </c>
      <c r="K44" s="910"/>
      <c r="L44" s="911"/>
      <c r="M44" s="905">
        <f>VLOOKUP($O$8,'D_Ch5-2'!$B$58:$J$106,MATCH("Support service public",'D_Ch5-2'!$B$58:$J$58,0),FALSE)</f>
        <v>6779</v>
      </c>
      <c r="N44" s="888">
        <f>VLOOKUP($I$8,'D_Ch5-2'!$B$58:$J$106,MATCH("Agriculture",'D_Ch5-2'!$B$58:$J$58,0),FALSE)</f>
        <v>15</v>
      </c>
      <c r="O44" s="907">
        <f>VLOOKUP($O$8,'D_Ch5-2'!$B$58:$S$106,MATCH("%Support service public",'D_Ch5-2'!$B$58:$S$58,0),FALSE)</f>
        <v>2.0053602489616736E-2</v>
      </c>
      <c r="P44" s="908"/>
      <c r="Q44" s="908"/>
      <c r="R44" s="909">
        <f>VLOOKUP($O$8,'D_Ch5-2'!$B$113:$Q$161,MATCH("MA Support service public",'D_Ch5-2'!$B$113:$Q$113,0),FALSE)</f>
        <v>-1.2843131196852096E-2</v>
      </c>
      <c r="S44" s="910"/>
      <c r="T44" s="911"/>
    </row>
    <row r="45" spans="1:20" s="344" customFormat="1">
      <c r="A45" s="536" t="s">
        <v>1481</v>
      </c>
      <c r="B45" s="324"/>
      <c r="C45" s="537"/>
      <c r="D45" s="537"/>
      <c r="E45" s="538"/>
      <c r="F45" s="538"/>
      <c r="G45" s="539"/>
      <c r="H45" s="539"/>
      <c r="I45" s="539"/>
      <c r="J45" s="539"/>
      <c r="K45" s="539"/>
      <c r="L45" s="539"/>
      <c r="M45" s="538"/>
      <c r="N45" s="538"/>
      <c r="O45" s="540"/>
      <c r="P45" s="540"/>
      <c r="Q45" s="540"/>
      <c r="R45" s="539"/>
      <c r="S45" s="539"/>
      <c r="T45" s="539"/>
    </row>
    <row r="46" spans="1:20">
      <c r="A46" s="620" t="s">
        <v>1683</v>
      </c>
      <c r="B46" s="324"/>
      <c r="C46" s="324"/>
      <c r="D46" s="324"/>
      <c r="E46" s="324"/>
      <c r="F46" s="324"/>
      <c r="G46" s="324"/>
      <c r="H46" s="324"/>
      <c r="I46" s="324"/>
      <c r="J46" s="324"/>
      <c r="K46" s="324"/>
      <c r="L46" s="324"/>
      <c r="M46" s="487"/>
      <c r="N46" s="487"/>
      <c r="O46" s="324"/>
      <c r="P46" s="324"/>
      <c r="Q46" s="324"/>
      <c r="R46" s="324"/>
      <c r="S46" s="324"/>
      <c r="T46" s="324"/>
    </row>
    <row r="47" spans="1:20">
      <c r="A47" s="624"/>
      <c r="B47" s="624"/>
      <c r="C47" s="624"/>
      <c r="D47" s="624"/>
      <c r="E47" s="624"/>
      <c r="F47" s="624"/>
      <c r="G47" s="624"/>
      <c r="H47" s="624"/>
      <c r="I47" s="624"/>
      <c r="J47" s="624"/>
      <c r="K47" s="624"/>
      <c r="L47" s="624"/>
      <c r="M47" s="677"/>
      <c r="N47" s="677"/>
      <c r="O47" s="624"/>
      <c r="P47" s="624"/>
      <c r="Q47" s="324"/>
      <c r="R47" s="324"/>
      <c r="S47" s="324"/>
      <c r="T47" s="324"/>
    </row>
    <row r="48" spans="1:20">
      <c r="A48" s="624"/>
      <c r="B48" s="624"/>
      <c r="C48" s="624"/>
      <c r="D48" s="624"/>
      <c r="E48" s="624"/>
      <c r="F48" s="624"/>
      <c r="G48" s="624"/>
      <c r="H48" s="624"/>
      <c r="I48" s="624"/>
      <c r="J48" s="624"/>
      <c r="K48" s="624"/>
      <c r="L48" s="624"/>
      <c r="M48" s="624"/>
      <c r="N48" s="624"/>
      <c r="O48" s="624"/>
      <c r="P48" s="624"/>
      <c r="Q48" s="324"/>
      <c r="R48" s="324"/>
      <c r="S48" s="324"/>
      <c r="T48" s="324"/>
    </row>
    <row r="49" spans="1:20">
      <c r="A49" s="416"/>
      <c r="B49" s="416"/>
      <c r="C49" s="416"/>
      <c r="D49" s="416"/>
      <c r="E49" s="416"/>
      <c r="F49" s="416"/>
      <c r="G49" s="416"/>
      <c r="H49" s="416"/>
      <c r="I49" s="624"/>
      <c r="J49" s="624"/>
      <c r="K49" s="624"/>
      <c r="L49" s="624"/>
      <c r="M49" s="624"/>
      <c r="N49" s="624"/>
      <c r="O49" s="624"/>
      <c r="P49" s="624"/>
      <c r="Q49" s="324"/>
      <c r="R49" s="324"/>
      <c r="S49" s="324"/>
      <c r="T49" s="324"/>
    </row>
    <row r="50" spans="1:20">
      <c r="A50" s="541">
        <f>VLOOKUP($I$8,'D_Ch5-2'!$B$5:$S$53,MATCH("Base 100",'D_Ch5-2'!$B$5:$S$5,0),FALSE)</f>
        <v>100</v>
      </c>
      <c r="B50" s="542">
        <f>VLOOKUP($I$8,'D_Ch5-2'!$B$5:$S$53,MATCH("Base 100_n-7",'D_Ch5-2'!$B$5:$S$5,0),FALSE)</f>
        <v>99.349168402217586</v>
      </c>
      <c r="C50" s="542">
        <f>VLOOKUP($I$8,'D_Ch5-2'!$B$5:$S$53,MATCH("Base 100_n-6",'D_Ch5-2'!$B$5:$S$5,0),FALSE)</f>
        <v>100.67613153031591</v>
      </c>
      <c r="D50" s="542">
        <f>VLOOKUP($I$8,'D_Ch5-2'!$B$5:$S$53,MATCH("Base 100_n-5",'D_Ch5-2'!$B$5:$S$5,0),FALSE)</f>
        <v>102.08962776099264</v>
      </c>
      <c r="E50" s="542">
        <f>VLOOKUP($I$8,'D_Ch5-2'!$B$5:$S$53,MATCH("Base 100_n-4",'D_Ch5-2'!$B$5:$S$5,0),FALSE)</f>
        <v>102.79582587779765</v>
      </c>
      <c r="F50" s="542">
        <f>VLOOKUP($I$8,'D_Ch5-2'!$B$5:$S$53,MATCH("Base 100_n-3",'D_Ch5-2'!$B$5:$S$5,0),FALSE)</f>
        <v>103.41585755771318</v>
      </c>
      <c r="G50" s="542">
        <f>VLOOKUP($I$8,'D_Ch5-2'!$B$5:$S$53,MATCH("Base 100_n-2",'D_Ch5-2'!$B$5:$S$5,0),FALSE)</f>
        <v>103.58745710011441</v>
      </c>
      <c r="H50" s="542">
        <f>VLOOKUP($I$8,'D_Ch5-2'!$B$5:$S$53,MATCH("Base 100_n-1",'D_Ch5-2'!$B$5:$S$5,0),FALSE)</f>
        <v>105.37458566777156</v>
      </c>
      <c r="I50" s="653"/>
      <c r="J50" s="624"/>
      <c r="K50" s="624"/>
      <c r="L50" s="624"/>
      <c r="M50" s="624"/>
      <c r="N50" s="624"/>
      <c r="O50" s="624"/>
      <c r="P50" s="624"/>
      <c r="Q50" s="324"/>
      <c r="R50" s="324"/>
      <c r="S50" s="324"/>
      <c r="T50" s="324"/>
    </row>
    <row r="51" spans="1:20">
      <c r="A51" s="541">
        <f>VLOOKUP($O$8,'D_Ch5-2'!$B$5:$S$53,MATCH("Base 100",'D_Ch5-2'!$B$5:$S$5,0),FALSE)</f>
        <v>100</v>
      </c>
      <c r="B51" s="542">
        <f>VLOOKUP($O$8,'D_Ch5-2'!$B$5:$S$53,MATCH("Base 100_n-7",'D_Ch5-2'!$B$5:$S$5,0),FALSE)</f>
        <v>97.215552946262179</v>
      </c>
      <c r="C51" s="542">
        <f>VLOOKUP($O$8,'D_Ch5-2'!$B$5:$S$53,MATCH("Base 100_n-6",'D_Ch5-2'!$B$5:$S$5,0),FALSE)</f>
        <v>98.50569273818077</v>
      </c>
      <c r="D51" s="542">
        <f>VLOOKUP($O$8,'D_Ch5-2'!$B$5:$S$53,MATCH("Base 100_n-5",'D_Ch5-2'!$B$5:$S$5,0),FALSE)</f>
        <v>99.055688941074763</v>
      </c>
      <c r="E51" s="542">
        <f>VLOOKUP($O$8,'D_Ch5-2'!$B$5:$S$53,MATCH("Base 100_n-4",'D_Ch5-2'!$B$5:$S$5,0),FALSE)</f>
        <v>98.371333602051607</v>
      </c>
      <c r="F51" s="542">
        <f>VLOOKUP($O$8,'D_Ch5-2'!$B$5:$S$53,MATCH("Base 100_n-3",'D_Ch5-2'!$B$5:$S$5,0),FALSE)</f>
        <v>98.90351261515454</v>
      </c>
      <c r="G51" s="542">
        <f>VLOOKUP($O$8,'D_Ch5-2'!$B$5:$S$53,MATCH("Base 100_n-2",'D_Ch5-2'!$B$5:$S$5,0),FALSE)</f>
        <v>98.53519333111349</v>
      </c>
      <c r="H51" s="542">
        <f>VLOOKUP($O$8,'D_Ch5-2'!$B$5:$S$53,MATCH("Base 100_n-1",'D_Ch5-2'!$B$5:$S$5,0),FALSE)</f>
        <v>98.737608290542866</v>
      </c>
      <c r="I51" s="624"/>
      <c r="J51" s="624"/>
      <c r="K51" s="624"/>
      <c r="L51" s="624"/>
      <c r="M51" s="624"/>
      <c r="N51" s="624"/>
      <c r="O51" s="624"/>
      <c r="P51" s="624"/>
      <c r="Q51" s="324"/>
      <c r="R51" s="324"/>
      <c r="S51" s="324"/>
      <c r="T51" s="324"/>
    </row>
    <row r="52" spans="1:20">
      <c r="A52" s="416">
        <v>2008</v>
      </c>
      <c r="B52" s="416">
        <v>2009</v>
      </c>
      <c r="C52" s="416">
        <v>2010</v>
      </c>
      <c r="D52" s="416">
        <v>2011</v>
      </c>
      <c r="E52" s="416">
        <v>2012</v>
      </c>
      <c r="F52" s="416">
        <v>2013</v>
      </c>
      <c r="G52" s="416">
        <v>2014</v>
      </c>
      <c r="H52" s="416">
        <v>2015</v>
      </c>
      <c r="I52" s="624"/>
      <c r="J52" s="624"/>
      <c r="K52" s="624"/>
      <c r="L52" s="624"/>
      <c r="M52" s="624"/>
      <c r="N52" s="624"/>
      <c r="O52" s="624"/>
      <c r="P52" s="624"/>
      <c r="Q52" s="324"/>
      <c r="R52" s="324"/>
      <c r="S52" s="324"/>
      <c r="T52" s="324"/>
    </row>
    <row r="53" spans="1:20" ht="14.25" customHeight="1">
      <c r="A53" s="624"/>
      <c r="B53" s="624"/>
      <c r="C53" s="624"/>
      <c r="D53" s="624"/>
      <c r="E53" s="624"/>
      <c r="F53" s="624"/>
      <c r="G53" s="624"/>
      <c r="H53" s="624"/>
      <c r="I53" s="624"/>
      <c r="J53" s="624"/>
      <c r="K53" s="624"/>
      <c r="L53" s="624"/>
      <c r="M53" s="624"/>
      <c r="N53" s="624"/>
      <c r="O53" s="624"/>
      <c r="P53" s="624"/>
      <c r="Q53" s="324"/>
      <c r="R53" s="324"/>
      <c r="S53" s="324"/>
      <c r="T53" s="324"/>
    </row>
    <row r="54" spans="1:20" s="223" customFormat="1" ht="15.75" customHeight="1">
      <c r="A54" s="543"/>
      <c r="B54" s="451"/>
      <c r="C54" s="451"/>
      <c r="D54" s="451"/>
      <c r="E54" s="451"/>
      <c r="F54" s="866" t="s">
        <v>1369</v>
      </c>
      <c r="G54" s="867"/>
      <c r="H54" s="867"/>
      <c r="I54" s="867"/>
      <c r="J54" s="867"/>
      <c r="K54" s="867"/>
      <c r="L54" s="867"/>
      <c r="M54" s="867"/>
      <c r="N54" s="867"/>
      <c r="O54" s="867"/>
      <c r="P54" s="867"/>
      <c r="Q54" s="867"/>
      <c r="R54" s="867"/>
      <c r="S54" s="867"/>
      <c r="T54" s="868"/>
    </row>
    <row r="55" spans="1:20" s="208" customFormat="1" ht="16.7" customHeight="1">
      <c r="A55" s="452"/>
      <c r="B55" s="451"/>
      <c r="C55" s="451"/>
      <c r="D55" s="451"/>
      <c r="E55" s="451"/>
      <c r="F55" s="869"/>
      <c r="G55" s="870"/>
      <c r="H55" s="870"/>
      <c r="I55" s="870"/>
      <c r="J55" s="870"/>
      <c r="K55" s="870"/>
      <c r="L55" s="870"/>
      <c r="M55" s="870"/>
      <c r="N55" s="870"/>
      <c r="O55" s="870"/>
      <c r="P55" s="870"/>
      <c r="Q55" s="870"/>
      <c r="R55" s="870"/>
      <c r="S55" s="870"/>
      <c r="T55" s="871"/>
    </row>
    <row r="56" spans="1:20" s="208" customFormat="1" ht="16.7" customHeight="1">
      <c r="A56" s="453"/>
      <c r="B56" s="451"/>
      <c r="C56" s="451"/>
      <c r="D56" s="451"/>
      <c r="E56" s="451"/>
      <c r="F56" s="869"/>
      <c r="G56" s="870"/>
      <c r="H56" s="870"/>
      <c r="I56" s="870"/>
      <c r="J56" s="870"/>
      <c r="K56" s="870"/>
      <c r="L56" s="870"/>
      <c r="M56" s="870"/>
      <c r="N56" s="870"/>
      <c r="O56" s="870"/>
      <c r="P56" s="870"/>
      <c r="Q56" s="870"/>
      <c r="R56" s="870"/>
      <c r="S56" s="870"/>
      <c r="T56" s="871"/>
    </row>
    <row r="57" spans="1:20" s="208" customFormat="1" ht="16.7" customHeight="1">
      <c r="A57" s="453"/>
      <c r="B57" s="451"/>
      <c r="C57" s="451"/>
      <c r="D57" s="451"/>
      <c r="E57" s="451"/>
      <c r="F57" s="872"/>
      <c r="G57" s="873"/>
      <c r="H57" s="873"/>
      <c r="I57" s="873"/>
      <c r="J57" s="873"/>
      <c r="K57" s="873"/>
      <c r="L57" s="873"/>
      <c r="M57" s="873"/>
      <c r="N57" s="873"/>
      <c r="O57" s="873"/>
      <c r="P57" s="873"/>
      <c r="Q57" s="873"/>
      <c r="R57" s="873"/>
      <c r="S57" s="873"/>
      <c r="T57" s="874"/>
    </row>
    <row r="58" spans="1:20" s="208" customFormat="1" ht="5.25" customHeight="1">
      <c r="A58" s="454"/>
      <c r="B58" s="455"/>
      <c r="C58" s="454"/>
      <c r="D58" s="454"/>
      <c r="E58" s="454"/>
      <c r="F58" s="456"/>
      <c r="G58" s="456"/>
      <c r="H58" s="399"/>
      <c r="I58" s="399"/>
      <c r="J58" s="399"/>
      <c r="K58" s="399"/>
      <c r="L58" s="399"/>
      <c r="M58" s="399"/>
      <c r="N58" s="399"/>
      <c r="O58" s="399"/>
      <c r="P58" s="399"/>
      <c r="Q58" s="399"/>
      <c r="R58" s="399"/>
      <c r="S58" s="399"/>
      <c r="T58" s="399"/>
    </row>
    <row r="59" spans="1:20" s="208" customFormat="1" ht="15" customHeight="1">
      <c r="A59" s="906" t="s">
        <v>1134</v>
      </c>
      <c r="B59" s="906"/>
      <c r="C59" s="906"/>
      <c r="D59" s="906"/>
      <c r="E59" s="906"/>
      <c r="F59" s="906"/>
      <c r="G59" s="906"/>
      <c r="H59" s="906"/>
      <c r="I59" s="906"/>
      <c r="J59" s="906"/>
      <c r="K59" s="906"/>
      <c r="L59" s="906"/>
      <c r="M59" s="906"/>
      <c r="N59" s="906"/>
      <c r="O59" s="906"/>
      <c r="P59" s="906"/>
      <c r="Q59" s="906"/>
      <c r="R59" s="906"/>
      <c r="S59" s="906"/>
      <c r="T59" s="906"/>
    </row>
    <row r="60" spans="1:20" s="208" customFormat="1" ht="15" customHeight="1">
      <c r="A60" s="906"/>
      <c r="B60" s="906"/>
      <c r="C60" s="906"/>
      <c r="D60" s="906"/>
      <c r="E60" s="906"/>
      <c r="F60" s="906"/>
      <c r="G60" s="906"/>
      <c r="H60" s="906"/>
      <c r="I60" s="906"/>
      <c r="J60" s="906"/>
      <c r="K60" s="906"/>
      <c r="L60" s="906"/>
      <c r="M60" s="906"/>
      <c r="N60" s="906"/>
      <c r="O60" s="906"/>
      <c r="P60" s="906"/>
      <c r="Q60" s="906"/>
      <c r="R60" s="906"/>
      <c r="S60" s="906"/>
      <c r="T60" s="906"/>
    </row>
    <row r="61" spans="1:20" s="225" customFormat="1" ht="15" customHeight="1" thickBot="1">
      <c r="A61" s="432"/>
      <c r="B61" s="432"/>
      <c r="C61" s="432"/>
      <c r="D61" s="432"/>
      <c r="E61" s="432"/>
      <c r="F61" s="432"/>
      <c r="G61" s="432"/>
      <c r="H61" s="432"/>
      <c r="I61" s="432"/>
      <c r="J61" s="432"/>
      <c r="K61" s="432"/>
      <c r="L61" s="432"/>
      <c r="M61" s="432"/>
      <c r="N61" s="432"/>
      <c r="O61" s="432"/>
      <c r="P61" s="432"/>
      <c r="Q61" s="432"/>
      <c r="R61" s="432"/>
      <c r="S61" s="432"/>
      <c r="T61" s="432"/>
    </row>
    <row r="62" spans="1:20" s="228" customFormat="1" ht="13.5" thickTop="1" thickBot="1">
      <c r="A62" s="889" t="s">
        <v>1407</v>
      </c>
      <c r="B62" s="890"/>
      <c r="C62" s="891"/>
      <c r="D62" s="420"/>
      <c r="E62" s="584"/>
      <c r="F62" s="584"/>
      <c r="G62" s="584"/>
      <c r="H62" s="921" t="s">
        <v>70</v>
      </c>
      <c r="I62" s="922"/>
      <c r="J62" s="922"/>
      <c r="K62" s="923"/>
      <c r="L62" s="808"/>
      <c r="M62" s="808"/>
      <c r="N62" s="808"/>
      <c r="O62" s="879" t="s">
        <v>116</v>
      </c>
      <c r="P62" s="880"/>
      <c r="Q62" s="880"/>
      <c r="R62" s="881"/>
      <c r="S62" s="584"/>
      <c r="T62" s="420"/>
    </row>
    <row r="63" spans="1:20" ht="15.75" thickTop="1">
      <c r="A63" s="420"/>
      <c r="B63" s="420"/>
      <c r="C63" s="420"/>
      <c r="D63" s="420"/>
      <c r="E63" s="420"/>
      <c r="F63" s="420"/>
      <c r="G63" s="420"/>
      <c r="H63" s="420"/>
      <c r="I63" s="420"/>
      <c r="J63" s="420"/>
      <c r="K63" s="420"/>
      <c r="L63" s="420"/>
      <c r="M63" s="420"/>
      <c r="N63" s="420"/>
      <c r="O63" s="420"/>
      <c r="P63" s="420"/>
      <c r="Q63" s="420"/>
      <c r="R63" s="420"/>
      <c r="S63" s="420"/>
      <c r="T63" s="420"/>
    </row>
    <row r="64" spans="1:20">
      <c r="A64" s="435" t="s">
        <v>1914</v>
      </c>
      <c r="B64" s="435"/>
      <c r="C64" s="435"/>
      <c r="D64" s="435"/>
      <c r="E64" s="435"/>
      <c r="F64" s="435"/>
      <c r="G64" s="420"/>
      <c r="H64" s="420"/>
      <c r="I64" s="420"/>
      <c r="J64" s="420"/>
      <c r="K64" s="420"/>
      <c r="L64" s="420"/>
      <c r="M64" s="420"/>
      <c r="N64" s="420"/>
      <c r="O64" s="420"/>
      <c r="P64" s="420"/>
      <c r="Q64" s="420"/>
      <c r="R64" s="420"/>
      <c r="S64" s="420"/>
      <c r="T64" s="420"/>
    </row>
    <row r="65" spans="1:20" ht="28.5" customHeight="1">
      <c r="A65" s="420"/>
      <c r="B65" s="420"/>
      <c r="C65" s="420"/>
      <c r="D65" s="420"/>
      <c r="E65" s="420"/>
      <c r="F65" s="420"/>
      <c r="G65" s="932" t="s">
        <v>1312</v>
      </c>
      <c r="H65" s="933"/>
      <c r="I65" s="934"/>
      <c r="J65" s="932" t="s">
        <v>1598</v>
      </c>
      <c r="K65" s="933"/>
      <c r="L65" s="934"/>
      <c r="M65" s="420"/>
      <c r="N65" s="932" t="s">
        <v>1312</v>
      </c>
      <c r="O65" s="933"/>
      <c r="P65" s="934"/>
      <c r="Q65" s="932" t="s">
        <v>1598</v>
      </c>
      <c r="R65" s="933"/>
      <c r="S65" s="934"/>
      <c r="T65" s="420"/>
    </row>
    <row r="66" spans="1:20">
      <c r="A66" s="924" t="s">
        <v>1313</v>
      </c>
      <c r="B66" s="925"/>
      <c r="C66" s="925"/>
      <c r="D66" s="926"/>
      <c r="E66" s="919" t="s">
        <v>1436</v>
      </c>
      <c r="F66" s="920"/>
      <c r="G66" s="544"/>
      <c r="H66" s="545">
        <f>VLOOKUP($H$62,'D_Ch-5-1'!$B$5:$P$53,MATCH("dont postes actifs sphère présentielle privé  N-1",'D_Ch-5-1'!$B$5:$P$5,0),FALSE)/VLOOKUP($H$62,'D_Ch-5-1'!$B$5:$P$53,MATCH("Total Effectifs actifs N-1",'D_Ch-5-1'!$B$5:$P$5,0),FALSE)</f>
        <v>0.42921730334237185</v>
      </c>
      <c r="I66" s="546"/>
      <c r="J66" s="497"/>
      <c r="K66" s="545">
        <f>VLOOKUP($H$62,'D_Ch-5-1'!$B$5:$P$53,MATCH("dont Etab actifs sphère présentielle privé  N-1",'D_Ch-5-1'!$B$5:$P$5,0),FALSE)/VLOOKUP($H$62,'D_Ch-5-1'!$B$5:$P$53,MATCH("Total etab actifs N-1",'D_Ch-5-1'!$B$5:$P$5,0),FALSE)</f>
        <v>0.58853985224337801</v>
      </c>
      <c r="L66" s="499"/>
      <c r="M66" s="420"/>
      <c r="N66" s="497"/>
      <c r="O66" s="545">
        <f>VLOOKUP($O$62,'D_Ch-5-1'!$B$5:$P$53,MATCH("dont postes actifs sphère présentielle privé  N-1",'D_Ch-5-1'!$B$5:$P$5,0),FALSE)/VLOOKUP($O$62,'D_Ch-5-1'!$B$5:$P$53,MATCH("Total Effectifs actifs N-1",'D_Ch-5-1'!$B$5:$P$5,0),FALSE)</f>
        <v>0.42034903522930889</v>
      </c>
      <c r="P66" s="499"/>
      <c r="Q66" s="497"/>
      <c r="R66" s="545">
        <f>VLOOKUP($O$62,'D_Ch-5-1'!$B$5:$P$53,MATCH("dont Etab actifs sphère présentielle privé  N-1",'D_Ch-5-1'!$B$5:$P$5,0),FALSE)/VLOOKUP($O$62,'D_Ch-5-1'!$B$5:$P$53,MATCH("Total etab actifs N-1",'D_Ch-5-1'!$B$5:$P$5,0),FALSE)</f>
        <v>0.57041331250750926</v>
      </c>
      <c r="S66" s="499"/>
      <c r="T66" s="420"/>
    </row>
    <row r="67" spans="1:20" ht="15.75" thickBot="1">
      <c r="A67" s="927"/>
      <c r="B67" s="928"/>
      <c r="C67" s="928"/>
      <c r="D67" s="929"/>
      <c r="E67" s="930" t="s">
        <v>1437</v>
      </c>
      <c r="F67" s="931"/>
      <c r="G67" s="547"/>
      <c r="H67" s="548">
        <f>VLOOKUP($H$62,'D_Ch-5-1'!$B$5:$P$53,MATCH("dont Effectifs sphère présentielle public N-1",'D_Ch-5-1'!$B$5:$P$5,0),FALSE)/VLOOKUP($H$62,'D_Ch-5-1'!$B$5:$P$53,MATCH("Total Effectifs actifs N-1",'D_Ch-5-1'!$B$5:$P$5,0),FALSE)</f>
        <v>0.26020484145159251</v>
      </c>
      <c r="I67" s="549"/>
      <c r="J67" s="550"/>
      <c r="K67" s="551">
        <f>VLOOKUP($H$62,'D_Ch-5-1'!$B$5:$P$53,MATCH("dont Etab actifs sphère présentielle public  N-1",'D_Ch-5-1'!$B$5:$P$5,0),FALSE)/VLOOKUP($H$62,'D_Ch-5-1'!$B$5:$P$53,MATCH("Total etab actifs N-1",'D_Ch-5-1'!$B$5:$P$5,0),FALSE)</f>
        <v>1.7238272568923057E-2</v>
      </c>
      <c r="L67" s="552"/>
      <c r="M67" s="420"/>
      <c r="N67" s="550"/>
      <c r="O67" s="548">
        <f>VLOOKUP($O$62,'D_Ch-5-1'!$B$5:$P$53,MATCH("dont Effectifs sphère présentielle public N-1",'D_Ch-5-1'!$B$5:$P$5,0),FALSE)/VLOOKUP($O$62,'D_Ch-5-1'!$B$5:$P$53,MATCH("Total Effectifs actifs N-1",'D_Ch-5-1'!$B$5:$P$5,0),FALSE)</f>
        <v>0.24225332819973641</v>
      </c>
      <c r="P67" s="552"/>
      <c r="Q67" s="550"/>
      <c r="R67" s="551">
        <f>VLOOKUP($O$62,'D_Ch-5-1'!$B$5:$P$53,MATCH("dont Etab actifs sphère présentielle public  N-1",'D_Ch-5-1'!$B$5:$P$5,0),FALSE)/VLOOKUP($O$62,'D_Ch-5-1'!$B$5:$P$53,MATCH("Total etab actifs N-1",'D_Ch-5-1'!$B$5:$P$5,0),FALSE)</f>
        <v>2.1434578877808481E-2</v>
      </c>
      <c r="S67" s="552"/>
      <c r="T67" s="420"/>
    </row>
    <row r="68" spans="1:20" ht="15.75" thickTop="1">
      <c r="A68" s="913" t="s">
        <v>1314</v>
      </c>
      <c r="B68" s="914"/>
      <c r="C68" s="914"/>
      <c r="D68" s="915"/>
      <c r="E68" s="916" t="s">
        <v>1436</v>
      </c>
      <c r="F68" s="918"/>
      <c r="G68" s="553"/>
      <c r="H68" s="545">
        <f>VLOOKUP($H$62,'D_Ch-5-1'!$B$5:$P$53,MATCH("dont postes actifs sphère productive privé N-1",'D_Ch-5-1'!$B$5:$P$5,0),FALSE)/VLOOKUP($H$62,'D_Ch-5-1'!$B$5:$P$53,MATCH("Total Effectifs actifs N-1",'D_Ch-5-1'!$B$5:$P$5,0),FALSE)</f>
        <v>0.30303890301642383</v>
      </c>
      <c r="I68" s="470"/>
      <c r="J68" s="553"/>
      <c r="K68" s="545">
        <f>VLOOKUP($H$62,'D_Ch-5-1'!$B$5:$P$53,MATCH("dont Etab actifs sphère productive privé N-1",'D_Ch-5-1'!$B$5:$P$5,0),FALSE)/VLOOKUP($H$62,'D_Ch-5-1'!$B$5:$P$53,MATCH("Total etab actifs N-1",'D_Ch-5-1'!$B$5:$P$5,0),FALSE)</f>
        <v>0.39376539131479366</v>
      </c>
      <c r="L68" s="470"/>
      <c r="M68" s="420"/>
      <c r="N68" s="553"/>
      <c r="O68" s="545">
        <f>VLOOKUP($O$62,'D_Ch-5-1'!$B$5:$P$53,MATCH("dont postes actifs sphère productive privé N-1",'D_Ch-5-1'!$B$5:$P$5,0),FALSE)/VLOOKUP($O$62,'D_Ch-5-1'!$B$5:$P$53,MATCH("Total Effectifs actifs N-1",'D_Ch-5-1'!$B$5:$P$5,0),FALSE)</f>
        <v>0.33148351078795779</v>
      </c>
      <c r="P68" s="470"/>
      <c r="Q68" s="553"/>
      <c r="R68" s="545">
        <f>VLOOKUP($O$62,'D_Ch-5-1'!$B$5:$P$53,MATCH("dont Etab actifs sphère productive privé N-1",'D_Ch-5-1'!$B$5:$P$5,0),FALSE)/VLOOKUP($O$62,'D_Ch-5-1'!$B$5:$P$53,MATCH("Total etab actifs N-1",'D_Ch-5-1'!$B$5:$P$5,0),FALSE)</f>
        <v>0.407797669109696</v>
      </c>
      <c r="S68" s="470"/>
      <c r="T68" s="420"/>
    </row>
    <row r="69" spans="1:20">
      <c r="A69" s="916"/>
      <c r="B69" s="917"/>
      <c r="C69" s="917"/>
      <c r="D69" s="918"/>
      <c r="E69" s="919" t="s">
        <v>1437</v>
      </c>
      <c r="F69" s="920"/>
      <c r="G69" s="497"/>
      <c r="H69" s="554">
        <f>VLOOKUP($H$62,'D_Ch-5-1'!$B$5:$P$53,MATCH("dont Effectifs sphère productive public N-1",'D_Ch-5-1'!$B$5:$P$5,0),FALSE)/VLOOKUP($H$62,'D_Ch-5-1'!$B$5:$P$53,MATCH("Total Effectifs actifs N-1",'D_Ch-5-1'!$B$5:$P$5,0),FALSE)</f>
        <v>7.538952189611813E-3</v>
      </c>
      <c r="I69" s="499"/>
      <c r="J69" s="497"/>
      <c r="K69" s="554">
        <f>VLOOKUP($H$62,'D_Ch-5-1'!$B$5:$P$53,MATCH("dont Etab actifs sphère productive public N-1",'D_Ch-5-1'!$B$5:$P$5,0),FALSE)/VLOOKUP($H$62,'D_Ch-5-1'!$B$5:$P$53,MATCH("Total etab actifs N-1",'D_Ch-5-1'!$B$5:$P$5,0),FALSE)</f>
        <v>4.5648387290527962E-4</v>
      </c>
      <c r="L69" s="499"/>
      <c r="M69" s="420"/>
      <c r="N69" s="497"/>
      <c r="O69" s="554">
        <f>VLOOKUP($O$62,'D_Ch-5-1'!$B$5:$P$53,MATCH("dont Effectifs sphère productive public N-1",'D_Ch-5-1'!$B$5:$P$5,0),FALSE)/VLOOKUP($O$62,'D_Ch-5-1'!$B$5:$P$53,MATCH("Total Effectifs actifs N-1",'D_Ch-5-1'!$B$5:$P$5,0),FALSE)</f>
        <v>5.9141257829969348E-3</v>
      </c>
      <c r="P69" s="499"/>
      <c r="Q69" s="497"/>
      <c r="R69" s="554">
        <f>VLOOKUP($O62,'D_Ch-5-1'!$B$5:$P$53,MATCH("dont Etab actifs sphère productive public N-1",'D_Ch-5-1'!$B$5:$P$5,0),FALSE)/VLOOKUP($O$62,'D_Ch-5-1'!$B$5:$P$53,MATCH("Total etab actifs N-1",'D_Ch-5-1'!$B$5:$P$5,0),FALSE)</f>
        <v>3.5443950498618287E-4</v>
      </c>
      <c r="S69" s="499"/>
      <c r="T69" s="420"/>
    </row>
    <row r="70" spans="1:20">
      <c r="A70" s="420"/>
      <c r="B70" s="420"/>
      <c r="C70" s="420"/>
      <c r="D70" s="420"/>
      <c r="E70" s="420"/>
      <c r="F70" s="420"/>
      <c r="G70" s="420"/>
      <c r="H70" s="420"/>
      <c r="I70" s="420"/>
      <c r="J70" s="420"/>
      <c r="K70" s="420"/>
      <c r="L70" s="420"/>
      <c r="M70" s="420"/>
      <c r="N70" s="420"/>
      <c r="O70" s="420"/>
      <c r="P70" s="420"/>
      <c r="Q70" s="420"/>
      <c r="R70" s="420"/>
      <c r="S70" s="420"/>
      <c r="T70" s="420"/>
    </row>
    <row r="71" spans="1:20">
      <c r="A71" s="324"/>
      <c r="B71" s="324"/>
      <c r="C71" s="324"/>
      <c r="D71" s="324"/>
      <c r="E71" s="324"/>
      <c r="F71" s="324"/>
      <c r="G71" s="324"/>
      <c r="H71" s="324"/>
      <c r="I71" s="324"/>
      <c r="J71" s="324"/>
      <c r="K71" s="324"/>
      <c r="L71" s="324"/>
      <c r="M71" s="324"/>
      <c r="N71" s="324"/>
      <c r="O71" s="324"/>
      <c r="P71" s="420"/>
      <c r="Q71" s="420"/>
      <c r="R71" s="420"/>
      <c r="S71" s="420"/>
      <c r="T71" s="420"/>
    </row>
    <row r="72" spans="1:20">
      <c r="A72" s="324"/>
      <c r="B72" s="324"/>
      <c r="C72" s="324"/>
      <c r="D72" s="324"/>
      <c r="E72" s="324"/>
      <c r="F72" s="324"/>
      <c r="G72" s="324"/>
      <c r="H72" s="324"/>
      <c r="I72" s="324"/>
      <c r="J72" s="324"/>
      <c r="K72" s="324"/>
      <c r="L72" s="324"/>
      <c r="M72" s="324"/>
      <c r="N72" s="324"/>
      <c r="O72" s="324"/>
      <c r="P72" s="420"/>
      <c r="Q72" s="420"/>
      <c r="R72" s="420"/>
      <c r="S72" s="420"/>
      <c r="T72" s="420"/>
    </row>
    <row r="73" spans="1:20">
      <c r="A73" s="555"/>
      <c r="B73" s="555" t="s">
        <v>1436</v>
      </c>
      <c r="C73" s="555" t="s">
        <v>1437</v>
      </c>
      <c r="D73" s="555" t="s">
        <v>1436</v>
      </c>
      <c r="E73" s="555" t="s">
        <v>1437</v>
      </c>
      <c r="F73" s="555"/>
      <c r="G73" s="555"/>
      <c r="H73" s="555"/>
      <c r="I73" s="555"/>
      <c r="J73" s="555"/>
      <c r="K73" s="555" t="s">
        <v>1310</v>
      </c>
      <c r="L73" s="555" t="s">
        <v>1311</v>
      </c>
      <c r="M73" s="555" t="s">
        <v>1310</v>
      </c>
      <c r="N73" s="555" t="s">
        <v>1329</v>
      </c>
      <c r="O73" s="555"/>
      <c r="P73" s="556"/>
      <c r="Q73" s="556"/>
      <c r="R73" s="420"/>
      <c r="S73" s="420"/>
      <c r="T73" s="420"/>
    </row>
    <row r="74" spans="1:20">
      <c r="A74" s="555" t="str">
        <f>H62</f>
        <v>Bordeaux Métropole</v>
      </c>
      <c r="B74" s="557">
        <f>VLOOKUP($H$62,'D_Ch-5-1'!$B$5:$P$53,MATCH("dont postes actifs sphère présentielle privé  N-1",'D_Ch-5-1'!$B$5:$P$5,0),FALSE)</f>
        <v>152752</v>
      </c>
      <c r="C74" s="557">
        <f>VLOOKUP($H$62,'D_Ch-5-1'!$B$5:$P$53,MATCH("dont Effectifs sphère présentielle public N-1",'D_Ch-5-1'!$B$5:$P$5,0),FALSE)</f>
        <v>92603</v>
      </c>
      <c r="D74" s="557">
        <f>VLOOKUP($H$62,'D_Ch-5-1'!$B$5:$P$53,MATCH("dont postes actifs sphère productive privé N-1",'D_Ch-5-1'!$B$5:$P$5,0),FALSE)</f>
        <v>107847</v>
      </c>
      <c r="E74" s="558">
        <f>VLOOKUP($H$62,'D_Ch-5-1'!$B$5:$P$53,MATCH("dont Effectifs sphère productive public N-1",'D_Ch-5-1'!$B$5:$P$5,0),FALSE)</f>
        <v>2683</v>
      </c>
      <c r="F74" s="559"/>
      <c r="G74" s="559"/>
      <c r="H74" s="559"/>
      <c r="I74" s="559"/>
      <c r="J74" s="555" t="str">
        <f>H62</f>
        <v>Bordeaux Métropole</v>
      </c>
      <c r="K74" s="557">
        <f>VLOOKUP($H$62,'D_Ch-5-1'!$B$5:$P$53,MATCH("dont Etab actifs sphère présentielle privé  N-1",'D_Ch-5-1'!$B$5:$P$5,0),FALSE)</f>
        <v>48993</v>
      </c>
      <c r="L74" s="558">
        <f>VLOOKUP($H$62,'D_Ch-5-1'!$B$5:$P$53,MATCH("dont Etab actifs sphère présentielle public  N-1",'D_Ch-5-1'!$B$5:$P$5,0),FALSE)</f>
        <v>1435</v>
      </c>
      <c r="M74" s="557">
        <f>VLOOKUP($H$62,'D_Ch-5-1'!$B$5:$P$53,MATCH("dont Etab actifs sphère productive privé N-1",'D_Ch-5-1'!$B$5:$P$5,0),FALSE)</f>
        <v>32779</v>
      </c>
      <c r="N74" s="558">
        <f>VLOOKUP($H$62,'D_Ch-5-1'!$B$5:$P$53,MATCH("dont Etab actifs sphère productive public N-1",'D_Ch-5-1'!$B$5:$P$5,0),FALSE)</f>
        <v>38</v>
      </c>
      <c r="O74" s="555"/>
      <c r="P74" s="556"/>
      <c r="Q74" s="556"/>
      <c r="R74" s="420"/>
      <c r="S74" s="420"/>
      <c r="T74" s="420"/>
    </row>
    <row r="75" spans="1:20">
      <c r="A75" s="555" t="str">
        <f>O62</f>
        <v>Gironde</v>
      </c>
      <c r="B75" s="557">
        <f>VLOOKUP($O$62,'D_Ch-5-1'!$B$5:$P$53,MATCH("dont postes actifs sphère présentielle privé  N-1",'D_Ch-5-1'!$B$5:$P$5,0),FALSE)</f>
        <v>227086</v>
      </c>
      <c r="C75" s="557">
        <f>VLOOKUP($O$62,'D_Ch-5-1'!$B$5:$P$53,MATCH("dont Effectifs sphère présentielle public N-1",'D_Ch-5-1'!$B$5:$P$5,0),FALSE)</f>
        <v>130873</v>
      </c>
      <c r="D75" s="557">
        <f>VLOOKUP($O$62,'D_Ch-5-1'!$B$5:$P$53,MATCH("dont postes actifs sphère productive privé N-1",'D_Ch-5-1'!$B$5:$P$5,0),FALSE)</f>
        <v>179078</v>
      </c>
      <c r="E75" s="558">
        <f>VLOOKUP($O$62,'D_Ch-5-1'!$B$5:$P$53,MATCH("dont Effectifs sphère productive public N-1",'D_Ch-5-1'!$B$5:$P$5,0),FALSE)</f>
        <v>3195</v>
      </c>
      <c r="F75" s="559"/>
      <c r="G75" s="559"/>
      <c r="H75" s="559"/>
      <c r="I75" s="559"/>
      <c r="J75" s="555" t="str">
        <f>O62</f>
        <v>Gironde</v>
      </c>
      <c r="K75" s="557">
        <f>VLOOKUP($O$62,'D_Ch-5-1'!$B$5:$P$53,MATCH("dont Etab actifs sphère présentielle privé  N-1",'D_Ch-5-1'!$B$5:$P$5,0),FALSE)</f>
        <v>94951</v>
      </c>
      <c r="L75" s="558">
        <f>VLOOKUP($O$62,'D_Ch-5-1'!$B$5:$P$53,MATCH("dont Etab actifs sphère présentielle public  N-1",'D_Ch-5-1'!$B$5:$P$5,0),FALSE)</f>
        <v>3568</v>
      </c>
      <c r="M75" s="557">
        <f>VLOOKUP($O$62,'D_Ch-5-1'!$B$5:$P$53,MATCH("dont Etab actifs sphère productive privé N-1",'D_Ch-5-1'!$B$5:$P$5,0),FALSE)</f>
        <v>67882</v>
      </c>
      <c r="N75" s="558">
        <f>VLOOKUP($O62,'D_Ch-5-1'!$B$5:$P$53,MATCH("dont Etab actifs sphère productive public N-1",'D_Ch-5-1'!$B$5:$P$5,0),FALSE)</f>
        <v>59</v>
      </c>
      <c r="O75" s="555"/>
      <c r="P75" s="556"/>
      <c r="Q75" s="556"/>
      <c r="R75" s="420"/>
      <c r="S75" s="420"/>
      <c r="T75" s="420"/>
    </row>
    <row r="76" spans="1:20">
      <c r="A76" s="555"/>
      <c r="B76" s="555"/>
      <c r="C76" s="555"/>
      <c r="D76" s="555"/>
      <c r="E76" s="555"/>
      <c r="F76" s="555"/>
      <c r="G76" s="555"/>
      <c r="H76" s="555"/>
      <c r="I76" s="555"/>
      <c r="J76" s="555"/>
      <c r="K76" s="555"/>
      <c r="L76" s="555"/>
      <c r="M76" s="555"/>
      <c r="N76" s="555"/>
      <c r="O76" s="555"/>
      <c r="P76" s="556"/>
      <c r="Q76" s="556"/>
      <c r="R76" s="420"/>
      <c r="S76" s="420"/>
      <c r="T76" s="420"/>
    </row>
    <row r="77" spans="1:20">
      <c r="A77" s="420"/>
      <c r="B77" s="420"/>
      <c r="C77" s="420"/>
      <c r="D77" s="420"/>
      <c r="E77" s="420"/>
      <c r="F77" s="420"/>
      <c r="G77" s="420"/>
      <c r="H77" s="420"/>
      <c r="I77" s="420"/>
      <c r="J77" s="420"/>
      <c r="K77" s="420"/>
      <c r="L77" s="420"/>
      <c r="M77" s="420"/>
      <c r="N77" s="420"/>
      <c r="O77" s="420"/>
      <c r="P77" s="420"/>
      <c r="Q77" s="420"/>
      <c r="R77" s="420"/>
      <c r="S77" s="420"/>
      <c r="T77" s="420"/>
    </row>
    <row r="78" spans="1:20">
      <c r="A78" s="420"/>
      <c r="B78" s="420"/>
      <c r="C78" s="420"/>
      <c r="D78" s="420"/>
      <c r="E78" s="420"/>
      <c r="F78" s="420"/>
      <c r="G78" s="420"/>
      <c r="H78" s="420"/>
      <c r="I78" s="420"/>
      <c r="J78" s="420"/>
      <c r="K78" s="420"/>
      <c r="L78" s="420"/>
      <c r="M78" s="420"/>
      <c r="N78" s="420"/>
      <c r="O78" s="420"/>
      <c r="P78" s="420"/>
      <c r="Q78" s="420"/>
      <c r="R78" s="420"/>
      <c r="S78" s="420"/>
      <c r="T78" s="420"/>
    </row>
    <row r="79" spans="1:20">
      <c r="A79" s="420"/>
      <c r="B79" s="420"/>
      <c r="C79" s="420"/>
      <c r="D79" s="420"/>
      <c r="E79" s="420"/>
      <c r="F79" s="420"/>
      <c r="G79" s="420"/>
      <c r="H79" s="420"/>
      <c r="I79" s="420"/>
      <c r="J79" s="420"/>
      <c r="K79" s="420"/>
      <c r="L79" s="420"/>
      <c r="M79" s="420"/>
      <c r="N79" s="420"/>
      <c r="O79" s="420"/>
      <c r="P79" s="420"/>
      <c r="Q79" s="420"/>
      <c r="R79" s="420"/>
      <c r="S79" s="420"/>
      <c r="T79" s="420"/>
    </row>
    <row r="80" spans="1:20">
      <c r="A80" s="420"/>
      <c r="B80" s="420"/>
      <c r="C80" s="420"/>
      <c r="D80" s="420"/>
      <c r="E80" s="420"/>
      <c r="F80" s="420"/>
      <c r="G80" s="420"/>
      <c r="H80" s="420"/>
      <c r="I80" s="420"/>
      <c r="J80" s="420"/>
      <c r="K80" s="420"/>
      <c r="L80" s="420"/>
      <c r="M80" s="420"/>
      <c r="N80" s="420"/>
      <c r="O80" s="420"/>
      <c r="P80" s="420"/>
      <c r="Q80" s="420"/>
      <c r="R80" s="420"/>
      <c r="S80" s="420"/>
      <c r="T80" s="420"/>
    </row>
    <row r="81" spans="1:20">
      <c r="A81" s="420"/>
      <c r="B81" s="420"/>
      <c r="C81" s="420"/>
      <c r="D81" s="420"/>
      <c r="E81" s="420"/>
      <c r="F81" s="420"/>
      <c r="G81" s="420"/>
      <c r="H81" s="420"/>
      <c r="I81" s="420"/>
      <c r="J81" s="420"/>
      <c r="K81" s="420"/>
      <c r="L81" s="420"/>
      <c r="M81" s="420"/>
      <c r="N81" s="420"/>
      <c r="O81" s="420"/>
      <c r="P81" s="420"/>
      <c r="Q81" s="420"/>
      <c r="R81" s="420"/>
      <c r="S81" s="420"/>
      <c r="T81" s="420"/>
    </row>
    <row r="82" spans="1:20">
      <c r="A82" s="420"/>
      <c r="B82" s="420"/>
      <c r="C82" s="420"/>
      <c r="D82" s="420"/>
      <c r="E82" s="420"/>
      <c r="F82" s="420"/>
      <c r="G82" s="420"/>
      <c r="H82" s="420"/>
      <c r="I82" s="420"/>
      <c r="J82" s="420"/>
      <c r="K82" s="420"/>
      <c r="L82" s="420"/>
      <c r="M82" s="420"/>
      <c r="N82" s="420"/>
      <c r="O82" s="420"/>
      <c r="P82" s="420"/>
      <c r="Q82" s="420"/>
      <c r="R82" s="420"/>
      <c r="S82" s="420"/>
      <c r="T82" s="420"/>
    </row>
    <row r="83" spans="1:20">
      <c r="A83" s="420"/>
      <c r="B83" s="420"/>
      <c r="C83" s="420"/>
      <c r="D83" s="420"/>
      <c r="E83" s="420"/>
      <c r="F83" s="420"/>
      <c r="G83" s="420"/>
      <c r="H83" s="420"/>
      <c r="I83" s="420"/>
      <c r="J83" s="420"/>
      <c r="K83" s="420"/>
      <c r="L83" s="420"/>
      <c r="M83" s="420"/>
      <c r="N83" s="420"/>
      <c r="O83" s="420"/>
      <c r="P83" s="420"/>
      <c r="Q83" s="420"/>
      <c r="R83" s="420"/>
      <c r="S83" s="420"/>
      <c r="T83" s="420"/>
    </row>
    <row r="84" spans="1:20">
      <c r="A84" s="420"/>
      <c r="B84" s="420"/>
      <c r="C84" s="420"/>
      <c r="D84" s="420"/>
      <c r="E84" s="420"/>
      <c r="F84" s="420"/>
      <c r="G84" s="420"/>
      <c r="H84" s="420"/>
      <c r="I84" s="420"/>
      <c r="J84" s="420"/>
      <c r="K84" s="420"/>
      <c r="L84" s="420"/>
      <c r="M84" s="420"/>
      <c r="N84" s="420"/>
      <c r="O84" s="420"/>
      <c r="P84" s="420"/>
      <c r="Q84" s="420"/>
      <c r="R84" s="420"/>
      <c r="S84" s="420"/>
      <c r="T84" s="420"/>
    </row>
    <row r="85" spans="1:20">
      <c r="A85" s="420"/>
      <c r="B85" s="420"/>
      <c r="C85" s="420"/>
      <c r="D85" s="420"/>
      <c r="E85" s="420"/>
      <c r="F85" s="420"/>
      <c r="G85" s="420"/>
      <c r="H85" s="420"/>
      <c r="I85" s="420"/>
      <c r="J85" s="420"/>
      <c r="K85" s="420"/>
      <c r="L85" s="420"/>
      <c r="M85" s="420"/>
      <c r="N85" s="420"/>
      <c r="O85" s="420"/>
      <c r="P85" s="420"/>
      <c r="Q85" s="420"/>
      <c r="R85" s="420"/>
      <c r="S85" s="420"/>
      <c r="T85" s="420"/>
    </row>
    <row r="86" spans="1:20">
      <c r="A86" s="420"/>
      <c r="B86" s="420"/>
      <c r="C86" s="420"/>
      <c r="D86" s="420"/>
      <c r="E86" s="420"/>
      <c r="F86" s="420"/>
      <c r="G86" s="420"/>
      <c r="H86" s="420"/>
      <c r="I86" s="420"/>
      <c r="J86" s="420"/>
      <c r="K86" s="420"/>
      <c r="L86" s="420"/>
      <c r="M86" s="420"/>
      <c r="N86" s="420"/>
      <c r="O86" s="420"/>
      <c r="P86" s="420"/>
      <c r="Q86" s="420"/>
      <c r="R86" s="420"/>
      <c r="S86" s="420"/>
      <c r="T86" s="420"/>
    </row>
    <row r="87" spans="1:20">
      <c r="A87" s="420"/>
      <c r="B87" s="420"/>
      <c r="C87" s="420"/>
      <c r="D87" s="420"/>
      <c r="E87" s="420"/>
      <c r="F87" s="420"/>
      <c r="G87" s="420"/>
      <c r="H87" s="420"/>
      <c r="I87" s="420"/>
      <c r="J87" s="420"/>
      <c r="K87" s="420"/>
      <c r="L87" s="420"/>
      <c r="M87" s="420"/>
      <c r="N87" s="420"/>
      <c r="O87" s="420"/>
      <c r="P87" s="420"/>
      <c r="Q87" s="420"/>
      <c r="R87" s="420"/>
      <c r="S87" s="420"/>
      <c r="T87" s="420"/>
    </row>
    <row r="88" spans="1:20">
      <c r="A88" s="420"/>
      <c r="B88" s="420"/>
      <c r="C88" s="420"/>
      <c r="D88" s="420"/>
      <c r="E88" s="420"/>
      <c r="F88" s="420"/>
      <c r="G88" s="420"/>
      <c r="H88" s="420"/>
      <c r="I88" s="420"/>
      <c r="J88" s="420"/>
      <c r="K88" s="420"/>
      <c r="L88" s="420"/>
      <c r="M88" s="420"/>
      <c r="N88" s="420"/>
      <c r="O88" s="420"/>
      <c r="P88" s="420"/>
      <c r="Q88" s="420"/>
      <c r="R88" s="420"/>
      <c r="S88" s="420"/>
      <c r="T88" s="420"/>
    </row>
    <row r="89" spans="1:20">
      <c r="A89" s="420"/>
      <c r="B89" s="420"/>
      <c r="C89" s="420"/>
      <c r="D89" s="420"/>
      <c r="E89" s="420"/>
      <c r="F89" s="420"/>
      <c r="G89" s="420"/>
      <c r="H89" s="420"/>
      <c r="I89" s="420"/>
      <c r="J89" s="420"/>
      <c r="K89" s="420"/>
      <c r="L89" s="420"/>
      <c r="M89" s="420"/>
      <c r="N89" s="420"/>
      <c r="O89" s="420"/>
      <c r="P89" s="420"/>
      <c r="Q89" s="420"/>
      <c r="R89" s="420"/>
      <c r="S89" s="420"/>
      <c r="T89" s="420"/>
    </row>
    <row r="90" spans="1:20">
      <c r="A90" s="420"/>
      <c r="B90" s="420"/>
      <c r="C90" s="420"/>
      <c r="D90" s="420"/>
      <c r="E90" s="420"/>
      <c r="F90" s="420"/>
      <c r="G90" s="420"/>
      <c r="H90" s="420"/>
      <c r="I90" s="420"/>
      <c r="J90" s="420"/>
      <c r="K90" s="420"/>
      <c r="L90" s="420"/>
      <c r="M90" s="420"/>
      <c r="N90" s="420"/>
      <c r="O90" s="420"/>
      <c r="P90" s="420"/>
      <c r="Q90" s="420"/>
      <c r="R90" s="420"/>
      <c r="S90" s="420"/>
      <c r="T90" s="420"/>
    </row>
    <row r="91" spans="1:20">
      <c r="A91" s="420"/>
      <c r="B91" s="420"/>
      <c r="C91" s="420"/>
      <c r="D91" s="420"/>
      <c r="E91" s="420"/>
      <c r="F91" s="420"/>
      <c r="G91" s="420"/>
      <c r="H91" s="420"/>
      <c r="I91" s="420"/>
      <c r="J91" s="420"/>
      <c r="K91" s="420"/>
      <c r="L91" s="420"/>
      <c r="M91" s="420"/>
      <c r="N91" s="420"/>
      <c r="O91" s="420"/>
      <c r="P91" s="420"/>
      <c r="Q91" s="420"/>
      <c r="R91" s="420"/>
      <c r="S91" s="420"/>
      <c r="T91" s="420"/>
    </row>
    <row r="92" spans="1:20">
      <c r="A92" s="420"/>
      <c r="B92" s="420"/>
      <c r="C92" s="420"/>
      <c r="D92" s="420"/>
      <c r="E92" s="420"/>
      <c r="F92" s="420"/>
      <c r="G92" s="420"/>
      <c r="H92" s="420"/>
      <c r="I92" s="420"/>
      <c r="J92" s="420"/>
      <c r="K92" s="420"/>
      <c r="L92" s="420"/>
      <c r="M92" s="420"/>
      <c r="N92" s="420"/>
      <c r="O92" s="420"/>
      <c r="P92" s="420"/>
      <c r="Q92" s="420"/>
      <c r="R92" s="420"/>
      <c r="S92" s="420"/>
      <c r="T92" s="420"/>
    </row>
    <row r="93" spans="1:20">
      <c r="A93" s="420"/>
      <c r="B93" s="420"/>
      <c r="C93" s="420"/>
      <c r="D93" s="420"/>
      <c r="E93" s="420"/>
      <c r="F93" s="420"/>
      <c r="G93" s="420"/>
      <c r="H93" s="420"/>
      <c r="I93" s="420"/>
      <c r="J93" s="420"/>
      <c r="K93" s="420"/>
      <c r="L93" s="420"/>
      <c r="M93" s="420"/>
      <c r="N93" s="420"/>
      <c r="O93" s="420"/>
      <c r="P93" s="420"/>
      <c r="Q93" s="420"/>
      <c r="R93" s="420"/>
      <c r="S93" s="420"/>
      <c r="T93" s="420"/>
    </row>
    <row r="94" spans="1:20">
      <c r="A94" s="420"/>
      <c r="B94" s="420"/>
      <c r="C94" s="420"/>
      <c r="D94" s="420"/>
      <c r="E94" s="420"/>
      <c r="F94" s="420"/>
      <c r="G94" s="420"/>
      <c r="H94" s="420"/>
      <c r="I94" s="420"/>
      <c r="J94" s="420"/>
      <c r="K94" s="420"/>
      <c r="L94" s="420"/>
      <c r="M94" s="420"/>
      <c r="N94" s="420"/>
      <c r="O94" s="420"/>
      <c r="P94" s="420"/>
      <c r="Q94" s="420"/>
      <c r="R94" s="420"/>
      <c r="S94" s="420"/>
      <c r="T94" s="420"/>
    </row>
    <row r="95" spans="1:20">
      <c r="A95" s="420"/>
      <c r="B95" s="420"/>
      <c r="C95" s="420"/>
      <c r="D95" s="420"/>
      <c r="E95" s="420"/>
      <c r="F95" s="420"/>
      <c r="G95" s="420"/>
      <c r="H95" s="420"/>
      <c r="I95" s="420"/>
      <c r="J95" s="420"/>
      <c r="K95" s="420"/>
      <c r="L95" s="420"/>
      <c r="M95" s="420"/>
      <c r="N95" s="420"/>
      <c r="O95" s="420"/>
      <c r="P95" s="420"/>
      <c r="Q95" s="420"/>
      <c r="R95" s="420"/>
      <c r="S95" s="420"/>
      <c r="T95" s="420"/>
    </row>
    <row r="96" spans="1:20">
      <c r="A96" s="420"/>
      <c r="B96" s="420"/>
      <c r="C96" s="420"/>
      <c r="D96" s="420"/>
      <c r="E96" s="420"/>
      <c r="F96" s="420"/>
      <c r="G96" s="420"/>
      <c r="H96" s="420"/>
      <c r="I96" s="420"/>
      <c r="J96" s="420"/>
      <c r="K96" s="420"/>
      <c r="L96" s="420"/>
      <c r="M96" s="420"/>
      <c r="N96" s="420"/>
      <c r="O96" s="420"/>
      <c r="P96" s="420"/>
      <c r="Q96" s="420"/>
      <c r="R96" s="420"/>
      <c r="S96" s="420"/>
      <c r="T96" s="420"/>
    </row>
    <row r="97" spans="1:20">
      <c r="A97" s="420"/>
      <c r="B97" s="420"/>
      <c r="C97" s="420"/>
      <c r="D97" s="420"/>
      <c r="E97" s="420"/>
      <c r="F97" s="420"/>
      <c r="G97" s="420"/>
      <c r="H97" s="420"/>
      <c r="I97" s="420"/>
      <c r="J97" s="420"/>
      <c r="K97" s="420"/>
      <c r="L97" s="420"/>
      <c r="M97" s="420"/>
      <c r="N97" s="420"/>
      <c r="O97" s="420"/>
      <c r="P97" s="420"/>
      <c r="Q97" s="420"/>
      <c r="R97" s="420"/>
      <c r="S97" s="420"/>
      <c r="T97" s="420"/>
    </row>
    <row r="98" spans="1:20">
      <c r="A98" s="420"/>
      <c r="B98" s="420"/>
      <c r="C98" s="420"/>
      <c r="D98" s="420"/>
      <c r="E98" s="420"/>
      <c r="F98" s="420"/>
      <c r="G98" s="420"/>
      <c r="H98" s="420"/>
      <c r="I98" s="420"/>
      <c r="J98" s="420"/>
      <c r="K98" s="420"/>
      <c r="L98" s="420"/>
      <c r="M98" s="420"/>
      <c r="N98" s="420"/>
      <c r="O98" s="420"/>
      <c r="P98" s="420"/>
      <c r="Q98" s="420"/>
      <c r="R98" s="420"/>
      <c r="S98" s="420"/>
      <c r="T98" s="420"/>
    </row>
    <row r="99" spans="1:20">
      <c r="A99" s="420"/>
      <c r="B99" s="420"/>
      <c r="C99" s="420"/>
      <c r="D99" s="420"/>
      <c r="E99" s="420"/>
      <c r="F99" s="420"/>
      <c r="G99" s="420"/>
      <c r="H99" s="420"/>
      <c r="I99" s="420"/>
      <c r="J99" s="420"/>
      <c r="K99" s="420"/>
      <c r="L99" s="420"/>
      <c r="M99" s="420"/>
      <c r="N99" s="420"/>
      <c r="O99" s="420"/>
      <c r="P99" s="420"/>
      <c r="Q99" s="420"/>
      <c r="R99" s="420"/>
      <c r="S99" s="420"/>
      <c r="T99" s="420"/>
    </row>
    <row r="100" spans="1:20">
      <c r="A100" s="420"/>
      <c r="B100" s="420"/>
      <c r="C100" s="420"/>
      <c r="D100" s="420"/>
      <c r="E100" s="420"/>
      <c r="F100" s="420"/>
      <c r="G100" s="420"/>
      <c r="H100" s="420"/>
      <c r="I100" s="420"/>
      <c r="J100" s="420"/>
      <c r="K100" s="420"/>
      <c r="L100" s="420"/>
      <c r="M100" s="420"/>
      <c r="N100" s="420"/>
      <c r="O100" s="420"/>
      <c r="P100" s="420"/>
      <c r="Q100" s="420"/>
      <c r="R100" s="420"/>
      <c r="S100" s="420"/>
      <c r="T100" s="420"/>
    </row>
    <row r="101" spans="1:20">
      <c r="A101" s="420"/>
      <c r="B101" s="420"/>
      <c r="C101" s="420"/>
      <c r="D101" s="420"/>
      <c r="E101" s="420"/>
      <c r="F101" s="420"/>
      <c r="G101" s="420"/>
      <c r="H101" s="420"/>
      <c r="I101" s="420"/>
      <c r="J101" s="420"/>
      <c r="K101" s="420"/>
      <c r="L101" s="420"/>
      <c r="M101" s="420"/>
      <c r="N101" s="420"/>
      <c r="O101" s="420"/>
      <c r="P101" s="420"/>
      <c r="Q101" s="420"/>
      <c r="R101" s="420"/>
      <c r="S101" s="420"/>
      <c r="T101" s="420"/>
    </row>
    <row r="102" spans="1:20">
      <c r="A102" s="420"/>
      <c r="B102" s="420"/>
      <c r="C102" s="420"/>
      <c r="D102" s="420"/>
      <c r="E102" s="420"/>
      <c r="F102" s="420"/>
      <c r="G102" s="420"/>
      <c r="H102" s="420"/>
      <c r="I102" s="420"/>
      <c r="J102" s="420"/>
      <c r="K102" s="420"/>
      <c r="L102" s="420"/>
      <c r="M102" s="420"/>
      <c r="N102" s="420"/>
      <c r="O102" s="420"/>
      <c r="P102" s="420"/>
      <c r="Q102" s="420"/>
      <c r="R102" s="420"/>
      <c r="S102" s="420"/>
      <c r="T102" s="420"/>
    </row>
    <row r="103" spans="1:20">
      <c r="A103" s="420"/>
      <c r="B103" s="420"/>
      <c r="C103" s="420"/>
      <c r="D103" s="420"/>
      <c r="E103" s="420"/>
      <c r="F103" s="420"/>
      <c r="G103" s="420"/>
      <c r="H103" s="420"/>
      <c r="I103" s="420"/>
      <c r="J103" s="420"/>
      <c r="K103" s="420"/>
      <c r="L103" s="420"/>
      <c r="M103" s="420"/>
      <c r="N103" s="420"/>
      <c r="O103" s="420"/>
      <c r="P103" s="420"/>
      <c r="Q103" s="420"/>
      <c r="R103" s="420"/>
      <c r="S103" s="420"/>
      <c r="T103" s="420"/>
    </row>
    <row r="104" spans="1:20">
      <c r="A104" s="420"/>
      <c r="B104" s="420"/>
      <c r="C104" s="420"/>
      <c r="D104" s="420"/>
      <c r="E104" s="420"/>
      <c r="F104" s="420"/>
      <c r="G104" s="420"/>
      <c r="H104" s="420"/>
      <c r="I104" s="420"/>
      <c r="J104" s="420"/>
      <c r="K104" s="420"/>
      <c r="L104" s="420"/>
      <c r="M104" s="420"/>
      <c r="N104" s="420"/>
      <c r="O104" s="420"/>
      <c r="P104" s="420"/>
      <c r="Q104" s="420"/>
      <c r="R104" s="420"/>
      <c r="S104" s="420"/>
      <c r="T104" s="420"/>
    </row>
    <row r="105" spans="1:20">
      <c r="A105" s="228"/>
      <c r="B105" s="228"/>
      <c r="C105" s="228"/>
      <c r="D105" s="228"/>
      <c r="E105" s="228"/>
      <c r="F105" s="228"/>
      <c r="G105" s="228"/>
      <c r="H105" s="228"/>
      <c r="I105" s="228"/>
      <c r="J105" s="228"/>
      <c r="K105" s="228"/>
      <c r="L105" s="228"/>
      <c r="M105" s="228"/>
      <c r="N105" s="228"/>
      <c r="O105" s="228"/>
      <c r="P105" s="228"/>
      <c r="Q105" s="228"/>
      <c r="R105" s="228"/>
      <c r="S105" s="228"/>
      <c r="T105" s="228"/>
    </row>
    <row r="106" spans="1:20" hidden="1">
      <c r="A106" s="228"/>
      <c r="B106" s="228"/>
      <c r="C106" s="228"/>
      <c r="D106" s="228"/>
      <c r="E106" s="228"/>
      <c r="F106" s="228"/>
      <c r="G106" s="228"/>
      <c r="H106" s="228"/>
      <c r="I106" s="228"/>
      <c r="J106" s="228"/>
      <c r="K106" s="228"/>
      <c r="L106" s="228"/>
      <c r="M106" s="228"/>
      <c r="N106" s="228"/>
      <c r="O106" s="228"/>
      <c r="P106" s="228"/>
      <c r="Q106" s="228"/>
      <c r="R106" s="228"/>
      <c r="S106" s="228"/>
      <c r="T106" s="228"/>
    </row>
    <row r="107" spans="1:20" hidden="1">
      <c r="A107" s="228"/>
      <c r="B107" s="228"/>
      <c r="C107" s="228"/>
      <c r="D107" s="228"/>
      <c r="E107" s="228"/>
      <c r="F107" s="228"/>
      <c r="G107" s="228"/>
      <c r="H107" s="228"/>
      <c r="I107" s="228"/>
      <c r="J107" s="228"/>
      <c r="K107" s="228"/>
      <c r="L107" s="228"/>
      <c r="M107" s="228"/>
      <c r="N107" s="228"/>
      <c r="O107" s="228"/>
      <c r="P107" s="228"/>
      <c r="Q107" s="228"/>
      <c r="R107" s="228"/>
      <c r="S107" s="228"/>
      <c r="T107" s="228"/>
    </row>
    <row r="108" spans="1:20" hidden="1">
      <c r="A108" s="228"/>
      <c r="B108" s="228"/>
      <c r="C108" s="228"/>
      <c r="D108" s="228"/>
      <c r="E108" s="228"/>
      <c r="F108" s="228"/>
      <c r="G108" s="228"/>
      <c r="H108" s="228"/>
      <c r="I108" s="228"/>
      <c r="J108" s="228"/>
      <c r="K108" s="228"/>
      <c r="L108" s="228"/>
      <c r="M108" s="228"/>
      <c r="N108" s="228"/>
      <c r="O108" s="228"/>
      <c r="P108" s="228"/>
      <c r="Q108" s="228"/>
      <c r="R108" s="228"/>
      <c r="S108" s="228"/>
      <c r="T108" s="228"/>
    </row>
    <row r="109" spans="1:20" hidden="1">
      <c r="A109" s="228"/>
      <c r="B109" s="228"/>
      <c r="C109" s="228"/>
      <c r="D109" s="228"/>
      <c r="E109" s="228"/>
      <c r="F109" s="228"/>
      <c r="G109" s="228"/>
      <c r="H109" s="228"/>
      <c r="I109" s="228"/>
      <c r="J109" s="228"/>
      <c r="K109" s="228"/>
      <c r="L109" s="228"/>
      <c r="M109" s="228"/>
      <c r="N109" s="228"/>
      <c r="O109" s="228"/>
      <c r="P109" s="228"/>
      <c r="Q109" s="228"/>
      <c r="R109" s="228"/>
      <c r="S109" s="228"/>
      <c r="T109" s="228"/>
    </row>
    <row r="110" spans="1:20" hidden="1">
      <c r="A110" s="228"/>
      <c r="B110" s="228"/>
      <c r="C110" s="228"/>
      <c r="D110" s="228"/>
      <c r="E110" s="228"/>
      <c r="F110" s="228"/>
      <c r="G110" s="228"/>
      <c r="H110" s="228"/>
      <c r="I110" s="228"/>
      <c r="J110" s="228"/>
      <c r="K110" s="228"/>
      <c r="L110" s="228"/>
      <c r="M110" s="228"/>
      <c r="N110" s="228"/>
      <c r="O110" s="228"/>
      <c r="P110" s="228"/>
      <c r="Q110" s="228"/>
      <c r="R110" s="228"/>
      <c r="S110" s="228"/>
      <c r="T110" s="228"/>
    </row>
    <row r="111" spans="1:20" hidden="1">
      <c r="A111" s="228"/>
      <c r="B111" s="228"/>
      <c r="C111" s="228"/>
      <c r="D111" s="228"/>
      <c r="E111" s="228"/>
      <c r="F111" s="228"/>
      <c r="G111" s="228"/>
      <c r="H111" s="228"/>
      <c r="I111" s="228"/>
      <c r="J111" s="228"/>
      <c r="K111" s="228"/>
      <c r="L111" s="228"/>
      <c r="M111" s="228"/>
      <c r="N111" s="228"/>
      <c r="O111" s="228"/>
      <c r="P111" s="228"/>
      <c r="Q111" s="228"/>
      <c r="R111" s="228"/>
      <c r="S111" s="228"/>
      <c r="T111" s="228"/>
    </row>
    <row r="112" spans="1:20" hidden="1">
      <c r="A112" s="228"/>
      <c r="B112" s="228"/>
      <c r="C112" s="228"/>
      <c r="D112" s="228"/>
      <c r="E112" s="228"/>
      <c r="F112" s="228"/>
      <c r="G112" s="228"/>
      <c r="H112" s="228"/>
      <c r="I112" s="228"/>
      <c r="J112" s="228"/>
      <c r="K112" s="228"/>
      <c r="L112" s="228"/>
      <c r="M112" s="228"/>
      <c r="N112" s="228"/>
      <c r="O112" s="228"/>
      <c r="P112" s="228"/>
      <c r="Q112" s="228"/>
      <c r="R112" s="228"/>
      <c r="S112" s="228"/>
      <c r="T112" s="228"/>
    </row>
    <row r="113" spans="1:20" hidden="1">
      <c r="A113" s="228"/>
      <c r="B113" s="228"/>
      <c r="C113" s="228"/>
      <c r="D113" s="228"/>
      <c r="E113" s="228"/>
      <c r="F113" s="228"/>
      <c r="G113" s="228"/>
      <c r="H113" s="228"/>
      <c r="I113" s="228"/>
      <c r="J113" s="228"/>
      <c r="K113" s="228"/>
      <c r="L113" s="228"/>
      <c r="M113" s="228"/>
      <c r="N113" s="228"/>
      <c r="O113" s="228"/>
      <c r="P113" s="228"/>
      <c r="Q113" s="228"/>
      <c r="R113" s="228"/>
      <c r="S113" s="228"/>
      <c r="T113" s="228"/>
    </row>
    <row r="114" spans="1:20" hidden="1">
      <c r="A114" s="228"/>
      <c r="B114" s="228"/>
      <c r="C114" s="228"/>
      <c r="D114" s="228"/>
      <c r="E114" s="228"/>
      <c r="F114" s="228"/>
      <c r="G114" s="228"/>
      <c r="H114" s="228"/>
      <c r="I114" s="228"/>
      <c r="J114" s="228"/>
      <c r="K114" s="228"/>
      <c r="L114" s="228"/>
      <c r="M114" s="228"/>
      <c r="N114" s="228"/>
      <c r="O114" s="228"/>
      <c r="P114" s="228"/>
      <c r="Q114" s="228"/>
      <c r="R114" s="228"/>
      <c r="S114" s="228"/>
      <c r="T114" s="228"/>
    </row>
    <row r="115" spans="1:20" hidden="1">
      <c r="A115" s="228"/>
      <c r="B115" s="228"/>
      <c r="C115" s="228"/>
      <c r="D115" s="228"/>
      <c r="E115" s="228"/>
      <c r="F115" s="228"/>
      <c r="G115" s="228"/>
      <c r="H115" s="228"/>
      <c r="I115" s="228"/>
      <c r="J115" s="228"/>
      <c r="K115" s="228"/>
      <c r="L115" s="228"/>
      <c r="M115" s="228"/>
      <c r="N115" s="228"/>
      <c r="O115" s="228"/>
      <c r="P115" s="228"/>
      <c r="Q115" s="228"/>
      <c r="R115" s="228"/>
      <c r="S115" s="228"/>
      <c r="T115" s="228"/>
    </row>
    <row r="116" spans="1:20" hidden="1">
      <c r="A116" s="228"/>
      <c r="B116" s="228"/>
      <c r="C116" s="228"/>
      <c r="D116" s="228"/>
      <c r="E116" s="228"/>
      <c r="F116" s="228"/>
      <c r="G116" s="228"/>
      <c r="H116" s="228"/>
      <c r="I116" s="228"/>
      <c r="J116" s="228"/>
      <c r="K116" s="228"/>
      <c r="L116" s="228"/>
      <c r="M116" s="228"/>
      <c r="N116" s="228"/>
      <c r="O116" s="228"/>
      <c r="P116" s="228"/>
      <c r="Q116" s="228"/>
      <c r="R116" s="228"/>
      <c r="S116" s="228"/>
      <c r="T116" s="228"/>
    </row>
    <row r="117" spans="1:20" hidden="1">
      <c r="A117" s="228"/>
      <c r="B117" s="228"/>
      <c r="C117" s="228"/>
      <c r="D117" s="228"/>
      <c r="E117" s="228"/>
      <c r="F117" s="228"/>
      <c r="G117" s="228"/>
      <c r="H117" s="228"/>
      <c r="I117" s="228"/>
      <c r="J117" s="228"/>
      <c r="K117" s="228"/>
      <c r="L117" s="228"/>
      <c r="M117" s="228"/>
      <c r="N117" s="228"/>
      <c r="O117" s="228"/>
      <c r="P117" s="228"/>
      <c r="Q117" s="228"/>
      <c r="R117" s="228"/>
      <c r="S117" s="228"/>
      <c r="T117" s="228"/>
    </row>
    <row r="118" spans="1:20" hidden="1">
      <c r="A118" s="228"/>
      <c r="B118" s="228"/>
      <c r="C118" s="228"/>
      <c r="D118" s="228"/>
      <c r="E118" s="228"/>
      <c r="F118" s="228"/>
      <c r="G118" s="228"/>
      <c r="H118" s="228"/>
      <c r="I118" s="228"/>
      <c r="J118" s="228"/>
      <c r="K118" s="228"/>
      <c r="L118" s="228"/>
      <c r="M118" s="228"/>
      <c r="N118" s="228"/>
      <c r="O118" s="228"/>
      <c r="P118" s="228"/>
      <c r="Q118" s="228"/>
      <c r="R118" s="228"/>
      <c r="S118" s="228"/>
      <c r="T118" s="228"/>
    </row>
    <row r="119" spans="1:20" hidden="1">
      <c r="A119" s="228"/>
      <c r="B119" s="228"/>
      <c r="C119" s="228"/>
      <c r="D119" s="228"/>
      <c r="E119" s="228"/>
      <c r="F119" s="228"/>
      <c r="G119" s="228"/>
      <c r="H119" s="228"/>
      <c r="I119" s="228"/>
      <c r="J119" s="228"/>
      <c r="K119" s="228"/>
      <c r="L119" s="228"/>
      <c r="M119" s="228"/>
      <c r="N119" s="228"/>
      <c r="O119" s="228"/>
      <c r="P119" s="228"/>
      <c r="Q119" s="228"/>
      <c r="R119" s="228"/>
      <c r="S119" s="228"/>
      <c r="T119" s="228"/>
    </row>
    <row r="120" spans="1:20" hidden="1">
      <c r="A120" s="228"/>
      <c r="B120" s="228"/>
      <c r="C120" s="228"/>
      <c r="D120" s="228"/>
      <c r="E120" s="228"/>
      <c r="F120" s="228"/>
      <c r="G120" s="228"/>
      <c r="H120" s="228"/>
      <c r="I120" s="228"/>
      <c r="J120" s="228"/>
      <c r="K120" s="228"/>
      <c r="L120" s="228"/>
      <c r="M120" s="228"/>
      <c r="N120" s="228"/>
      <c r="O120" s="228"/>
      <c r="P120" s="228"/>
      <c r="Q120" s="228"/>
      <c r="R120" s="228"/>
      <c r="S120" s="228"/>
      <c r="T120" s="228"/>
    </row>
    <row r="121" spans="1:20" hidden="1">
      <c r="A121" s="228"/>
      <c r="B121" s="228"/>
      <c r="C121" s="228"/>
      <c r="D121" s="228"/>
      <c r="E121" s="228"/>
      <c r="F121" s="228"/>
      <c r="G121" s="228"/>
      <c r="H121" s="228"/>
      <c r="I121" s="228"/>
      <c r="J121" s="228"/>
      <c r="K121" s="228"/>
      <c r="L121" s="228"/>
      <c r="M121" s="228"/>
      <c r="N121" s="228"/>
      <c r="O121" s="228"/>
      <c r="P121" s="228"/>
      <c r="Q121" s="228"/>
      <c r="R121" s="228"/>
      <c r="S121" s="228"/>
      <c r="T121" s="228"/>
    </row>
    <row r="122" spans="1:20" hidden="1">
      <c r="A122" s="228"/>
      <c r="B122" s="228"/>
      <c r="C122" s="228"/>
      <c r="D122" s="228"/>
      <c r="E122" s="228"/>
      <c r="F122" s="228"/>
      <c r="G122" s="228"/>
      <c r="H122" s="228"/>
      <c r="I122" s="228"/>
      <c r="J122" s="228"/>
      <c r="K122" s="228"/>
      <c r="L122" s="228"/>
      <c r="M122" s="228"/>
      <c r="N122" s="228"/>
      <c r="O122" s="228"/>
      <c r="P122" s="228"/>
      <c r="Q122" s="228"/>
      <c r="R122" s="228"/>
      <c r="S122" s="228"/>
      <c r="T122" s="228"/>
    </row>
    <row r="123" spans="1:20" hidden="1">
      <c r="A123" s="228"/>
      <c r="B123" s="228"/>
      <c r="C123" s="228"/>
      <c r="D123" s="228"/>
      <c r="E123" s="228"/>
      <c r="F123" s="228"/>
      <c r="G123" s="228"/>
      <c r="H123" s="228"/>
      <c r="I123" s="228"/>
      <c r="J123" s="228"/>
      <c r="K123" s="228"/>
      <c r="L123" s="228"/>
      <c r="M123" s="228"/>
      <c r="N123" s="228"/>
      <c r="O123" s="228"/>
      <c r="P123" s="228"/>
      <c r="Q123" s="228"/>
      <c r="R123" s="228"/>
      <c r="S123" s="228"/>
      <c r="T123" s="228"/>
    </row>
    <row r="124" spans="1:20" hidden="1">
      <c r="A124" s="228"/>
      <c r="B124" s="228"/>
      <c r="C124" s="228"/>
      <c r="D124" s="228"/>
      <c r="E124" s="228"/>
      <c r="F124" s="228"/>
      <c r="G124" s="228"/>
      <c r="H124" s="228"/>
      <c r="I124" s="228"/>
      <c r="J124" s="228"/>
      <c r="K124" s="228"/>
      <c r="L124" s="228"/>
      <c r="M124" s="228"/>
      <c r="N124" s="228"/>
      <c r="O124" s="228"/>
      <c r="P124" s="228"/>
      <c r="Q124" s="228"/>
      <c r="R124" s="228"/>
      <c r="S124" s="228"/>
      <c r="T124" s="228"/>
    </row>
    <row r="125" spans="1:20" hidden="1">
      <c r="A125" s="228"/>
      <c r="B125" s="228"/>
      <c r="C125" s="228"/>
      <c r="D125" s="228"/>
      <c r="E125" s="228"/>
      <c r="F125" s="228"/>
      <c r="G125" s="228"/>
      <c r="H125" s="228"/>
      <c r="I125" s="228"/>
      <c r="J125" s="228"/>
      <c r="K125" s="228"/>
      <c r="L125" s="228"/>
      <c r="M125" s="228"/>
      <c r="N125" s="228"/>
      <c r="O125" s="228"/>
      <c r="P125" s="228"/>
      <c r="Q125" s="228"/>
      <c r="R125" s="228"/>
      <c r="S125" s="228"/>
      <c r="T125" s="228"/>
    </row>
    <row r="126" spans="1:20" hidden="1">
      <c r="A126" s="228"/>
      <c r="B126" s="228"/>
      <c r="C126" s="228"/>
      <c r="D126" s="228"/>
      <c r="E126" s="228"/>
      <c r="F126" s="228"/>
      <c r="G126" s="228"/>
      <c r="H126" s="228"/>
      <c r="I126" s="228"/>
      <c r="J126" s="228"/>
      <c r="K126" s="228"/>
      <c r="L126" s="228"/>
      <c r="M126" s="228"/>
      <c r="N126" s="228"/>
      <c r="O126" s="228"/>
      <c r="P126" s="228"/>
      <c r="Q126" s="228"/>
      <c r="R126" s="228"/>
      <c r="S126" s="228"/>
      <c r="T126" s="228"/>
    </row>
    <row r="127" spans="1:20" hidden="1">
      <c r="A127" s="228"/>
      <c r="B127" s="228"/>
      <c r="C127" s="228"/>
      <c r="D127" s="228"/>
      <c r="E127" s="228"/>
      <c r="F127" s="228"/>
      <c r="G127" s="228"/>
      <c r="H127" s="228"/>
      <c r="I127" s="228"/>
      <c r="J127" s="228"/>
      <c r="K127" s="228"/>
      <c r="L127" s="228"/>
      <c r="M127" s="228"/>
      <c r="N127" s="228"/>
      <c r="O127" s="228"/>
      <c r="P127" s="228"/>
      <c r="Q127" s="228"/>
      <c r="R127" s="228"/>
      <c r="S127" s="228"/>
      <c r="T127" s="228"/>
    </row>
    <row r="128" spans="1:20" hidden="1">
      <c r="A128" s="228"/>
      <c r="B128" s="228"/>
      <c r="C128" s="228"/>
      <c r="D128" s="228"/>
      <c r="E128" s="228"/>
      <c r="F128" s="228"/>
      <c r="G128" s="228"/>
      <c r="H128" s="228"/>
      <c r="I128" s="228"/>
      <c r="J128" s="228"/>
      <c r="K128" s="228"/>
      <c r="L128" s="228"/>
      <c r="M128" s="228"/>
      <c r="N128" s="228"/>
      <c r="O128" s="228"/>
      <c r="P128" s="228"/>
      <c r="Q128" s="228"/>
      <c r="R128" s="228"/>
      <c r="S128" s="228"/>
      <c r="T128" s="228"/>
    </row>
    <row r="129" spans="1:20" hidden="1">
      <c r="A129" s="228"/>
      <c r="B129" s="228"/>
      <c r="C129" s="228"/>
      <c r="D129" s="228"/>
      <c r="E129" s="228"/>
      <c r="F129" s="228"/>
      <c r="G129" s="228"/>
      <c r="H129" s="228"/>
      <c r="I129" s="228"/>
      <c r="J129" s="228"/>
      <c r="K129" s="228"/>
      <c r="L129" s="228"/>
      <c r="M129" s="228"/>
      <c r="N129" s="228"/>
      <c r="O129" s="228"/>
      <c r="P129" s="228"/>
      <c r="Q129" s="228"/>
      <c r="R129" s="228"/>
      <c r="S129" s="228"/>
      <c r="T129" s="228"/>
    </row>
    <row r="130" spans="1:20" hidden="1">
      <c r="A130" s="228"/>
      <c r="B130" s="228"/>
      <c r="C130" s="228"/>
      <c r="D130" s="228"/>
      <c r="E130" s="228"/>
      <c r="F130" s="228"/>
      <c r="G130" s="228"/>
      <c r="H130" s="228"/>
      <c r="I130" s="228"/>
      <c r="J130" s="228"/>
      <c r="K130" s="228"/>
      <c r="L130" s="228"/>
      <c r="M130" s="228"/>
      <c r="N130" s="228"/>
      <c r="O130" s="228"/>
      <c r="P130" s="228"/>
      <c r="Q130" s="228"/>
      <c r="R130" s="228"/>
      <c r="S130" s="228"/>
      <c r="T130" s="228"/>
    </row>
    <row r="131" spans="1:20" hidden="1">
      <c r="A131" s="228"/>
      <c r="B131" s="228"/>
      <c r="C131" s="228"/>
      <c r="D131" s="228"/>
      <c r="E131" s="228"/>
      <c r="F131" s="228"/>
      <c r="G131" s="228"/>
      <c r="H131" s="228"/>
      <c r="I131" s="228"/>
      <c r="J131" s="228"/>
      <c r="K131" s="228"/>
      <c r="L131" s="228"/>
      <c r="M131" s="228"/>
      <c r="N131" s="228"/>
      <c r="O131" s="228"/>
      <c r="P131" s="228"/>
      <c r="Q131" s="228"/>
      <c r="R131" s="228"/>
      <c r="S131" s="228"/>
      <c r="T131" s="228"/>
    </row>
    <row r="132" spans="1:20" hidden="1">
      <c r="A132" s="228"/>
      <c r="B132" s="228"/>
      <c r="C132" s="228"/>
      <c r="D132" s="228"/>
      <c r="E132" s="228"/>
      <c r="F132" s="228"/>
      <c r="G132" s="228"/>
      <c r="H132" s="228"/>
      <c r="I132" s="228"/>
      <c r="J132" s="228"/>
      <c r="K132" s="228"/>
      <c r="L132" s="228"/>
      <c r="M132" s="228"/>
      <c r="N132" s="228"/>
      <c r="O132" s="228"/>
      <c r="P132" s="228"/>
      <c r="Q132" s="228"/>
      <c r="R132" s="228"/>
      <c r="S132" s="228"/>
      <c r="T132" s="228"/>
    </row>
    <row r="133" spans="1:20" hidden="1">
      <c r="A133" s="228"/>
      <c r="B133" s="228"/>
      <c r="C133" s="228"/>
      <c r="D133" s="228"/>
      <c r="E133" s="228"/>
      <c r="F133" s="228"/>
      <c r="G133" s="228"/>
      <c r="H133" s="228"/>
      <c r="I133" s="228"/>
      <c r="J133" s="228"/>
      <c r="K133" s="228"/>
      <c r="L133" s="228"/>
      <c r="M133" s="228"/>
      <c r="N133" s="228"/>
      <c r="O133" s="228"/>
      <c r="P133" s="228"/>
      <c r="Q133" s="228"/>
      <c r="R133" s="228"/>
      <c r="S133" s="228"/>
      <c r="T133" s="228"/>
    </row>
    <row r="134" spans="1:20" hidden="1">
      <c r="A134" s="228"/>
      <c r="B134" s="228"/>
      <c r="C134" s="228"/>
      <c r="D134" s="228"/>
      <c r="E134" s="228"/>
      <c r="F134" s="228"/>
      <c r="G134" s="228"/>
      <c r="H134" s="228"/>
      <c r="I134" s="228"/>
      <c r="J134" s="228"/>
      <c r="K134" s="228"/>
      <c r="L134" s="228"/>
      <c r="M134" s="228"/>
      <c r="N134" s="228"/>
      <c r="O134" s="228"/>
      <c r="P134" s="228"/>
      <c r="Q134" s="228"/>
      <c r="R134" s="228"/>
      <c r="S134" s="228"/>
      <c r="T134" s="228"/>
    </row>
    <row r="135" spans="1:20" hidden="1">
      <c r="A135" s="228"/>
      <c r="B135" s="228"/>
      <c r="C135" s="228"/>
      <c r="D135" s="228"/>
      <c r="E135" s="228"/>
      <c r="F135" s="228"/>
      <c r="G135" s="228"/>
      <c r="H135" s="228"/>
      <c r="I135" s="228"/>
      <c r="J135" s="228"/>
      <c r="K135" s="228"/>
      <c r="L135" s="228"/>
      <c r="M135" s="228"/>
      <c r="N135" s="228"/>
      <c r="O135" s="228"/>
      <c r="P135" s="228"/>
      <c r="Q135" s="228"/>
      <c r="R135" s="228"/>
      <c r="S135" s="228"/>
      <c r="T135" s="228"/>
    </row>
    <row r="136" spans="1:20" hidden="1">
      <c r="A136" s="228"/>
      <c r="B136" s="228"/>
      <c r="C136" s="228"/>
      <c r="D136" s="228"/>
      <c r="E136" s="228"/>
      <c r="F136" s="228"/>
      <c r="G136" s="228"/>
      <c r="H136" s="228"/>
      <c r="I136" s="228"/>
      <c r="J136" s="228"/>
      <c r="K136" s="228"/>
      <c r="L136" s="228"/>
      <c r="M136" s="228"/>
      <c r="N136" s="228"/>
      <c r="O136" s="228"/>
      <c r="P136" s="228"/>
      <c r="Q136" s="228"/>
      <c r="R136" s="228"/>
      <c r="S136" s="228"/>
      <c r="T136" s="228"/>
    </row>
    <row r="137" spans="1:20" hidden="1">
      <c r="A137" s="228"/>
      <c r="B137" s="228"/>
      <c r="C137" s="228"/>
      <c r="D137" s="228"/>
      <c r="E137" s="228"/>
      <c r="F137" s="228"/>
      <c r="G137" s="228"/>
      <c r="H137" s="228"/>
      <c r="I137" s="228"/>
      <c r="J137" s="228"/>
      <c r="K137" s="228"/>
      <c r="L137" s="228"/>
      <c r="M137" s="228"/>
      <c r="N137" s="228"/>
      <c r="O137" s="228"/>
      <c r="P137" s="228"/>
      <c r="Q137" s="228"/>
      <c r="R137" s="228"/>
      <c r="S137" s="228"/>
      <c r="T137" s="228"/>
    </row>
    <row r="138" spans="1:20" hidden="1">
      <c r="A138" s="228"/>
      <c r="B138" s="228"/>
      <c r="C138" s="228"/>
      <c r="D138" s="228"/>
      <c r="E138" s="228"/>
      <c r="F138" s="228"/>
      <c r="G138" s="228"/>
      <c r="H138" s="228"/>
      <c r="I138" s="228"/>
      <c r="J138" s="228"/>
      <c r="K138" s="228"/>
      <c r="L138" s="228"/>
      <c r="M138" s="228"/>
      <c r="N138" s="228"/>
      <c r="O138" s="228"/>
      <c r="P138" s="228"/>
      <c r="Q138" s="228"/>
      <c r="R138" s="228"/>
      <c r="S138" s="228"/>
      <c r="T138" s="228"/>
    </row>
    <row r="139" spans="1:20" hidden="1">
      <c r="A139" s="228"/>
      <c r="B139" s="228"/>
      <c r="C139" s="228"/>
      <c r="D139" s="228"/>
      <c r="E139" s="228"/>
      <c r="F139" s="228"/>
      <c r="G139" s="228"/>
      <c r="H139" s="228"/>
      <c r="I139" s="228"/>
      <c r="J139" s="228"/>
      <c r="K139" s="228"/>
      <c r="L139" s="228"/>
      <c r="M139" s="228"/>
      <c r="N139" s="228"/>
      <c r="O139" s="228"/>
      <c r="P139" s="228"/>
      <c r="Q139" s="228"/>
      <c r="R139" s="228"/>
      <c r="S139" s="228"/>
      <c r="T139" s="228"/>
    </row>
    <row r="140" spans="1:20" hidden="1">
      <c r="A140" s="228"/>
      <c r="B140" s="228"/>
      <c r="C140" s="228"/>
      <c r="D140" s="228"/>
      <c r="E140" s="228"/>
      <c r="F140" s="228"/>
      <c r="G140" s="228"/>
      <c r="H140" s="228"/>
      <c r="I140" s="228"/>
      <c r="J140" s="228"/>
      <c r="K140" s="228"/>
      <c r="L140" s="228"/>
      <c r="M140" s="228"/>
      <c r="N140" s="228"/>
      <c r="O140" s="228"/>
      <c r="P140" s="228"/>
      <c r="Q140" s="228"/>
      <c r="R140" s="228"/>
      <c r="S140" s="228"/>
      <c r="T140" s="228"/>
    </row>
    <row r="141" spans="1:20" hidden="1">
      <c r="A141" s="228"/>
      <c r="B141" s="228"/>
      <c r="C141" s="228"/>
      <c r="D141" s="228"/>
      <c r="E141" s="228"/>
      <c r="F141" s="228"/>
      <c r="G141" s="228"/>
      <c r="H141" s="228"/>
      <c r="I141" s="228"/>
      <c r="J141" s="228"/>
      <c r="K141" s="228"/>
      <c r="L141" s="228"/>
      <c r="M141" s="228"/>
      <c r="N141" s="228"/>
      <c r="O141" s="228"/>
      <c r="P141" s="228"/>
      <c r="Q141" s="228"/>
      <c r="R141" s="228"/>
      <c r="S141" s="228"/>
      <c r="T141" s="228"/>
    </row>
    <row r="142" spans="1:20" hidden="1">
      <c r="A142" s="228"/>
      <c r="B142" s="228"/>
      <c r="C142" s="228"/>
      <c r="D142" s="228"/>
      <c r="E142" s="228"/>
      <c r="F142" s="228"/>
      <c r="G142" s="228"/>
      <c r="H142" s="228"/>
      <c r="I142" s="228"/>
      <c r="J142" s="228"/>
      <c r="K142" s="228"/>
      <c r="L142" s="228"/>
      <c r="M142" s="228"/>
      <c r="N142" s="228"/>
      <c r="O142" s="228"/>
      <c r="P142" s="228"/>
      <c r="Q142" s="228"/>
      <c r="R142" s="228"/>
      <c r="S142" s="228"/>
      <c r="T142" s="228"/>
    </row>
    <row r="143" spans="1:20" hidden="1">
      <c r="A143" s="228"/>
      <c r="B143" s="228"/>
      <c r="C143" s="228"/>
      <c r="D143" s="228"/>
      <c r="E143" s="228"/>
      <c r="F143" s="228"/>
      <c r="G143" s="228"/>
      <c r="H143" s="228"/>
      <c r="I143" s="228"/>
      <c r="J143" s="228"/>
      <c r="K143" s="228"/>
      <c r="L143" s="228"/>
      <c r="M143" s="228"/>
      <c r="N143" s="228"/>
      <c r="O143" s="228"/>
      <c r="P143" s="228"/>
      <c r="Q143" s="228"/>
      <c r="R143" s="228"/>
      <c r="S143" s="228"/>
      <c r="T143" s="228"/>
    </row>
    <row r="144" spans="1:20" hidden="1">
      <c r="A144" s="228"/>
      <c r="B144" s="228"/>
      <c r="C144" s="228"/>
      <c r="D144" s="228"/>
      <c r="E144" s="228"/>
      <c r="F144" s="228"/>
      <c r="G144" s="228"/>
      <c r="H144" s="228"/>
      <c r="I144" s="228"/>
      <c r="J144" s="228"/>
      <c r="K144" s="228"/>
      <c r="L144" s="228"/>
      <c r="M144" s="228"/>
      <c r="N144" s="228"/>
      <c r="O144" s="228"/>
      <c r="P144" s="228"/>
      <c r="Q144" s="228"/>
      <c r="R144" s="228"/>
      <c r="S144" s="228"/>
      <c r="T144" s="228"/>
    </row>
    <row r="145" spans="1:20" hidden="1">
      <c r="A145" s="228"/>
      <c r="B145" s="228"/>
      <c r="C145" s="228"/>
      <c r="D145" s="228"/>
      <c r="E145" s="228"/>
      <c r="F145" s="228"/>
      <c r="G145" s="228"/>
      <c r="H145" s="228"/>
      <c r="I145" s="228"/>
      <c r="J145" s="228"/>
      <c r="K145" s="228"/>
      <c r="L145" s="228"/>
      <c r="M145" s="228"/>
      <c r="N145" s="228"/>
      <c r="O145" s="228"/>
      <c r="P145" s="228"/>
      <c r="Q145" s="228"/>
      <c r="R145" s="228"/>
      <c r="S145" s="228"/>
      <c r="T145" s="228"/>
    </row>
    <row r="146" spans="1:20" hidden="1">
      <c r="A146" s="228"/>
      <c r="B146" s="228"/>
      <c r="C146" s="228"/>
      <c r="D146" s="228"/>
      <c r="E146" s="228"/>
      <c r="F146" s="228"/>
      <c r="G146" s="228"/>
      <c r="H146" s="228"/>
      <c r="I146" s="228"/>
      <c r="J146" s="228"/>
      <c r="K146" s="228"/>
      <c r="L146" s="228"/>
      <c r="M146" s="228"/>
      <c r="N146" s="228"/>
      <c r="O146" s="228"/>
      <c r="P146" s="228"/>
      <c r="Q146" s="228"/>
      <c r="R146" s="228"/>
      <c r="S146" s="228"/>
      <c r="T146" s="228"/>
    </row>
    <row r="147" spans="1:20" hidden="1">
      <c r="A147" s="228"/>
      <c r="B147" s="228"/>
      <c r="C147" s="228"/>
      <c r="D147" s="228"/>
      <c r="E147" s="228"/>
      <c r="F147" s="228"/>
      <c r="G147" s="228"/>
      <c r="H147" s="228"/>
      <c r="I147" s="228"/>
      <c r="J147" s="228"/>
      <c r="K147" s="228"/>
      <c r="L147" s="228"/>
      <c r="M147" s="228"/>
      <c r="N147" s="228"/>
      <c r="O147" s="228"/>
      <c r="P147" s="228"/>
      <c r="Q147" s="228"/>
      <c r="R147" s="228"/>
      <c r="S147" s="228"/>
      <c r="T147" s="228"/>
    </row>
    <row r="148" spans="1:20" hidden="1">
      <c r="A148" s="228"/>
      <c r="B148" s="228"/>
      <c r="C148" s="228"/>
      <c r="D148" s="228"/>
      <c r="E148" s="228"/>
      <c r="F148" s="228"/>
      <c r="G148" s="228"/>
      <c r="H148" s="228"/>
      <c r="I148" s="228"/>
      <c r="J148" s="228"/>
      <c r="K148" s="228"/>
      <c r="L148" s="228"/>
      <c r="M148" s="228"/>
      <c r="N148" s="228"/>
      <c r="O148" s="228"/>
      <c r="P148" s="228"/>
      <c r="Q148" s="228"/>
      <c r="R148" s="228"/>
      <c r="S148" s="228"/>
      <c r="T148" s="228"/>
    </row>
    <row r="149" spans="1:20" hidden="1">
      <c r="A149" s="228"/>
      <c r="B149" s="228"/>
      <c r="C149" s="228"/>
      <c r="D149" s="228"/>
      <c r="E149" s="228"/>
      <c r="F149" s="228"/>
      <c r="G149" s="228"/>
      <c r="H149" s="228"/>
      <c r="I149" s="228"/>
      <c r="J149" s="228"/>
      <c r="K149" s="228"/>
      <c r="L149" s="228"/>
      <c r="M149" s="228"/>
      <c r="N149" s="228"/>
      <c r="O149" s="228"/>
      <c r="P149" s="228"/>
      <c r="Q149" s="228"/>
      <c r="R149" s="228"/>
      <c r="S149" s="228"/>
      <c r="T149" s="228"/>
    </row>
    <row r="150" spans="1:20" hidden="1">
      <c r="A150" s="228"/>
      <c r="B150" s="228"/>
      <c r="C150" s="228"/>
      <c r="D150" s="228"/>
      <c r="E150" s="228"/>
      <c r="F150" s="228"/>
      <c r="G150" s="228"/>
      <c r="H150" s="228"/>
      <c r="I150" s="228"/>
      <c r="J150" s="228"/>
      <c r="K150" s="228"/>
      <c r="L150" s="228"/>
      <c r="M150" s="228"/>
      <c r="N150" s="228"/>
      <c r="O150" s="228"/>
      <c r="P150" s="228"/>
      <c r="Q150" s="228"/>
      <c r="R150" s="228"/>
      <c r="S150" s="228"/>
      <c r="T150" s="228"/>
    </row>
    <row r="151" spans="1:20" hidden="1">
      <c r="A151" s="228"/>
      <c r="B151" s="228"/>
      <c r="C151" s="228"/>
      <c r="D151" s="228"/>
      <c r="E151" s="228"/>
      <c r="F151" s="228"/>
      <c r="G151" s="228"/>
      <c r="H151" s="228"/>
      <c r="I151" s="228"/>
      <c r="J151" s="228"/>
      <c r="K151" s="228"/>
      <c r="L151" s="228"/>
      <c r="M151" s="228"/>
      <c r="N151" s="228"/>
      <c r="O151" s="228"/>
      <c r="P151" s="228"/>
      <c r="Q151" s="228"/>
      <c r="R151" s="228"/>
      <c r="S151" s="228"/>
      <c r="T151" s="228"/>
    </row>
    <row r="152" spans="1:20" hidden="1">
      <c r="A152" s="228"/>
      <c r="B152" s="228"/>
      <c r="C152" s="228"/>
      <c r="D152" s="228"/>
      <c r="E152" s="228"/>
      <c r="F152" s="228"/>
      <c r="G152" s="228"/>
      <c r="H152" s="228"/>
      <c r="I152" s="228"/>
      <c r="J152" s="228"/>
      <c r="K152" s="228"/>
      <c r="L152" s="228"/>
      <c r="M152" s="228"/>
      <c r="N152" s="228"/>
      <c r="O152" s="228"/>
      <c r="P152" s="228"/>
      <c r="Q152" s="228"/>
      <c r="R152" s="228"/>
      <c r="S152" s="228"/>
      <c r="T152" s="228"/>
    </row>
    <row r="153" spans="1:20" hidden="1">
      <c r="A153" s="228"/>
      <c r="B153" s="228"/>
      <c r="C153" s="228"/>
      <c r="D153" s="228"/>
      <c r="E153" s="228"/>
      <c r="F153" s="228"/>
      <c r="G153" s="228"/>
      <c r="H153" s="228"/>
      <c r="I153" s="228"/>
      <c r="J153" s="228"/>
      <c r="K153" s="228"/>
      <c r="L153" s="228"/>
      <c r="M153" s="228"/>
      <c r="N153" s="228"/>
      <c r="O153" s="228"/>
      <c r="P153" s="228"/>
      <c r="Q153" s="228"/>
      <c r="R153" s="228"/>
      <c r="S153" s="228"/>
      <c r="T153" s="228"/>
    </row>
    <row r="154" spans="1:20" hidden="1">
      <c r="A154" s="228"/>
      <c r="B154" s="228"/>
      <c r="C154" s="228"/>
      <c r="D154" s="228"/>
      <c r="E154" s="228"/>
      <c r="F154" s="228"/>
      <c r="G154" s="228"/>
      <c r="H154" s="228"/>
      <c r="I154" s="228"/>
      <c r="J154" s="228"/>
      <c r="K154" s="228"/>
      <c r="L154" s="228"/>
      <c r="M154" s="228"/>
      <c r="N154" s="228"/>
      <c r="O154" s="228"/>
      <c r="P154" s="228"/>
      <c r="Q154" s="228"/>
      <c r="R154" s="228"/>
      <c r="S154" s="228"/>
      <c r="T154" s="228"/>
    </row>
    <row r="155" spans="1:20" hidden="1">
      <c r="A155" s="228"/>
      <c r="B155" s="228"/>
      <c r="C155" s="228"/>
      <c r="D155" s="228"/>
      <c r="E155" s="228"/>
      <c r="F155" s="228"/>
      <c r="G155" s="228"/>
      <c r="H155" s="228"/>
      <c r="I155" s="228"/>
      <c r="J155" s="228"/>
      <c r="K155" s="228"/>
      <c r="L155" s="228"/>
      <c r="M155" s="228"/>
      <c r="N155" s="228"/>
      <c r="O155" s="228"/>
      <c r="P155" s="228"/>
      <c r="Q155" s="228"/>
      <c r="R155" s="228"/>
      <c r="S155" s="228"/>
      <c r="T155" s="228"/>
    </row>
    <row r="156" spans="1:20" hidden="1">
      <c r="A156" s="228"/>
      <c r="B156" s="228"/>
      <c r="C156" s="228"/>
      <c r="D156" s="228"/>
      <c r="E156" s="228"/>
      <c r="F156" s="228"/>
      <c r="G156" s="228"/>
      <c r="H156" s="228"/>
      <c r="I156" s="228"/>
      <c r="J156" s="228"/>
      <c r="K156" s="228"/>
      <c r="L156" s="228"/>
      <c r="M156" s="228"/>
      <c r="N156" s="228"/>
      <c r="O156" s="228"/>
      <c r="P156" s="228"/>
      <c r="Q156" s="228"/>
      <c r="R156" s="228"/>
      <c r="S156" s="228"/>
      <c r="T156" s="228"/>
    </row>
    <row r="157" spans="1:20" hidden="1">
      <c r="A157" s="228"/>
      <c r="B157" s="228"/>
      <c r="C157" s="228"/>
      <c r="D157" s="228"/>
      <c r="E157" s="228"/>
      <c r="F157" s="228"/>
      <c r="G157" s="228"/>
      <c r="H157" s="228"/>
      <c r="I157" s="228"/>
      <c r="J157" s="228"/>
      <c r="K157" s="228"/>
      <c r="L157" s="228"/>
      <c r="M157" s="228"/>
      <c r="N157" s="228"/>
      <c r="O157" s="228"/>
      <c r="P157" s="228"/>
      <c r="Q157" s="228"/>
      <c r="R157" s="228"/>
      <c r="S157" s="228"/>
      <c r="T157" s="228"/>
    </row>
    <row r="158" spans="1:20" hidden="1">
      <c r="A158" s="228"/>
      <c r="B158" s="228"/>
      <c r="C158" s="228"/>
      <c r="D158" s="228"/>
      <c r="E158" s="228"/>
      <c r="F158" s="228"/>
      <c r="G158" s="228"/>
      <c r="H158" s="228"/>
      <c r="I158" s="228"/>
      <c r="J158" s="228"/>
      <c r="K158" s="228"/>
      <c r="L158" s="228"/>
      <c r="M158" s="228"/>
      <c r="N158" s="228"/>
      <c r="O158" s="228"/>
      <c r="P158" s="228"/>
      <c r="Q158" s="228"/>
      <c r="R158" s="228"/>
      <c r="S158" s="228"/>
      <c r="T158" s="228"/>
    </row>
    <row r="159" spans="1:20" hidden="1">
      <c r="A159" s="228"/>
      <c r="B159" s="228"/>
      <c r="C159" s="228"/>
      <c r="D159" s="228"/>
      <c r="E159" s="228"/>
      <c r="F159" s="228"/>
      <c r="G159" s="228"/>
      <c r="H159" s="228"/>
      <c r="I159" s="228"/>
      <c r="J159" s="228"/>
      <c r="K159" s="228"/>
      <c r="L159" s="228"/>
      <c r="M159" s="228"/>
      <c r="N159" s="228"/>
      <c r="O159" s="228"/>
      <c r="P159" s="228"/>
      <c r="Q159" s="228"/>
      <c r="R159" s="228"/>
      <c r="S159" s="228"/>
      <c r="T159" s="228"/>
    </row>
    <row r="160" spans="1:20" hidden="1">
      <c r="A160" s="228"/>
      <c r="B160" s="228"/>
      <c r="C160" s="228"/>
      <c r="D160" s="228"/>
      <c r="E160" s="228"/>
      <c r="F160" s="228"/>
      <c r="G160" s="228"/>
      <c r="H160" s="228"/>
      <c r="I160" s="228"/>
      <c r="J160" s="228"/>
      <c r="K160" s="228"/>
      <c r="L160" s="228"/>
      <c r="M160" s="228"/>
      <c r="N160" s="228"/>
      <c r="O160" s="228"/>
      <c r="P160" s="228"/>
      <c r="Q160" s="228"/>
      <c r="R160" s="228"/>
      <c r="S160" s="228"/>
      <c r="T160" s="228"/>
    </row>
    <row r="161" spans="1:20" hidden="1">
      <c r="A161" s="228"/>
      <c r="B161" s="228"/>
      <c r="C161" s="228"/>
      <c r="D161" s="228"/>
      <c r="E161" s="228"/>
      <c r="F161" s="228"/>
      <c r="G161" s="228"/>
      <c r="H161" s="228"/>
      <c r="I161" s="228"/>
      <c r="J161" s="228"/>
      <c r="K161" s="228"/>
      <c r="L161" s="228"/>
      <c r="M161" s="228"/>
      <c r="N161" s="228"/>
      <c r="O161" s="228"/>
      <c r="P161" s="228"/>
      <c r="Q161" s="228"/>
      <c r="R161" s="228"/>
      <c r="S161" s="228"/>
      <c r="T161" s="228"/>
    </row>
    <row r="162" spans="1:20" hidden="1">
      <c r="A162" s="228"/>
      <c r="B162" s="228"/>
      <c r="C162" s="228"/>
      <c r="D162" s="228"/>
      <c r="E162" s="228"/>
      <c r="F162" s="228"/>
      <c r="G162" s="228"/>
      <c r="H162" s="228"/>
      <c r="I162" s="228"/>
      <c r="J162" s="228"/>
      <c r="K162" s="228"/>
      <c r="L162" s="228"/>
      <c r="M162" s="228"/>
      <c r="N162" s="228"/>
      <c r="O162" s="228"/>
      <c r="P162" s="228"/>
      <c r="Q162" s="228"/>
      <c r="R162" s="228"/>
      <c r="S162" s="228"/>
      <c r="T162" s="228"/>
    </row>
    <row r="163" spans="1:20" hidden="1">
      <c r="A163" s="228"/>
      <c r="B163" s="228"/>
      <c r="C163" s="228"/>
      <c r="D163" s="228"/>
      <c r="E163" s="228"/>
      <c r="F163" s="228"/>
      <c r="G163" s="228"/>
      <c r="H163" s="228"/>
      <c r="I163" s="228"/>
      <c r="J163" s="228"/>
      <c r="K163" s="228"/>
      <c r="L163" s="228"/>
      <c r="M163" s="228"/>
      <c r="N163" s="228"/>
      <c r="O163" s="228"/>
      <c r="P163" s="228"/>
      <c r="Q163" s="228"/>
      <c r="R163" s="228"/>
      <c r="S163" s="228"/>
      <c r="T163" s="228"/>
    </row>
    <row r="164" spans="1:20" hidden="1">
      <c r="A164" s="228"/>
      <c r="B164" s="228"/>
      <c r="C164" s="228"/>
      <c r="D164" s="228"/>
      <c r="E164" s="228"/>
      <c r="F164" s="228"/>
      <c r="G164" s="228"/>
      <c r="H164" s="228"/>
      <c r="I164" s="228"/>
      <c r="J164" s="228"/>
      <c r="K164" s="228"/>
      <c r="L164" s="228"/>
      <c r="M164" s="228"/>
      <c r="N164" s="228"/>
      <c r="O164" s="228"/>
      <c r="P164" s="228"/>
      <c r="Q164" s="228"/>
      <c r="R164" s="228"/>
      <c r="S164" s="228"/>
      <c r="T164" s="228"/>
    </row>
    <row r="165" spans="1:20" hidden="1">
      <c r="A165" s="228"/>
      <c r="B165" s="228"/>
      <c r="C165" s="228"/>
      <c r="D165" s="228"/>
      <c r="E165" s="228"/>
      <c r="F165" s="228"/>
      <c r="G165" s="228"/>
      <c r="H165" s="228"/>
      <c r="I165" s="228"/>
      <c r="J165" s="228"/>
      <c r="K165" s="228"/>
      <c r="L165" s="228"/>
      <c r="M165" s="228"/>
      <c r="N165" s="228"/>
      <c r="O165" s="228"/>
      <c r="P165" s="228"/>
      <c r="Q165" s="228"/>
      <c r="R165" s="228"/>
      <c r="S165" s="228"/>
      <c r="T165" s="228"/>
    </row>
    <row r="166" spans="1:20" hidden="1">
      <c r="A166" s="228"/>
      <c r="B166" s="228"/>
      <c r="C166" s="228"/>
      <c r="D166" s="228"/>
      <c r="E166" s="228"/>
      <c r="F166" s="228"/>
      <c r="G166" s="228"/>
      <c r="H166" s="228"/>
      <c r="I166" s="228"/>
      <c r="J166" s="228"/>
      <c r="K166" s="228"/>
      <c r="L166" s="228"/>
      <c r="M166" s="228"/>
      <c r="N166" s="228"/>
      <c r="O166" s="228"/>
      <c r="P166" s="228"/>
      <c r="Q166" s="228"/>
      <c r="R166" s="228"/>
      <c r="S166" s="228"/>
      <c r="T166" s="228"/>
    </row>
  </sheetData>
  <sheetProtection autoFilter="0"/>
  <mergeCells count="116">
    <mergeCell ref="A68:D69"/>
    <mergeCell ref="E68:F68"/>
    <mergeCell ref="E69:F69"/>
    <mergeCell ref="H62:K62"/>
    <mergeCell ref="O62:R62"/>
    <mergeCell ref="A66:D67"/>
    <mergeCell ref="E66:F66"/>
    <mergeCell ref="E67:F67"/>
    <mergeCell ref="G65:I65"/>
    <mergeCell ref="J65:L65"/>
    <mergeCell ref="N65:P65"/>
    <mergeCell ref="Q65:S65"/>
    <mergeCell ref="A62:C62"/>
    <mergeCell ref="A59:T60"/>
    <mergeCell ref="M44:N44"/>
    <mergeCell ref="M43:N43"/>
    <mergeCell ref="M42:N42"/>
    <mergeCell ref="E42:F42"/>
    <mergeCell ref="E44:F44"/>
    <mergeCell ref="E43:F43"/>
    <mergeCell ref="O42:Q42"/>
    <mergeCell ref="O43:Q43"/>
    <mergeCell ref="O44:Q44"/>
    <mergeCell ref="R42:T42"/>
    <mergeCell ref="R43:T43"/>
    <mergeCell ref="R44:T44"/>
    <mergeCell ref="G44:I44"/>
    <mergeCell ref="J42:L42"/>
    <mergeCell ref="J43:L43"/>
    <mergeCell ref="J44:L44"/>
    <mergeCell ref="Q20:R20"/>
    <mergeCell ref="O38:Q38"/>
    <mergeCell ref="R38:T38"/>
    <mergeCell ref="F54:T57"/>
    <mergeCell ref="E41:F41"/>
    <mergeCell ref="E40:F40"/>
    <mergeCell ref="E39:F39"/>
    <mergeCell ref="J39:L39"/>
    <mergeCell ref="J40:L40"/>
    <mergeCell ref="J41:L41"/>
    <mergeCell ref="O39:Q39"/>
    <mergeCell ref="O40:Q40"/>
    <mergeCell ref="G39:I39"/>
    <mergeCell ref="G40:I40"/>
    <mergeCell ref="G41:I41"/>
    <mergeCell ref="G42:I42"/>
    <mergeCell ref="G43:I43"/>
    <mergeCell ref="O41:Q41"/>
    <mergeCell ref="R39:T39"/>
    <mergeCell ref="R40:T40"/>
    <mergeCell ref="R41:T41"/>
    <mergeCell ref="M40:N40"/>
    <mergeCell ref="M41:N41"/>
    <mergeCell ref="M39:N39"/>
    <mergeCell ref="S16:T16"/>
    <mergeCell ref="S12:T12"/>
    <mergeCell ref="S13:T13"/>
    <mergeCell ref="S14:T14"/>
    <mergeCell ref="M15:N15"/>
    <mergeCell ref="M16:N16"/>
    <mergeCell ref="K16:L16"/>
    <mergeCell ref="Q15:R15"/>
    <mergeCell ref="Q16:R16"/>
    <mergeCell ref="Q12:R12"/>
    <mergeCell ref="M12:N12"/>
    <mergeCell ref="M13:N13"/>
    <mergeCell ref="M14:N14"/>
    <mergeCell ref="Q13:R13"/>
    <mergeCell ref="M21:N21"/>
    <mergeCell ref="M22:N22"/>
    <mergeCell ref="M20:N20"/>
    <mergeCell ref="E38:F38"/>
    <mergeCell ref="K18:L18"/>
    <mergeCell ref="K19:L19"/>
    <mergeCell ref="K20:L20"/>
    <mergeCell ref="K22:L22"/>
    <mergeCell ref="K21:L21"/>
    <mergeCell ref="M18:N18"/>
    <mergeCell ref="M19:N19"/>
    <mergeCell ref="F37:K37"/>
    <mergeCell ref="J38:L38"/>
    <mergeCell ref="G38:I38"/>
    <mergeCell ref="N37:S37"/>
    <mergeCell ref="Q21:R21"/>
    <mergeCell ref="Q22:R22"/>
    <mergeCell ref="S21:T21"/>
    <mergeCell ref="S22:T22"/>
    <mergeCell ref="S19:T19"/>
    <mergeCell ref="M38:N38"/>
    <mergeCell ref="S20:T20"/>
    <mergeCell ref="Q18:R18"/>
    <mergeCell ref="Q19:R19"/>
    <mergeCell ref="S18:T18"/>
    <mergeCell ref="F1:T4"/>
    <mergeCell ref="A6:T7"/>
    <mergeCell ref="I8:L8"/>
    <mergeCell ref="O8:R8"/>
    <mergeCell ref="M11:N11"/>
    <mergeCell ref="S11:T11"/>
    <mergeCell ref="J10:L10"/>
    <mergeCell ref="P10:R10"/>
    <mergeCell ref="Q11:R11"/>
    <mergeCell ref="M10:N10"/>
    <mergeCell ref="S10:T10"/>
    <mergeCell ref="K11:L11"/>
    <mergeCell ref="A8:C8"/>
    <mergeCell ref="Q14:R14"/>
    <mergeCell ref="K17:L17"/>
    <mergeCell ref="S17:T17"/>
    <mergeCell ref="Q17:R17"/>
    <mergeCell ref="M17:N17"/>
    <mergeCell ref="K12:L12"/>
    <mergeCell ref="K13:L13"/>
    <mergeCell ref="K14:L14"/>
    <mergeCell ref="K15:L15"/>
    <mergeCell ref="S15:T15"/>
  </mergeCells>
  <hyperlinks>
    <hyperlink ref="A9" location="Glossaire!A205" display="Emplois salariés par secteur d'activité en 2013"/>
    <hyperlink ref="A9:H9" location="Glossaire!A200" display="Emplois salariés par secteur d'activité en 2013"/>
    <hyperlink ref="A36:D36" location="Glossaire!A65" display="Emplois salariés privés"/>
    <hyperlink ref="A64:E64" location="Glossaire!A227" display="Sphères économiques en 2013"/>
    <hyperlink ref="L9:Q9" location="Annexe!A1" display="Egalement disponible en 38 postes"/>
    <hyperlink ref="L9:R9" location="Annexe!A59" display="Egalement disponible en 38 postes ici"/>
    <hyperlink ref="A64:F64" location="Glossaire!A232" display="Sphères économiques en 2013"/>
    <hyperlink ref="A9:I9" location="Glossaire!A205" display="Emplois salariés par secteur d'activité en 2014"/>
  </hyperlinks>
  <pageMargins left="0.23622047244094491" right="0.23622047244094491" top="0.55118110236220474" bottom="0.55118110236220474" header="0.11811023622047245" footer="0.11811023622047245"/>
  <pageSetup paperSize="9" fitToHeight="2" orientation="portrait" r:id="rId1"/>
  <headerFooter>
    <oddHeader>&amp;C&amp;"Arial,Gras"&amp;10Tableau de bord / Mise à jour mars 2017</oddHeader>
    <oddFooter>&amp;C&amp;"-,Italique"&amp;8&amp;A&amp;R&amp;8Page &amp;P</oddFooter>
  </headerFooter>
  <rowBreaks count="1" manualBreakCount="1">
    <brk id="53"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'D_Ch-5-1'!$B$159:$B$205</xm:f>
          </x14:formula1>
          <xm:sqref>O8:R8 I8:L8</xm:sqref>
        </x14:dataValidation>
        <x14:dataValidation type="list" allowBlank="1" showInputMessage="1" showErrorMessage="1">
          <x14:formula1>
            <xm:f>'D_Ch-5-1'!$B$6:$B$53</xm:f>
          </x14:formula1>
          <xm:sqref>H62:K62 O62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81"/>
  <sheetViews>
    <sheetView topLeftCell="A46" workbookViewId="0">
      <selection activeCell="A24" sqref="A24:U31"/>
    </sheetView>
  </sheetViews>
  <sheetFormatPr baseColWidth="10" defaultRowHeight="11.25"/>
  <cols>
    <col min="1" max="1" width="31.28515625" style="120" bestFit="1" customWidth="1"/>
    <col min="2" max="2" width="25" style="120" bestFit="1" customWidth="1"/>
    <col min="3" max="16384" width="11.42578125" style="120"/>
  </cols>
  <sheetData>
    <row r="3" spans="1:6" s="122" customFormat="1" ht="12" customHeight="1">
      <c r="A3" s="121" t="s">
        <v>1843</v>
      </c>
      <c r="D3" s="753" t="s">
        <v>1878</v>
      </c>
    </row>
    <row r="4" spans="1:6" s="113" customFormat="1" ht="12" customHeight="1">
      <c r="A4" s="123" t="s">
        <v>542</v>
      </c>
    </row>
    <row r="5" spans="1:6" s="113" customFormat="1" ht="12" customHeight="1">
      <c r="B5" s="113">
        <v>2015</v>
      </c>
      <c r="C5" s="345" t="s">
        <v>1726</v>
      </c>
      <c r="E5" s="345" t="s">
        <v>1726</v>
      </c>
      <c r="F5" s="113">
        <v>2015</v>
      </c>
    </row>
    <row r="6" spans="1:6" s="113" customFormat="1" ht="12" customHeight="1">
      <c r="B6" s="113" t="s">
        <v>1409</v>
      </c>
      <c r="C6" s="113" t="s">
        <v>1410</v>
      </c>
      <c r="D6" s="113" t="s">
        <v>545</v>
      </c>
      <c r="E6" s="113" t="s">
        <v>1411</v>
      </c>
      <c r="F6" s="113" t="s">
        <v>546</v>
      </c>
    </row>
    <row r="7" spans="1:6" s="113" customFormat="1" ht="12" customHeight="1">
      <c r="A7" s="113" t="s">
        <v>547</v>
      </c>
      <c r="B7" s="688">
        <v>65766986</v>
      </c>
      <c r="C7" s="346">
        <v>3.1E-2</v>
      </c>
      <c r="D7" s="688">
        <v>7065365</v>
      </c>
      <c r="E7" s="346">
        <v>7.0000000000000007E-2</v>
      </c>
      <c r="F7" s="688">
        <f>B7-D7</f>
        <v>58701621</v>
      </c>
    </row>
    <row r="8" spans="1:6" s="113" customFormat="1" ht="12" customHeight="1">
      <c r="A8" s="113" t="s">
        <v>1412</v>
      </c>
      <c r="B8" s="688">
        <v>29664993</v>
      </c>
      <c r="C8" s="346">
        <v>2.8000000000000001E-2</v>
      </c>
      <c r="D8" s="688">
        <v>9910976</v>
      </c>
      <c r="E8" s="346">
        <v>0.105</v>
      </c>
      <c r="F8" s="688">
        <f t="shared" ref="F8:F18" si="0">B8-D8</f>
        <v>19754017</v>
      </c>
    </row>
    <row r="9" spans="1:6" s="113" customFormat="1" ht="12" customHeight="1">
      <c r="A9" s="113" t="s">
        <v>1413</v>
      </c>
      <c r="B9" s="688">
        <v>12016730</v>
      </c>
      <c r="C9" s="346">
        <v>3.1E-2</v>
      </c>
      <c r="D9" s="688">
        <v>4797308</v>
      </c>
      <c r="E9" s="346">
        <v>6.9000000000000006E-2</v>
      </c>
      <c r="F9" s="688">
        <f t="shared" si="0"/>
        <v>7219422</v>
      </c>
    </row>
    <row r="10" spans="1:6" s="113" customFormat="1" ht="12" customHeight="1">
      <c r="A10" s="113" t="s">
        <v>1414</v>
      </c>
      <c r="B10" s="688">
        <v>8703354</v>
      </c>
      <c r="C10" s="346">
        <v>2.8000000000000001E-2</v>
      </c>
      <c r="D10" s="688">
        <v>2479616</v>
      </c>
      <c r="E10" s="346">
        <v>0.08</v>
      </c>
      <c r="F10" s="688">
        <f t="shared" si="0"/>
        <v>6223738</v>
      </c>
    </row>
    <row r="11" spans="1:6" s="113" customFormat="1" ht="12" customHeight="1">
      <c r="A11" s="113" t="s">
        <v>562</v>
      </c>
      <c r="B11" s="688">
        <v>8261804</v>
      </c>
      <c r="C11" s="346">
        <v>0.01</v>
      </c>
      <c r="D11" s="688">
        <v>2198833</v>
      </c>
      <c r="E11" s="346">
        <v>0.09</v>
      </c>
      <c r="F11" s="688">
        <f t="shared" si="0"/>
        <v>6062971</v>
      </c>
    </row>
    <row r="12" spans="1:6" s="113" customFormat="1" ht="12" customHeight="1">
      <c r="A12" s="113" t="s">
        <v>1415</v>
      </c>
      <c r="B12" s="688">
        <v>7669054</v>
      </c>
      <c r="C12" s="346">
        <v>0.02</v>
      </c>
      <c r="D12" s="688">
        <v>2212114</v>
      </c>
      <c r="E12" s="346">
        <v>0.106</v>
      </c>
      <c r="F12" s="688">
        <f t="shared" si="0"/>
        <v>5456940</v>
      </c>
    </row>
    <row r="13" spans="1:6" s="113" customFormat="1" ht="12" customHeight="1">
      <c r="A13" s="113" t="s">
        <v>553</v>
      </c>
      <c r="B13" s="688">
        <v>7056114</v>
      </c>
      <c r="C13" s="346">
        <v>8.2000000000000003E-2</v>
      </c>
      <c r="D13" s="688">
        <v>4409222</v>
      </c>
      <c r="E13" s="346">
        <v>0.13300000000000001</v>
      </c>
      <c r="F13" s="688">
        <f t="shared" si="0"/>
        <v>2646892</v>
      </c>
    </row>
    <row r="14" spans="1:6" s="113" customFormat="1" ht="12" customHeight="1">
      <c r="A14" s="113" t="s">
        <v>1416</v>
      </c>
      <c r="B14" s="688">
        <v>5323294</v>
      </c>
      <c r="C14" s="346">
        <v>7.5999999999999998E-2</v>
      </c>
      <c r="D14" s="688">
        <v>2211521</v>
      </c>
      <c r="E14" s="346">
        <v>0.121</v>
      </c>
      <c r="F14" s="688">
        <f t="shared" si="0"/>
        <v>3111773</v>
      </c>
    </row>
    <row r="15" spans="1:6" s="113" customFormat="1" ht="12" customHeight="1">
      <c r="A15" s="113" t="s">
        <v>1417</v>
      </c>
      <c r="B15" s="688">
        <v>4394996</v>
      </c>
      <c r="C15" s="346">
        <v>5.7000000000000002E-2</v>
      </c>
      <c r="D15" s="688">
        <v>2079182</v>
      </c>
      <c r="E15" s="346">
        <v>0.154</v>
      </c>
      <c r="F15" s="688">
        <f t="shared" si="0"/>
        <v>2315814</v>
      </c>
    </row>
    <row r="16" spans="1:6" s="113" customFormat="1" ht="12" customHeight="1">
      <c r="A16" s="113" t="s">
        <v>1418</v>
      </c>
      <c r="B16" s="688">
        <v>4330019</v>
      </c>
      <c r="C16" s="346">
        <v>7.5999999999999998E-2</v>
      </c>
      <c r="D16" s="688">
        <v>4291098</v>
      </c>
      <c r="E16" s="346">
        <v>1.4999999999999999E-2</v>
      </c>
      <c r="F16" s="688">
        <f t="shared" si="0"/>
        <v>38921</v>
      </c>
    </row>
    <row r="17" spans="1:7" s="113" customFormat="1" ht="12" customHeight="1">
      <c r="A17" s="113" t="s">
        <v>1419</v>
      </c>
      <c r="B17" s="688">
        <v>1541894</v>
      </c>
      <c r="C17" s="346">
        <v>-3.4000000000000002E-2</v>
      </c>
      <c r="D17" s="688">
        <v>563933</v>
      </c>
      <c r="E17" s="346">
        <v>1.9E-2</v>
      </c>
      <c r="F17" s="688">
        <f t="shared" si="0"/>
        <v>977961</v>
      </c>
    </row>
    <row r="18" spans="1:7" s="113" customFormat="1" ht="12" customHeight="1">
      <c r="A18" s="113" t="s">
        <v>1420</v>
      </c>
      <c r="B18" s="688">
        <v>1510196</v>
      </c>
      <c r="C18" s="346">
        <v>4.4999999999999998E-2</v>
      </c>
      <c r="D18" s="688">
        <v>507965</v>
      </c>
      <c r="E18" s="346">
        <v>9.4E-2</v>
      </c>
      <c r="F18" s="688">
        <f t="shared" si="0"/>
        <v>1002231</v>
      </c>
    </row>
    <row r="19" spans="1:7" s="113" customFormat="1" ht="12" customHeight="1"/>
    <row r="20" spans="1:7" s="113" customFormat="1" ht="12" customHeight="1"/>
    <row r="21" spans="1:7" s="113" customFormat="1" ht="12" customHeight="1"/>
    <row r="22" spans="1:7" s="113" customFormat="1" ht="12" customHeight="1">
      <c r="B22" s="113">
        <v>2011</v>
      </c>
      <c r="C22" s="113">
        <v>2012</v>
      </c>
      <c r="D22" s="113">
        <v>2013</v>
      </c>
      <c r="E22" s="113">
        <v>2014</v>
      </c>
      <c r="F22" s="113" t="s">
        <v>1724</v>
      </c>
    </row>
    <row r="23" spans="1:7" s="113" customFormat="1" ht="12" customHeight="1">
      <c r="A23" s="113" t="s">
        <v>560</v>
      </c>
      <c r="B23" s="113">
        <v>60970551</v>
      </c>
      <c r="C23" s="113">
        <v>61556202</v>
      </c>
      <c r="D23" s="113">
        <v>62052917</v>
      </c>
      <c r="E23" s="113">
        <v>63813756</v>
      </c>
      <c r="F23" s="688">
        <v>65766986</v>
      </c>
      <c r="G23" s="346"/>
    </row>
    <row r="24" spans="1:7" s="113" customFormat="1" ht="12" customHeight="1">
      <c r="A24" s="113" t="s">
        <v>561</v>
      </c>
      <c r="B24" s="113">
        <v>27139076</v>
      </c>
      <c r="C24" s="113">
        <v>27232263</v>
      </c>
      <c r="D24" s="113">
        <v>28274154</v>
      </c>
      <c r="E24" s="113">
        <v>28862586</v>
      </c>
      <c r="F24" s="688">
        <v>29664993</v>
      </c>
      <c r="G24" s="346"/>
    </row>
    <row r="25" spans="1:7" s="113" customFormat="1" ht="12" customHeight="1">
      <c r="A25" s="113" t="s">
        <v>549</v>
      </c>
      <c r="B25" s="113">
        <v>10422073</v>
      </c>
      <c r="C25" s="113">
        <v>11189896</v>
      </c>
      <c r="D25" s="113">
        <v>11554251</v>
      </c>
      <c r="E25" s="113">
        <v>11660208</v>
      </c>
      <c r="F25" s="688">
        <v>12016730</v>
      </c>
      <c r="G25" s="346"/>
    </row>
    <row r="26" spans="1:7" s="113" customFormat="1" ht="12" customHeight="1">
      <c r="A26" s="113" t="s">
        <v>550</v>
      </c>
      <c r="B26" s="113">
        <v>8437141</v>
      </c>
      <c r="C26" s="113">
        <v>8451039</v>
      </c>
      <c r="D26" s="113">
        <v>8562298</v>
      </c>
      <c r="E26" s="113">
        <v>8467093</v>
      </c>
      <c r="F26" s="688">
        <v>8703354</v>
      </c>
      <c r="G26" s="346"/>
    </row>
    <row r="27" spans="1:7" s="113" customFormat="1" ht="12" customHeight="1">
      <c r="A27" s="113" t="s">
        <v>562</v>
      </c>
      <c r="B27" s="113">
        <v>7363068</v>
      </c>
      <c r="C27" s="113">
        <v>8295479</v>
      </c>
      <c r="D27" s="113">
        <v>8260619</v>
      </c>
      <c r="E27" s="113">
        <v>8182237</v>
      </c>
      <c r="F27" s="688">
        <v>8261804</v>
      </c>
      <c r="G27" s="346"/>
    </row>
    <row r="28" spans="1:7" s="113" customFormat="1" ht="12" customHeight="1">
      <c r="A28" s="113" t="s">
        <v>563</v>
      </c>
      <c r="B28" s="113">
        <v>6988140</v>
      </c>
      <c r="C28" s="113">
        <v>7559350</v>
      </c>
      <c r="D28" s="113">
        <v>7567634</v>
      </c>
      <c r="E28" s="113">
        <v>7517736</v>
      </c>
      <c r="F28" s="688">
        <v>7669054</v>
      </c>
      <c r="G28" s="346"/>
    </row>
    <row r="29" spans="1:7" s="113" customFormat="1" ht="12" customHeight="1">
      <c r="A29" s="113" t="s">
        <v>564</v>
      </c>
      <c r="B29" s="113">
        <v>5048428</v>
      </c>
      <c r="C29" s="113">
        <v>5349872</v>
      </c>
      <c r="D29" s="113">
        <v>5876129</v>
      </c>
      <c r="E29" s="113">
        <v>6519393</v>
      </c>
      <c r="F29" s="688">
        <v>7056114</v>
      </c>
      <c r="G29" s="346"/>
    </row>
    <row r="30" spans="1:7" s="113" customFormat="1" ht="12" customHeight="1">
      <c r="A30" s="113" t="s">
        <v>565</v>
      </c>
      <c r="B30" s="113">
        <v>4112575</v>
      </c>
      <c r="C30" s="113">
        <v>4428072</v>
      </c>
      <c r="D30" s="113">
        <v>4617608</v>
      </c>
      <c r="E30" s="113">
        <v>4945029</v>
      </c>
      <c r="F30" s="688">
        <v>5323294</v>
      </c>
      <c r="G30" s="346"/>
    </row>
    <row r="31" spans="1:7" s="113" customFormat="1" ht="12" customHeight="1">
      <c r="A31" s="113" t="s">
        <v>566</v>
      </c>
      <c r="B31" s="113">
        <v>3246226</v>
      </c>
      <c r="C31" s="113">
        <v>3631693</v>
      </c>
      <c r="D31" s="113">
        <v>3930849</v>
      </c>
      <c r="E31" s="113">
        <v>4157284</v>
      </c>
      <c r="F31" s="688">
        <v>4394996</v>
      </c>
      <c r="G31" s="346"/>
    </row>
    <row r="32" spans="1:7" s="113" customFormat="1" ht="12" customHeight="1">
      <c r="A32" s="113" t="s">
        <v>556</v>
      </c>
      <c r="B32" s="113">
        <v>3677794</v>
      </c>
      <c r="C32" s="113">
        <v>3862562</v>
      </c>
      <c r="D32" s="113">
        <v>3952908</v>
      </c>
      <c r="E32" s="113">
        <v>4024201</v>
      </c>
      <c r="F32" s="688">
        <v>4330019</v>
      </c>
      <c r="G32" s="346"/>
    </row>
    <row r="33" spans="1:12" s="113" customFormat="1" ht="12" customHeight="1"/>
    <row r="34" spans="1:12" s="113" customFormat="1" ht="12" customHeight="1">
      <c r="B34" s="113">
        <v>2011</v>
      </c>
      <c r="C34" s="113">
        <v>2012</v>
      </c>
      <c r="D34" s="113">
        <v>2013</v>
      </c>
      <c r="E34" s="113">
        <v>2014</v>
      </c>
      <c r="F34" s="113">
        <v>2015</v>
      </c>
    </row>
    <row r="35" spans="1:12" s="113" customFormat="1" ht="12" customHeight="1">
      <c r="A35" s="113" t="s">
        <v>560</v>
      </c>
      <c r="B35" s="626">
        <v>100</v>
      </c>
      <c r="C35" s="626">
        <f>(C23/$B23)*100</f>
        <v>100.96054733046451</v>
      </c>
      <c r="D35" s="626">
        <f t="shared" ref="D35:F35" si="1">(D23/$B23)*100</f>
        <v>101.77522751926583</v>
      </c>
      <c r="E35" s="626">
        <f t="shared" si="1"/>
        <v>104.66324307943356</v>
      </c>
      <c r="F35" s="626">
        <f t="shared" si="1"/>
        <v>107.86680605855112</v>
      </c>
    </row>
    <row r="36" spans="1:12" s="113" customFormat="1" ht="12" customHeight="1">
      <c r="A36" s="113" t="s">
        <v>561</v>
      </c>
      <c r="B36" s="626">
        <v>100</v>
      </c>
      <c r="C36" s="626">
        <f t="shared" ref="C36:F36" si="2">(C24/$B24)*100</f>
        <v>100.34336835933544</v>
      </c>
      <c r="D36" s="626">
        <f t="shared" si="2"/>
        <v>104.18244895294151</v>
      </c>
      <c r="E36" s="626">
        <f t="shared" si="2"/>
        <v>106.35065836434521</v>
      </c>
      <c r="F36" s="626">
        <f t="shared" si="2"/>
        <v>109.30730655678917</v>
      </c>
    </row>
    <row r="37" spans="1:12" s="113" customFormat="1" ht="12" customHeight="1">
      <c r="A37" s="113" t="s">
        <v>549</v>
      </c>
      <c r="B37" s="626">
        <v>100</v>
      </c>
      <c r="C37" s="626">
        <f t="shared" ref="C37:F37" si="3">(C25/$B25)*100</f>
        <v>107.36727712423431</v>
      </c>
      <c r="D37" s="626">
        <f t="shared" si="3"/>
        <v>110.86327067561319</v>
      </c>
      <c r="E37" s="626">
        <f t="shared" si="3"/>
        <v>111.87993022117577</v>
      </c>
      <c r="F37" s="626">
        <f t="shared" si="3"/>
        <v>115.30076598005023</v>
      </c>
    </row>
    <row r="38" spans="1:12" s="113" customFormat="1" ht="12" customHeight="1">
      <c r="A38" s="113" t="s">
        <v>550</v>
      </c>
      <c r="B38" s="626">
        <v>100</v>
      </c>
      <c r="C38" s="626">
        <f t="shared" ref="C38:F38" si="4">(C26/$B26)*100</f>
        <v>100.16472404574013</v>
      </c>
      <c r="D38" s="626">
        <f t="shared" si="4"/>
        <v>101.48340533837232</v>
      </c>
      <c r="E38" s="626">
        <f t="shared" si="4"/>
        <v>100.35500177133463</v>
      </c>
      <c r="F38" s="626">
        <f t="shared" si="4"/>
        <v>103.15525128713625</v>
      </c>
    </row>
    <row r="39" spans="1:12" s="113" customFormat="1" ht="12" customHeight="1">
      <c r="A39" s="113" t="s">
        <v>562</v>
      </c>
      <c r="B39" s="626">
        <v>100</v>
      </c>
      <c r="C39" s="626">
        <f t="shared" ref="C39:F39" si="5">(C27/$B27)*100</f>
        <v>112.66334902787804</v>
      </c>
      <c r="D39" s="626">
        <f t="shared" si="5"/>
        <v>112.18990507761166</v>
      </c>
      <c r="E39" s="626">
        <f t="shared" si="5"/>
        <v>111.12537599815728</v>
      </c>
      <c r="F39" s="626">
        <f t="shared" si="5"/>
        <v>112.20599891240988</v>
      </c>
    </row>
    <row r="40" spans="1:12" s="113" customFormat="1" ht="12" customHeight="1">
      <c r="A40" s="113" t="s">
        <v>563</v>
      </c>
      <c r="B40" s="626">
        <v>100</v>
      </c>
      <c r="C40" s="626">
        <f t="shared" ref="C40:F40" si="6">(C28/$B28)*100</f>
        <v>108.17399193490687</v>
      </c>
      <c r="D40" s="626">
        <f t="shared" si="6"/>
        <v>108.29253563895401</v>
      </c>
      <c r="E40" s="626">
        <f t="shared" si="6"/>
        <v>107.57849728253871</v>
      </c>
      <c r="F40" s="626">
        <f t="shared" si="6"/>
        <v>109.7438517259242</v>
      </c>
    </row>
    <row r="41" spans="1:12" s="113" customFormat="1" ht="12" customHeight="1">
      <c r="A41" s="113" t="s">
        <v>564</v>
      </c>
      <c r="B41" s="626">
        <v>100</v>
      </c>
      <c r="C41" s="626">
        <f t="shared" ref="C41:F41" si="7">(C29/$B29)*100</f>
        <v>105.97104682883464</v>
      </c>
      <c r="D41" s="626">
        <f t="shared" si="7"/>
        <v>116.39522243359714</v>
      </c>
      <c r="E41" s="626">
        <f t="shared" si="7"/>
        <v>129.13708980300402</v>
      </c>
      <c r="F41" s="626">
        <f t="shared" si="7"/>
        <v>139.76853784980196</v>
      </c>
    </row>
    <row r="42" spans="1:12" s="113" customFormat="1" ht="12" customHeight="1">
      <c r="A42" s="113" t="s">
        <v>1416</v>
      </c>
      <c r="B42" s="626">
        <v>100</v>
      </c>
      <c r="C42" s="626">
        <f t="shared" ref="C42:F42" si="8">(C30/$B30)*100</f>
        <v>107.67151966833433</v>
      </c>
      <c r="D42" s="626">
        <f t="shared" si="8"/>
        <v>112.28021373470392</v>
      </c>
      <c r="E42" s="626">
        <f t="shared" si="8"/>
        <v>120.24167340413246</v>
      </c>
      <c r="F42" s="626">
        <f t="shared" si="8"/>
        <v>129.43943879442926</v>
      </c>
    </row>
    <row r="43" spans="1:12" s="113" customFormat="1" ht="12" customHeight="1">
      <c r="A43" s="113" t="s">
        <v>566</v>
      </c>
      <c r="B43" s="626">
        <v>100</v>
      </c>
      <c r="C43" s="626">
        <f t="shared" ref="C43:F43" si="9">(C31/$B31)*100</f>
        <v>111.87431189325696</v>
      </c>
      <c r="D43" s="626">
        <f t="shared" si="9"/>
        <v>121.08981321694792</v>
      </c>
      <c r="E43" s="626">
        <f t="shared" si="9"/>
        <v>128.06514395485712</v>
      </c>
      <c r="F43" s="626">
        <f t="shared" si="9"/>
        <v>135.38786270580053</v>
      </c>
    </row>
    <row r="44" spans="1:12" s="113" customFormat="1" ht="12" customHeight="1">
      <c r="A44" s="113" t="s">
        <v>556</v>
      </c>
      <c r="B44" s="626">
        <v>100</v>
      </c>
      <c r="C44" s="626">
        <f t="shared" ref="C44:F44" si="10">(C32/$B32)*100</f>
        <v>105.02388116354533</v>
      </c>
      <c r="D44" s="626">
        <f t="shared" si="10"/>
        <v>107.48040809245978</v>
      </c>
      <c r="E44" s="626">
        <f t="shared" si="10"/>
        <v>109.41887990463847</v>
      </c>
      <c r="F44" s="626">
        <f t="shared" si="10"/>
        <v>117.73413627843212</v>
      </c>
    </row>
    <row r="45" spans="1:12" s="113" customFormat="1" ht="12" customHeight="1"/>
    <row r="47" spans="1:12" s="385" customFormat="1" ht="15">
      <c r="A47" s="384" t="s">
        <v>1490</v>
      </c>
      <c r="F47" s="384" t="s">
        <v>1730</v>
      </c>
      <c r="L47" s="754" t="s">
        <v>1878</v>
      </c>
    </row>
    <row r="48" spans="1:12">
      <c r="A48" s="117"/>
      <c r="B48" s="125">
        <v>2014</v>
      </c>
      <c r="C48" s="125">
        <v>2015</v>
      </c>
      <c r="D48" s="126" t="s">
        <v>567</v>
      </c>
    </row>
    <row r="49" spans="1:4">
      <c r="A49" s="118" t="s">
        <v>569</v>
      </c>
      <c r="B49" s="118" t="s">
        <v>1421</v>
      </c>
      <c r="C49" s="118" t="s">
        <v>1422</v>
      </c>
      <c r="D49" s="118" t="s">
        <v>1423</v>
      </c>
    </row>
    <row r="50" spans="1:4">
      <c r="A50" s="124" t="s">
        <v>1</v>
      </c>
      <c r="B50" s="686">
        <v>78520233</v>
      </c>
      <c r="C50" s="687">
        <v>81730583</v>
      </c>
      <c r="D50" s="119">
        <f t="shared" ref="D50:D61" si="11">(C50-B50)/B50</f>
        <v>4.0885640265484184E-2</v>
      </c>
    </row>
    <row r="51" spans="1:4">
      <c r="A51" s="124" t="s">
        <v>1492</v>
      </c>
      <c r="B51" s="686">
        <v>66887424</v>
      </c>
      <c r="C51" s="687">
        <v>68316557</v>
      </c>
      <c r="D51" s="119">
        <f t="shared" si="11"/>
        <v>2.1366243675343215E-2</v>
      </c>
    </row>
    <row r="52" spans="1:4">
      <c r="A52" s="124" t="s">
        <v>570</v>
      </c>
      <c r="B52" s="686">
        <v>47100000</v>
      </c>
      <c r="C52" s="687">
        <v>46591693</v>
      </c>
      <c r="D52" s="119">
        <f t="shared" si="11"/>
        <v>-1.079208067940552E-2</v>
      </c>
    </row>
    <row r="53" spans="1:4">
      <c r="A53" s="124" t="s">
        <v>571</v>
      </c>
      <c r="B53" s="686">
        <v>43273341</v>
      </c>
      <c r="C53" s="687">
        <v>41873115</v>
      </c>
      <c r="D53" s="119">
        <f t="shared" si="11"/>
        <v>-3.235770494355867E-2</v>
      </c>
    </row>
    <row r="54" spans="1:4">
      <c r="A54" s="124" t="s">
        <v>572</v>
      </c>
      <c r="B54" s="686">
        <v>26499284</v>
      </c>
      <c r="C54" s="687">
        <v>25386444</v>
      </c>
      <c r="D54" s="119">
        <f t="shared" si="11"/>
        <v>-4.1995096924128214E-2</v>
      </c>
    </row>
    <row r="55" spans="1:4">
      <c r="A55" s="124" t="s">
        <v>111</v>
      </c>
      <c r="B55" s="686">
        <v>21671000</v>
      </c>
      <c r="C55" s="687">
        <v>22519532</v>
      </c>
      <c r="D55" s="119">
        <f t="shared" si="11"/>
        <v>3.9155184347745835E-2</v>
      </c>
    </row>
    <row r="56" spans="1:4">
      <c r="A56" s="124" t="s">
        <v>573</v>
      </c>
      <c r="B56" s="686">
        <v>9401419</v>
      </c>
      <c r="C56" s="687">
        <v>9809943</v>
      </c>
      <c r="D56" s="119">
        <f t="shared" si="11"/>
        <v>4.3453440379585255E-2</v>
      </c>
    </row>
    <row r="57" spans="1:4">
      <c r="A57" s="124" t="s">
        <v>2</v>
      </c>
      <c r="B57" s="686">
        <v>8527990</v>
      </c>
      <c r="C57" s="687">
        <v>8385070</v>
      </c>
      <c r="D57" s="119">
        <f t="shared" si="11"/>
        <v>-1.6758931471542532E-2</v>
      </c>
    </row>
    <row r="58" spans="1:4">
      <c r="A58" s="124" t="s">
        <v>574</v>
      </c>
      <c r="B58" s="686">
        <v>3270893</v>
      </c>
      <c r="C58" s="687">
        <v>3751421</v>
      </c>
      <c r="D58" s="119">
        <f t="shared" si="11"/>
        <v>0.1469103391642588</v>
      </c>
    </row>
    <row r="59" spans="1:4">
      <c r="A59" s="124" t="s">
        <v>575</v>
      </c>
      <c r="B59" s="686">
        <v>3122986</v>
      </c>
      <c r="C59" s="687">
        <v>3296800</v>
      </c>
      <c r="D59" s="119">
        <f t="shared" si="11"/>
        <v>5.5656349404063929E-2</v>
      </c>
    </row>
    <row r="60" spans="1:4">
      <c r="A60" s="124" t="s">
        <v>577</v>
      </c>
      <c r="B60" s="686">
        <v>3056503</v>
      </c>
      <c r="C60" s="687">
        <v>3093996</v>
      </c>
      <c r="D60" s="119">
        <f t="shared" si="11"/>
        <v>1.2266632815344857E-2</v>
      </c>
    </row>
    <row r="61" spans="1:4">
      <c r="A61" s="124" t="s">
        <v>576</v>
      </c>
      <c r="B61" s="686">
        <v>2602433</v>
      </c>
      <c r="C61" s="687">
        <v>2323580</v>
      </c>
      <c r="D61" s="119">
        <f t="shared" si="11"/>
        <v>-0.10715088534459868</v>
      </c>
    </row>
    <row r="67" spans="1:6">
      <c r="B67" s="120">
        <v>2015</v>
      </c>
    </row>
    <row r="68" spans="1:6">
      <c r="A68" s="120" t="s">
        <v>1941</v>
      </c>
      <c r="B68" s="120" t="s">
        <v>1491</v>
      </c>
    </row>
    <row r="69" spans="1:6">
      <c r="A69" s="120" t="s">
        <v>1</v>
      </c>
      <c r="B69" s="689">
        <v>81730583</v>
      </c>
      <c r="E69" s="124"/>
      <c r="F69" s="686"/>
    </row>
    <row r="70" spans="1:6">
      <c r="A70" s="120" t="s">
        <v>1492</v>
      </c>
      <c r="B70" s="689">
        <v>68316557</v>
      </c>
      <c r="E70" s="124"/>
      <c r="F70" s="686"/>
    </row>
    <row r="71" spans="1:6">
      <c r="A71" s="120" t="s">
        <v>570</v>
      </c>
      <c r="B71" s="689">
        <v>46591693</v>
      </c>
      <c r="E71" s="124"/>
      <c r="F71" s="686"/>
    </row>
    <row r="72" spans="1:6">
      <c r="A72" s="120" t="s">
        <v>571</v>
      </c>
      <c r="B72" s="689">
        <v>41873115</v>
      </c>
      <c r="E72" s="124"/>
      <c r="F72" s="686"/>
    </row>
    <row r="73" spans="1:6">
      <c r="A73" s="120" t="s">
        <v>1504</v>
      </c>
      <c r="B73" s="689">
        <v>25386444</v>
      </c>
      <c r="E73" s="124"/>
      <c r="F73" s="686"/>
    </row>
    <row r="74" spans="1:6">
      <c r="A74" s="120" t="s">
        <v>111</v>
      </c>
      <c r="B74" s="689">
        <v>22519532</v>
      </c>
      <c r="E74" s="124"/>
      <c r="F74" s="686"/>
    </row>
    <row r="75" spans="1:6">
      <c r="A75" s="120" t="s">
        <v>573</v>
      </c>
      <c r="B75" s="689">
        <v>9809943</v>
      </c>
      <c r="E75" s="124"/>
      <c r="F75" s="686"/>
    </row>
    <row r="76" spans="1:6">
      <c r="A76" s="120" t="s">
        <v>2</v>
      </c>
      <c r="B76" s="689">
        <v>8385070</v>
      </c>
      <c r="E76" s="124"/>
      <c r="F76" s="686"/>
    </row>
    <row r="77" spans="1:6">
      <c r="A77" s="120" t="s">
        <v>574</v>
      </c>
      <c r="B77" s="689">
        <v>3751421</v>
      </c>
      <c r="E77" s="124"/>
      <c r="F77" s="686"/>
    </row>
    <row r="78" spans="1:6">
      <c r="A78" s="120" t="s">
        <v>1503</v>
      </c>
      <c r="B78" s="689">
        <v>3296800</v>
      </c>
      <c r="E78" s="124"/>
      <c r="F78" s="686"/>
    </row>
    <row r="79" spans="1:6">
      <c r="A79" s="120" t="s">
        <v>577</v>
      </c>
      <c r="B79" s="689">
        <v>3093996</v>
      </c>
      <c r="E79" s="124"/>
      <c r="F79" s="686"/>
    </row>
    <row r="80" spans="1:6">
      <c r="A80" s="120" t="s">
        <v>576</v>
      </c>
      <c r="B80" s="689">
        <v>2323580</v>
      </c>
      <c r="E80" s="124"/>
      <c r="F80" s="686"/>
    </row>
    <row r="81" spans="2:2">
      <c r="B81" s="689"/>
    </row>
  </sheetData>
  <sortState ref="A69:B80">
    <sortCondition descending="1" ref="B69:B80"/>
  </sortState>
  <hyperlinks>
    <hyperlink ref="A47" r:id="rId1"/>
    <hyperlink ref="F47" r:id="rId2"/>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Y355"/>
  <sheetViews>
    <sheetView workbookViewId="0">
      <selection activeCell="A24" sqref="A24:U31"/>
    </sheetView>
  </sheetViews>
  <sheetFormatPr baseColWidth="10" defaultRowHeight="15"/>
  <cols>
    <col min="1" max="1" width="8.42578125" bestFit="1" customWidth="1"/>
    <col min="2" max="2" width="8.42578125" customWidth="1"/>
    <col min="3" max="3" width="9.28515625" customWidth="1"/>
    <col min="4" max="4" width="10.85546875" style="128" bestFit="1" customWidth="1"/>
    <col min="5" max="5" width="12.42578125" customWidth="1"/>
    <col min="6" max="6" width="66.7109375" style="128" bestFit="1" customWidth="1"/>
    <col min="7" max="7" width="12.7109375" style="128" customWidth="1"/>
    <col min="8" max="8" width="14" style="128" customWidth="1"/>
    <col min="9" max="9" width="12" bestFit="1" customWidth="1"/>
    <col min="10" max="10" width="5.7109375" customWidth="1"/>
    <col min="11" max="11" width="16.7109375" customWidth="1"/>
    <col min="12" max="12" width="15.7109375" customWidth="1"/>
    <col min="13" max="13" width="15.85546875" customWidth="1"/>
    <col min="14" max="14" width="13" bestFit="1" customWidth="1"/>
    <col min="15" max="15" width="16.28515625" customWidth="1"/>
  </cols>
  <sheetData>
    <row r="2" spans="1:1039" s="129" customFormat="1">
      <c r="A2" s="130" t="s">
        <v>644</v>
      </c>
      <c r="D2" s="359"/>
      <c r="F2" s="359"/>
      <c r="G2" s="359"/>
      <c r="H2" s="359"/>
      <c r="X2" s="354" t="s">
        <v>1084</v>
      </c>
    </row>
    <row r="3" spans="1:1039">
      <c r="H3" s="128" t="s">
        <v>1128</v>
      </c>
      <c r="I3" t="s">
        <v>1129</v>
      </c>
      <c r="J3" s="157"/>
      <c r="K3" s="157"/>
      <c r="L3" s="157">
        <v>2016</v>
      </c>
      <c r="M3" s="157"/>
      <c r="N3" t="s">
        <v>1891</v>
      </c>
      <c r="O3" t="s">
        <v>1074</v>
      </c>
    </row>
    <row r="4" spans="1:1039" ht="45">
      <c r="A4" s="772" t="s">
        <v>581</v>
      </c>
      <c r="B4" s="772" t="s">
        <v>1454</v>
      </c>
      <c r="C4" s="772" t="s">
        <v>568</v>
      </c>
      <c r="D4" s="772" t="s">
        <v>1460</v>
      </c>
      <c r="E4" s="772" t="s">
        <v>1461</v>
      </c>
      <c r="F4" s="772" t="s">
        <v>579</v>
      </c>
      <c r="G4" s="772" t="s">
        <v>1127</v>
      </c>
      <c r="H4" s="772" t="s">
        <v>1468</v>
      </c>
      <c r="I4" s="773" t="s">
        <v>1130</v>
      </c>
      <c r="J4" s="774" t="s">
        <v>501</v>
      </c>
      <c r="K4" s="774" t="s">
        <v>1462</v>
      </c>
      <c r="L4" s="157" t="s">
        <v>1463</v>
      </c>
      <c r="M4" s="157" t="s">
        <v>1464</v>
      </c>
      <c r="N4" s="710" t="s">
        <v>1073</v>
      </c>
      <c r="O4" s="710" t="s">
        <v>1075</v>
      </c>
      <c r="P4" t="s">
        <v>1458</v>
      </c>
      <c r="Q4" s="157" t="s">
        <v>1459</v>
      </c>
      <c r="R4" s="157"/>
      <c r="S4" s="157"/>
      <c r="T4" s="157"/>
      <c r="U4" s="242"/>
      <c r="V4" s="157" t="s">
        <v>959</v>
      </c>
      <c r="W4" s="156" t="s">
        <v>1082</v>
      </c>
      <c r="X4" s="156" t="s">
        <v>1083</v>
      </c>
      <c r="Y4" s="156" t="s">
        <v>1080</v>
      </c>
      <c r="Z4" s="156" t="s">
        <v>1081</v>
      </c>
      <c r="AA4" s="156" t="s">
        <v>1078</v>
      </c>
      <c r="AB4" s="156" t="s">
        <v>1079</v>
      </c>
      <c r="AC4" s="156" t="s">
        <v>1076</v>
      </c>
      <c r="AD4" s="156" t="s">
        <v>1077</v>
      </c>
      <c r="AE4" s="242"/>
      <c r="AF4" s="774"/>
      <c r="AG4" s="157"/>
      <c r="AH4" s="157"/>
      <c r="AI4" s="242"/>
      <c r="AJ4" s="242"/>
      <c r="AK4" s="242"/>
      <c r="AL4" s="242"/>
      <c r="AM4" s="242"/>
      <c r="AN4" s="242"/>
      <c r="AO4" s="242"/>
      <c r="AP4" s="242"/>
      <c r="AQ4" s="242"/>
      <c r="AR4" s="242"/>
      <c r="AS4" s="242"/>
      <c r="AT4" s="242"/>
      <c r="AU4" s="242"/>
      <c r="AV4" s="242"/>
      <c r="AW4" s="242"/>
      <c r="AX4" s="242"/>
      <c r="AY4" s="242"/>
      <c r="AZ4" s="242"/>
      <c r="BA4" s="242"/>
      <c r="BB4" s="242"/>
      <c r="BC4" s="242"/>
      <c r="BD4" s="242"/>
      <c r="BE4" s="242"/>
      <c r="BF4" s="242"/>
      <c r="BG4" s="242"/>
      <c r="BH4" s="242"/>
      <c r="BI4" s="242"/>
      <c r="BJ4" s="242"/>
      <c r="BK4" s="242"/>
      <c r="BL4" s="242"/>
      <c r="BM4" s="242"/>
      <c r="BN4" s="242"/>
      <c r="BO4" s="242"/>
      <c r="BP4" s="242"/>
      <c r="BQ4" s="242"/>
      <c r="BR4" s="242"/>
      <c r="BS4" s="242"/>
      <c r="BT4" s="242"/>
      <c r="BU4" s="242"/>
      <c r="BV4" s="242"/>
      <c r="BW4" s="242"/>
      <c r="BX4" s="242"/>
      <c r="BY4" s="242"/>
      <c r="BZ4" s="242"/>
      <c r="CA4" s="242"/>
      <c r="CB4" s="242"/>
      <c r="CC4" s="242"/>
      <c r="CD4" s="242"/>
      <c r="CE4" s="242"/>
      <c r="CF4" s="242"/>
      <c r="CG4" s="242"/>
      <c r="CH4" s="242"/>
      <c r="CI4" s="242"/>
      <c r="CJ4" s="242"/>
      <c r="CK4" s="242"/>
      <c r="CL4" s="242"/>
      <c r="CM4" s="242"/>
      <c r="CN4" s="242"/>
      <c r="CO4" s="242"/>
      <c r="CP4" s="242"/>
      <c r="CQ4" s="242"/>
      <c r="CR4" s="242"/>
      <c r="CS4" s="242"/>
      <c r="CT4" s="242"/>
      <c r="CU4" s="242"/>
      <c r="CV4" s="242"/>
      <c r="CW4" s="242"/>
      <c r="CX4" s="242"/>
      <c r="CY4" s="242"/>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c r="EP4" s="242"/>
      <c r="EQ4" s="242"/>
      <c r="ER4" s="242"/>
      <c r="ES4" s="242"/>
      <c r="ET4" s="242"/>
      <c r="EU4" s="242"/>
      <c r="EV4" s="242"/>
      <c r="EW4" s="242"/>
      <c r="EX4" s="242"/>
      <c r="EY4" s="242"/>
      <c r="EZ4" s="242"/>
      <c r="FA4" s="242"/>
      <c r="FB4" s="242"/>
      <c r="FC4" s="242"/>
      <c r="FD4" s="242"/>
      <c r="FE4" s="242"/>
      <c r="FF4" s="242"/>
      <c r="FG4" s="242"/>
      <c r="FH4" s="242"/>
      <c r="FI4" s="242"/>
      <c r="FJ4" s="242"/>
      <c r="FK4" s="242"/>
      <c r="FL4" s="242"/>
      <c r="FM4" s="242"/>
      <c r="FN4" s="242"/>
      <c r="FO4" s="242"/>
      <c r="FP4" s="242"/>
      <c r="FQ4" s="242"/>
      <c r="FR4" s="242"/>
      <c r="FS4" s="242"/>
      <c r="FT4" s="242"/>
      <c r="FU4" s="242"/>
      <c r="FV4" s="242"/>
      <c r="FW4" s="242"/>
      <c r="FX4" s="242"/>
      <c r="FY4" s="242"/>
      <c r="FZ4" s="242"/>
      <c r="GA4" s="242"/>
      <c r="GB4" s="242"/>
      <c r="GC4" s="242"/>
      <c r="GD4" s="242"/>
      <c r="GE4" s="242"/>
      <c r="GF4" s="242"/>
      <c r="GG4" s="242"/>
      <c r="GH4" s="242"/>
      <c r="GI4" s="242"/>
      <c r="GJ4" s="242"/>
      <c r="GK4" s="242"/>
      <c r="GL4" s="242"/>
      <c r="GM4" s="242"/>
      <c r="GN4" s="242"/>
      <c r="GO4" s="242"/>
      <c r="GP4" s="242"/>
      <c r="GQ4" s="242"/>
      <c r="GR4" s="242"/>
      <c r="GS4" s="242"/>
      <c r="GT4" s="242"/>
      <c r="GU4" s="242"/>
      <c r="GV4" s="242"/>
      <c r="GW4" s="242"/>
      <c r="GX4" s="242"/>
      <c r="GY4" s="242"/>
      <c r="GZ4" s="242"/>
      <c r="HA4" s="242"/>
      <c r="HB4" s="242"/>
      <c r="HC4" s="242"/>
      <c r="HD4" s="242"/>
      <c r="HE4" s="242"/>
      <c r="HF4" s="242"/>
      <c r="HG4" s="242"/>
      <c r="HH4" s="242"/>
      <c r="HI4" s="242"/>
      <c r="HJ4" s="242"/>
      <c r="HK4" s="242"/>
      <c r="HL4" s="242"/>
      <c r="HM4" s="242"/>
      <c r="HN4" s="242"/>
      <c r="HO4" s="242"/>
      <c r="HP4" s="242"/>
      <c r="HQ4" s="242"/>
      <c r="HR4" s="242"/>
      <c r="HS4" s="242"/>
      <c r="HT4" s="242"/>
      <c r="HU4" s="242"/>
      <c r="HV4" s="242"/>
      <c r="HW4" s="242"/>
      <c r="HX4" s="242"/>
      <c r="HY4" s="242"/>
      <c r="HZ4" s="242"/>
      <c r="IA4" s="242"/>
      <c r="IB4" s="242"/>
      <c r="IC4" s="242"/>
      <c r="ID4" s="242"/>
      <c r="IE4" s="242"/>
      <c r="IF4" s="242"/>
      <c r="IG4" s="242"/>
      <c r="IH4" s="242"/>
      <c r="II4" s="242"/>
      <c r="IJ4" s="242"/>
      <c r="IK4" s="242"/>
      <c r="IL4" s="242"/>
      <c r="IM4" s="242"/>
      <c r="IN4" s="242"/>
      <c r="IO4" s="242"/>
      <c r="IP4" s="242"/>
      <c r="IQ4" s="242"/>
      <c r="IR4" s="242"/>
      <c r="IS4" s="242"/>
      <c r="IT4" s="242"/>
      <c r="IU4" s="242"/>
      <c r="IV4" s="242"/>
      <c r="IW4" s="242"/>
      <c r="IX4" s="242"/>
      <c r="IY4" s="242"/>
      <c r="IZ4" s="242"/>
      <c r="JA4" s="242"/>
      <c r="JB4" s="242"/>
      <c r="JC4" s="242"/>
      <c r="JD4" s="242"/>
      <c r="JE4" s="242"/>
      <c r="JF4" s="242"/>
      <c r="JG4" s="242"/>
      <c r="JH4" s="242"/>
      <c r="JI4" s="242"/>
      <c r="JJ4" s="242"/>
      <c r="JK4" s="242"/>
      <c r="JL4" s="242"/>
      <c r="JM4" s="242"/>
      <c r="JN4" s="242"/>
      <c r="JO4" s="242"/>
      <c r="JP4" s="242"/>
      <c r="JQ4" s="242"/>
      <c r="JR4" s="242"/>
      <c r="JS4" s="242"/>
      <c r="JT4" s="242"/>
      <c r="JU4" s="242"/>
      <c r="JV4" s="242"/>
      <c r="JW4" s="242"/>
      <c r="JX4" s="242"/>
      <c r="JY4" s="242"/>
      <c r="JZ4" s="242"/>
      <c r="KA4" s="242"/>
      <c r="KB4" s="242"/>
      <c r="KC4" s="242"/>
      <c r="KD4" s="242"/>
      <c r="KE4" s="242"/>
      <c r="KF4" s="242"/>
      <c r="KG4" s="242"/>
      <c r="KH4" s="242"/>
      <c r="KI4" s="242"/>
      <c r="KJ4" s="242"/>
      <c r="KK4" s="242"/>
      <c r="KL4" s="242"/>
      <c r="KM4" s="242"/>
      <c r="KN4" s="242"/>
      <c r="KO4" s="242"/>
      <c r="KP4" s="242"/>
      <c r="KQ4" s="242"/>
      <c r="KR4" s="242"/>
      <c r="KS4" s="242"/>
      <c r="KT4" s="242"/>
      <c r="KU4" s="242"/>
      <c r="KV4" s="242"/>
      <c r="KW4" s="242"/>
      <c r="KX4" s="242"/>
      <c r="KY4" s="242"/>
      <c r="KZ4" s="242"/>
      <c r="LA4" s="242"/>
      <c r="LB4" s="242"/>
      <c r="LC4" s="242"/>
      <c r="LD4" s="242"/>
      <c r="LE4" s="242"/>
      <c r="LF4" s="242"/>
      <c r="LG4" s="242"/>
      <c r="LH4" s="242"/>
      <c r="LI4" s="242"/>
      <c r="LJ4" s="242"/>
      <c r="LK4" s="242"/>
      <c r="LL4" s="242"/>
      <c r="LM4" s="242"/>
      <c r="LN4" s="242"/>
      <c r="LO4" s="242"/>
      <c r="LP4" s="242"/>
      <c r="LQ4" s="242"/>
      <c r="LR4" s="242"/>
      <c r="LS4" s="242"/>
      <c r="LT4" s="242"/>
      <c r="LU4" s="242"/>
      <c r="LV4" s="242"/>
      <c r="LW4" s="242"/>
      <c r="LX4" s="242"/>
      <c r="LY4" s="242"/>
      <c r="LZ4" s="242"/>
      <c r="MA4" s="242"/>
      <c r="MB4" s="242"/>
      <c r="MC4" s="242"/>
      <c r="MD4" s="242"/>
      <c r="ME4" s="242"/>
      <c r="MF4" s="242"/>
      <c r="MG4" s="242"/>
      <c r="MH4" s="242"/>
      <c r="MI4" s="242"/>
      <c r="MJ4" s="242"/>
      <c r="MK4" s="242"/>
      <c r="ML4" s="242"/>
      <c r="MM4" s="242"/>
      <c r="MN4" s="242"/>
      <c r="MO4" s="242"/>
      <c r="MP4" s="242"/>
      <c r="MQ4" s="242"/>
      <c r="MR4" s="242"/>
      <c r="MS4" s="242"/>
      <c r="MT4" s="242"/>
      <c r="MU4" s="242"/>
      <c r="MV4" s="242"/>
      <c r="MW4" s="242"/>
      <c r="MX4" s="242"/>
      <c r="MY4" s="242"/>
      <c r="MZ4" s="242"/>
      <c r="NA4" s="242"/>
      <c r="NB4" s="242"/>
      <c r="NC4" s="242"/>
      <c r="ND4" s="242"/>
      <c r="NE4" s="242"/>
      <c r="NF4" s="242"/>
      <c r="NG4" s="242"/>
      <c r="NH4" s="242"/>
      <c r="NI4" s="242"/>
      <c r="NJ4" s="242"/>
      <c r="NK4" s="242"/>
      <c r="NL4" s="242"/>
      <c r="NM4" s="242"/>
      <c r="NN4" s="242"/>
      <c r="NO4" s="242"/>
      <c r="NP4" s="242"/>
      <c r="NQ4" s="242"/>
      <c r="NR4" s="242"/>
      <c r="NS4" s="242"/>
      <c r="NT4" s="242"/>
      <c r="NU4" s="242"/>
      <c r="NV4" s="242"/>
      <c r="NW4" s="242"/>
      <c r="NX4" s="242"/>
      <c r="NY4" s="242"/>
      <c r="NZ4" s="242"/>
      <c r="OA4" s="242"/>
      <c r="OB4" s="242"/>
      <c r="OC4" s="242"/>
      <c r="OD4" s="242"/>
      <c r="OE4" s="242"/>
      <c r="OF4" s="242"/>
      <c r="OG4" s="242"/>
      <c r="OH4" s="242"/>
      <c r="OI4" s="242"/>
      <c r="OJ4" s="242"/>
      <c r="OK4" s="242"/>
      <c r="OL4" s="242"/>
      <c r="OM4" s="242"/>
      <c r="ON4" s="242"/>
      <c r="OO4" s="242"/>
      <c r="OP4" s="242"/>
      <c r="OQ4" s="242"/>
      <c r="OR4" s="242"/>
      <c r="OS4" s="242"/>
      <c r="OT4" s="242"/>
      <c r="OU4" s="242"/>
      <c r="OV4" s="242"/>
      <c r="OW4" s="242"/>
      <c r="OX4" s="242"/>
      <c r="OY4" s="242"/>
      <c r="OZ4" s="242"/>
      <c r="PA4" s="242"/>
      <c r="PB4" s="242"/>
      <c r="PC4" s="242"/>
      <c r="PD4" s="242"/>
      <c r="PE4" s="242"/>
      <c r="PF4" s="242"/>
      <c r="PG4" s="242"/>
      <c r="PH4" s="242"/>
      <c r="PI4" s="242"/>
      <c r="PJ4" s="242"/>
      <c r="PK4" s="242"/>
      <c r="PL4" s="242"/>
      <c r="PM4" s="242"/>
      <c r="PN4" s="242"/>
      <c r="PO4" s="242"/>
      <c r="PP4" s="242"/>
      <c r="PQ4" s="242"/>
      <c r="PR4" s="242"/>
      <c r="PS4" s="242"/>
      <c r="PT4" s="242"/>
      <c r="PU4" s="242"/>
      <c r="PV4" s="242"/>
      <c r="PW4" s="242"/>
      <c r="PX4" s="242"/>
      <c r="PY4" s="242"/>
      <c r="PZ4" s="242"/>
      <c r="QA4" s="242"/>
      <c r="QB4" s="242"/>
      <c r="QC4" s="242"/>
      <c r="QD4" s="242"/>
      <c r="QE4" s="242"/>
      <c r="QF4" s="242"/>
      <c r="QG4" s="242"/>
      <c r="QH4" s="242"/>
      <c r="QI4" s="242"/>
      <c r="QJ4" s="242"/>
      <c r="QK4" s="242"/>
      <c r="QL4" s="242"/>
      <c r="QM4" s="242"/>
      <c r="QN4" s="242"/>
      <c r="QO4" s="242"/>
      <c r="QP4" s="242"/>
      <c r="QQ4" s="242"/>
      <c r="QR4" s="242"/>
      <c r="QS4" s="242"/>
      <c r="QT4" s="242"/>
      <c r="QU4" s="242"/>
      <c r="QV4" s="242"/>
      <c r="QW4" s="242"/>
      <c r="QX4" s="242"/>
      <c r="QY4" s="242"/>
      <c r="QZ4" s="242"/>
      <c r="RA4" s="242"/>
      <c r="RB4" s="242"/>
      <c r="RC4" s="242"/>
      <c r="RD4" s="242"/>
      <c r="RE4" s="242"/>
      <c r="RF4" s="242"/>
      <c r="RG4" s="242"/>
      <c r="RH4" s="242"/>
      <c r="RI4" s="242"/>
      <c r="RJ4" s="242"/>
      <c r="RK4" s="242"/>
      <c r="RL4" s="242"/>
      <c r="RM4" s="242"/>
      <c r="RN4" s="242"/>
      <c r="RO4" s="242"/>
      <c r="RP4" s="242"/>
      <c r="RQ4" s="242"/>
      <c r="RR4" s="242"/>
      <c r="RS4" s="242"/>
      <c r="RT4" s="242"/>
      <c r="RU4" s="242"/>
      <c r="RV4" s="242"/>
      <c r="RW4" s="242"/>
      <c r="RX4" s="242"/>
      <c r="RY4" s="242"/>
      <c r="RZ4" s="242"/>
      <c r="SA4" s="242"/>
      <c r="SB4" s="242"/>
      <c r="SC4" s="242"/>
      <c r="SD4" s="242"/>
      <c r="SE4" s="242"/>
      <c r="SF4" s="242"/>
      <c r="SG4" s="242"/>
      <c r="SH4" s="242"/>
      <c r="SI4" s="242"/>
      <c r="SJ4" s="242"/>
      <c r="SK4" s="242"/>
      <c r="SL4" s="242"/>
      <c r="SM4" s="242"/>
      <c r="SN4" s="242"/>
      <c r="SO4" s="242"/>
      <c r="SP4" s="242"/>
      <c r="SQ4" s="242"/>
      <c r="SR4" s="242"/>
      <c r="SS4" s="242"/>
      <c r="ST4" s="242"/>
      <c r="SU4" s="242"/>
      <c r="SV4" s="242"/>
      <c r="SW4" s="242"/>
      <c r="SX4" s="242"/>
      <c r="SY4" s="242"/>
      <c r="SZ4" s="242"/>
      <c r="TA4" s="242"/>
      <c r="TB4" s="242"/>
      <c r="TC4" s="242"/>
      <c r="TD4" s="242"/>
      <c r="TE4" s="242"/>
      <c r="TF4" s="242"/>
      <c r="TG4" s="242"/>
      <c r="TH4" s="242"/>
      <c r="TI4" s="242"/>
      <c r="TJ4" s="242"/>
      <c r="TK4" s="242"/>
      <c r="TL4" s="242"/>
      <c r="TM4" s="242"/>
      <c r="TN4" s="242"/>
      <c r="TO4" s="242"/>
      <c r="TP4" s="242"/>
      <c r="TQ4" s="242"/>
      <c r="TR4" s="242"/>
      <c r="TS4" s="242"/>
      <c r="TT4" s="242"/>
      <c r="TU4" s="242"/>
      <c r="TV4" s="242"/>
      <c r="TW4" s="242"/>
      <c r="TX4" s="242"/>
      <c r="TY4" s="242"/>
      <c r="TZ4" s="242"/>
      <c r="UA4" s="242"/>
      <c r="UB4" s="242"/>
      <c r="UC4" s="242"/>
      <c r="UD4" s="242"/>
      <c r="UE4" s="242"/>
      <c r="UF4" s="242"/>
      <c r="UG4" s="242"/>
      <c r="UH4" s="242"/>
      <c r="UI4" s="242"/>
      <c r="UJ4" s="242"/>
      <c r="UK4" s="242"/>
      <c r="UL4" s="242"/>
      <c r="UM4" s="242"/>
      <c r="UN4" s="242"/>
      <c r="UO4" s="242"/>
      <c r="UP4" s="242"/>
      <c r="UQ4" s="242"/>
      <c r="UR4" s="242"/>
      <c r="US4" s="242"/>
      <c r="UT4" s="242"/>
      <c r="UU4" s="242"/>
      <c r="UV4" s="242"/>
      <c r="UW4" s="242"/>
      <c r="UX4" s="242"/>
      <c r="UY4" s="242"/>
      <c r="UZ4" s="242"/>
      <c r="VA4" s="242"/>
      <c r="VB4" s="242"/>
      <c r="VC4" s="242"/>
      <c r="VD4" s="242"/>
      <c r="VE4" s="242"/>
      <c r="VF4" s="242"/>
      <c r="VG4" s="242"/>
      <c r="VH4" s="242"/>
      <c r="VI4" s="242"/>
      <c r="VJ4" s="242"/>
      <c r="VK4" s="242"/>
      <c r="VL4" s="242"/>
      <c r="VM4" s="242"/>
      <c r="VN4" s="242"/>
      <c r="VO4" s="242"/>
      <c r="VP4" s="242"/>
      <c r="VQ4" s="242"/>
      <c r="VR4" s="242"/>
      <c r="VS4" s="242"/>
      <c r="VT4" s="242"/>
      <c r="VU4" s="242"/>
      <c r="VV4" s="242"/>
      <c r="VW4" s="242"/>
      <c r="VX4" s="242"/>
      <c r="VY4" s="242"/>
      <c r="VZ4" s="242"/>
      <c r="WA4" s="242"/>
      <c r="WB4" s="242"/>
      <c r="WC4" s="242"/>
      <c r="WD4" s="242"/>
      <c r="WE4" s="242"/>
      <c r="WF4" s="242"/>
      <c r="WG4" s="242"/>
      <c r="WH4" s="242"/>
      <c r="WI4" s="242"/>
      <c r="WJ4" s="242"/>
      <c r="WK4" s="242"/>
      <c r="WL4" s="242"/>
      <c r="WM4" s="242"/>
      <c r="WN4" s="242"/>
      <c r="WO4" s="242"/>
      <c r="WP4" s="242"/>
      <c r="WQ4" s="242"/>
      <c r="WR4" s="242"/>
      <c r="WS4" s="242"/>
      <c r="WT4" s="242"/>
      <c r="WU4" s="242"/>
      <c r="WV4" s="242"/>
      <c r="WW4" s="242"/>
      <c r="WX4" s="242"/>
      <c r="WY4" s="242"/>
      <c r="WZ4" s="242"/>
      <c r="XA4" s="242"/>
      <c r="XB4" s="242"/>
      <c r="XC4" s="242"/>
      <c r="XD4" s="242"/>
      <c r="XE4" s="242"/>
      <c r="XF4" s="242"/>
      <c r="XG4" s="242"/>
      <c r="XH4" s="242"/>
      <c r="XI4" s="242"/>
      <c r="XJ4" s="242"/>
      <c r="XK4" s="242"/>
      <c r="XL4" s="242"/>
      <c r="XM4" s="242"/>
      <c r="XN4" s="242"/>
      <c r="XO4" s="242"/>
      <c r="XP4" s="242"/>
      <c r="XQ4" s="242"/>
      <c r="XR4" s="242"/>
      <c r="XS4" s="242"/>
      <c r="XT4" s="242"/>
      <c r="XU4" s="242"/>
      <c r="XV4" s="242"/>
      <c r="XW4" s="242"/>
      <c r="XX4" s="242"/>
      <c r="XY4" s="242"/>
      <c r="XZ4" s="242"/>
      <c r="YA4" s="242"/>
      <c r="YB4" s="242"/>
      <c r="YC4" s="242"/>
      <c r="YD4" s="242"/>
      <c r="YE4" s="242"/>
      <c r="YF4" s="242"/>
      <c r="YG4" s="242"/>
      <c r="YH4" s="242"/>
      <c r="YI4" s="242"/>
      <c r="YJ4" s="242"/>
      <c r="YK4" s="242"/>
      <c r="YL4" s="242"/>
      <c r="YM4" s="242"/>
      <c r="YN4" s="242"/>
      <c r="YO4" s="242"/>
      <c r="YP4" s="242"/>
      <c r="YQ4" s="242"/>
      <c r="YR4" s="242"/>
      <c r="YS4" s="242"/>
      <c r="YT4" s="242"/>
      <c r="YU4" s="242"/>
      <c r="YV4" s="242"/>
      <c r="YW4" s="242"/>
      <c r="YX4" s="242"/>
      <c r="YY4" s="242"/>
      <c r="YZ4" s="242"/>
      <c r="ZA4" s="242"/>
      <c r="ZB4" s="242"/>
      <c r="ZC4" s="242"/>
      <c r="ZD4" s="242"/>
      <c r="ZE4" s="242"/>
      <c r="ZF4" s="242"/>
      <c r="ZG4" s="242"/>
      <c r="ZH4" s="242"/>
      <c r="ZI4" s="242"/>
      <c r="ZJ4" s="242"/>
      <c r="ZK4" s="242"/>
      <c r="ZL4" s="242"/>
      <c r="ZM4" s="242"/>
      <c r="ZN4" s="242"/>
      <c r="ZO4" s="242"/>
      <c r="ZP4" s="242"/>
      <c r="ZQ4" s="242"/>
      <c r="ZR4" s="242"/>
      <c r="ZS4" s="242"/>
      <c r="ZT4" s="242"/>
      <c r="ZU4" s="242"/>
      <c r="ZV4" s="242"/>
      <c r="ZW4" s="242"/>
      <c r="ZX4" s="242"/>
      <c r="ZY4" s="242"/>
      <c r="ZZ4" s="242"/>
      <c r="AAA4" s="242"/>
      <c r="AAB4" s="242"/>
      <c r="AAC4" s="242"/>
      <c r="AAD4" s="242"/>
      <c r="AAE4" s="242"/>
      <c r="AAF4" s="242"/>
      <c r="AAG4" s="242"/>
      <c r="AAH4" s="242"/>
      <c r="AAI4" s="242"/>
      <c r="AAJ4" s="242"/>
      <c r="AAK4" s="242"/>
      <c r="AAL4" s="242"/>
      <c r="AAM4" s="242"/>
      <c r="AAN4" s="242"/>
      <c r="AAO4" s="242"/>
      <c r="AAP4" s="242"/>
      <c r="AAQ4" s="242"/>
      <c r="AAR4" s="242"/>
      <c r="AAS4" s="242"/>
      <c r="AAT4" s="242"/>
      <c r="AAU4" s="242"/>
      <c r="AAV4" s="242"/>
      <c r="AAW4" s="242"/>
      <c r="AAX4" s="242"/>
      <c r="AAY4" s="242"/>
      <c r="AAZ4" s="242"/>
      <c r="ABA4" s="242"/>
      <c r="ABB4" s="242"/>
      <c r="ABC4" s="242"/>
      <c r="ABD4" s="242"/>
      <c r="ABE4" s="242"/>
      <c r="ABF4" s="242"/>
      <c r="ABG4" s="242"/>
      <c r="ABH4" s="242"/>
      <c r="ABI4" s="242"/>
      <c r="ABJ4" s="242"/>
      <c r="ABK4" s="242"/>
      <c r="ABL4" s="242"/>
      <c r="ABM4" s="242"/>
      <c r="ABN4" s="242"/>
      <c r="ABO4" s="242"/>
      <c r="ABP4" s="242"/>
      <c r="ABQ4" s="242"/>
      <c r="ABR4" s="242"/>
      <c r="ABS4" s="242"/>
      <c r="ABT4" s="242"/>
      <c r="ABU4" s="242"/>
      <c r="ABV4" s="242"/>
      <c r="ABW4" s="242"/>
      <c r="ABX4" s="242"/>
      <c r="ABY4" s="242"/>
      <c r="ABZ4" s="242"/>
      <c r="ACA4" s="242"/>
      <c r="ACB4" s="242"/>
      <c r="ACC4" s="242"/>
      <c r="ACD4" s="242"/>
      <c r="ACE4" s="242"/>
      <c r="ACF4" s="242"/>
      <c r="ACG4" s="242"/>
      <c r="ACH4" s="242"/>
      <c r="ACI4" s="242"/>
      <c r="ACJ4" s="242"/>
      <c r="ACK4" s="242"/>
      <c r="ACL4" s="242"/>
      <c r="ACM4" s="242"/>
      <c r="ACN4" s="242"/>
      <c r="ACO4" s="242"/>
      <c r="ACP4" s="242"/>
      <c r="ACQ4" s="242"/>
      <c r="ACR4" s="242"/>
      <c r="ACS4" s="242"/>
      <c r="ACT4" s="242"/>
      <c r="ACU4" s="242"/>
      <c r="ACV4" s="242"/>
      <c r="ACW4" s="242"/>
      <c r="ACX4" s="242"/>
      <c r="ACY4" s="242"/>
      <c r="ACZ4" s="242"/>
      <c r="ADA4" s="242"/>
      <c r="ADB4" s="242"/>
      <c r="ADC4" s="242"/>
      <c r="ADD4" s="242"/>
      <c r="ADE4" s="242"/>
      <c r="ADF4" s="242"/>
      <c r="ADG4" s="242"/>
      <c r="ADH4" s="242"/>
      <c r="ADI4" s="242"/>
      <c r="ADJ4" s="242"/>
      <c r="ADK4" s="242"/>
      <c r="ADL4" s="242"/>
      <c r="ADM4" s="242"/>
      <c r="ADN4" s="242"/>
      <c r="ADO4" s="242"/>
      <c r="ADP4" s="242"/>
      <c r="ADQ4" s="242"/>
      <c r="ADR4" s="242"/>
      <c r="ADS4" s="242"/>
      <c r="ADT4" s="242"/>
      <c r="ADU4" s="242"/>
      <c r="ADV4" s="242"/>
      <c r="ADW4" s="242"/>
      <c r="ADX4" s="242"/>
      <c r="ADY4" s="242"/>
      <c r="ADZ4" s="242"/>
      <c r="AEA4" s="242"/>
      <c r="AEB4" s="242"/>
      <c r="AEC4" s="242"/>
      <c r="AED4" s="242"/>
      <c r="AEE4" s="242"/>
      <c r="AEF4" s="242"/>
      <c r="AEG4" s="242"/>
      <c r="AEH4" s="242"/>
      <c r="AEI4" s="242"/>
      <c r="AEJ4" s="242"/>
      <c r="AEK4" s="242"/>
      <c r="AEL4" s="242"/>
      <c r="AEM4" s="242"/>
      <c r="AEN4" s="242"/>
      <c r="AEO4" s="242"/>
      <c r="AEP4" s="242"/>
      <c r="AEQ4" s="242"/>
      <c r="AER4" s="242"/>
      <c r="AES4" s="242"/>
      <c r="AET4" s="242"/>
      <c r="AEU4" s="242"/>
      <c r="AEV4" s="242"/>
      <c r="AEW4" s="242"/>
      <c r="AEX4" s="242"/>
      <c r="AEY4" s="242"/>
      <c r="AEZ4" s="242"/>
      <c r="AFA4" s="242"/>
      <c r="AFB4" s="242"/>
      <c r="AFC4" s="242"/>
      <c r="AFD4" s="242"/>
      <c r="AFE4" s="242"/>
      <c r="AFF4" s="242"/>
      <c r="AFG4" s="242"/>
      <c r="AFH4" s="242"/>
      <c r="AFI4" s="242"/>
      <c r="AFJ4" s="242"/>
      <c r="AFK4" s="242"/>
      <c r="AFL4" s="242"/>
      <c r="AFM4" s="242"/>
      <c r="AFN4" s="242"/>
      <c r="AFO4" s="242"/>
      <c r="AFP4" s="242"/>
      <c r="AFQ4" s="242"/>
      <c r="AFR4" s="242"/>
      <c r="AFS4" s="242"/>
      <c r="AFT4" s="242"/>
      <c r="AFU4" s="242"/>
      <c r="AFV4" s="242"/>
      <c r="AFW4" s="242"/>
      <c r="AFX4" s="242"/>
      <c r="AFY4" s="242"/>
      <c r="AFZ4" s="242"/>
      <c r="AGA4" s="242"/>
      <c r="AGB4" s="242"/>
      <c r="AGC4" s="242"/>
      <c r="AGD4" s="242"/>
      <c r="AGE4" s="242"/>
      <c r="AGF4" s="242"/>
      <c r="AGG4" s="242"/>
      <c r="AGH4" s="242"/>
      <c r="AGI4" s="242"/>
      <c r="AGJ4" s="242"/>
      <c r="AGK4" s="242"/>
      <c r="AGL4" s="242"/>
      <c r="AGM4" s="242"/>
      <c r="AGN4" s="242"/>
      <c r="AGO4" s="242"/>
      <c r="AGP4" s="242"/>
      <c r="AGQ4" s="242"/>
      <c r="AGR4" s="242"/>
      <c r="AGS4" s="242"/>
      <c r="AGT4" s="242"/>
      <c r="AGU4" s="242"/>
      <c r="AGV4" s="242"/>
      <c r="AGW4" s="242"/>
      <c r="AGX4" s="242"/>
      <c r="AGY4" s="242"/>
      <c r="AGZ4" s="242"/>
      <c r="AHA4" s="242"/>
      <c r="AHB4" s="242"/>
      <c r="AHC4" s="242"/>
      <c r="AHD4" s="242"/>
      <c r="AHE4" s="242"/>
      <c r="AHF4" s="242"/>
      <c r="AHG4" s="242"/>
      <c r="AHH4" s="242"/>
      <c r="AHI4" s="242"/>
      <c r="AHJ4" s="242"/>
      <c r="AHK4" s="242"/>
      <c r="AHL4" s="242"/>
      <c r="AHM4" s="242"/>
      <c r="AHN4" s="242"/>
      <c r="AHO4" s="242"/>
      <c r="AHP4" s="242"/>
      <c r="AHQ4" s="242"/>
      <c r="AHR4" s="242"/>
      <c r="AHS4" s="242"/>
      <c r="AHT4" s="242"/>
      <c r="AHU4" s="242"/>
      <c r="AHV4" s="242"/>
      <c r="AHW4" s="242"/>
      <c r="AHX4" s="242"/>
      <c r="AHY4" s="242"/>
      <c r="AHZ4" s="242"/>
      <c r="AIA4" s="242"/>
      <c r="AIB4" s="242"/>
      <c r="AIC4" s="242"/>
      <c r="AID4" s="242"/>
      <c r="AIE4" s="242"/>
      <c r="AIF4" s="242"/>
      <c r="AIG4" s="242"/>
      <c r="AIH4" s="242"/>
      <c r="AII4" s="242"/>
      <c r="AIJ4" s="242"/>
      <c r="AIK4" s="242"/>
      <c r="AIL4" s="242"/>
      <c r="AIM4" s="242"/>
      <c r="AIN4" s="242"/>
      <c r="AIO4" s="242"/>
      <c r="AIP4" s="242"/>
      <c r="AIQ4" s="242"/>
      <c r="AIR4" s="242"/>
      <c r="AIS4" s="242"/>
      <c r="AIT4" s="242"/>
      <c r="AIU4" s="242"/>
      <c r="AIV4" s="242"/>
      <c r="AIW4" s="242"/>
      <c r="AIX4" s="242"/>
      <c r="AIY4" s="242"/>
      <c r="AIZ4" s="242"/>
      <c r="AJA4" s="242"/>
      <c r="AJB4" s="242"/>
      <c r="AJC4" s="242"/>
      <c r="AJD4" s="242"/>
      <c r="AJE4" s="242"/>
      <c r="AJF4" s="242"/>
      <c r="AJG4" s="242"/>
      <c r="AJH4" s="242"/>
      <c r="AJI4" s="242"/>
      <c r="AJJ4" s="242"/>
      <c r="AJK4" s="242"/>
      <c r="AJL4" s="242"/>
      <c r="AJM4" s="242"/>
      <c r="AJN4" s="242"/>
      <c r="AJO4" s="242"/>
      <c r="AJP4" s="242"/>
      <c r="AJQ4" s="242"/>
      <c r="AJR4" s="242"/>
      <c r="AJS4" s="242"/>
      <c r="AJT4" s="242"/>
      <c r="AJU4" s="242"/>
      <c r="AJV4" s="242"/>
      <c r="AJW4" s="242"/>
      <c r="AJX4" s="242"/>
      <c r="AJY4" s="242"/>
      <c r="AJZ4" s="242"/>
      <c r="AKA4" s="242"/>
      <c r="AKB4" s="242"/>
      <c r="AKC4" s="242"/>
      <c r="AKD4" s="242"/>
      <c r="AKE4" s="242"/>
      <c r="AKF4" s="242"/>
      <c r="AKG4" s="242"/>
      <c r="AKH4" s="242"/>
      <c r="AKI4" s="242"/>
      <c r="AKJ4" s="242"/>
      <c r="AKK4" s="242"/>
      <c r="AKL4" s="242"/>
      <c r="AKM4" s="242"/>
      <c r="AKN4" s="242"/>
      <c r="AKO4" s="242"/>
      <c r="AKP4" s="242"/>
      <c r="AKQ4" s="242"/>
      <c r="AKR4" s="242"/>
      <c r="AKS4" s="242"/>
      <c r="AKT4" s="242"/>
      <c r="AKU4" s="242"/>
      <c r="AKV4" s="242"/>
      <c r="AKW4" s="242"/>
      <c r="AKX4" s="242"/>
      <c r="AKY4" s="242"/>
      <c r="AKZ4" s="242"/>
      <c r="ALA4" s="242"/>
      <c r="ALB4" s="242"/>
      <c r="ALC4" s="242"/>
      <c r="ALD4" s="242"/>
      <c r="ALE4" s="242"/>
      <c r="ALF4" s="242"/>
      <c r="ALG4" s="242"/>
      <c r="ALH4" s="242"/>
      <c r="ALI4" s="242"/>
      <c r="ALJ4" s="242"/>
      <c r="ALK4" s="242"/>
      <c r="ALL4" s="242"/>
      <c r="ALM4" s="242"/>
      <c r="ALN4" s="242"/>
      <c r="ALO4" s="242"/>
      <c r="ALP4" s="242"/>
      <c r="ALQ4" s="242"/>
      <c r="ALR4" s="242"/>
      <c r="ALS4" s="242"/>
      <c r="ALT4" s="242"/>
      <c r="ALU4" s="242"/>
      <c r="ALV4" s="242"/>
      <c r="ALW4" s="242"/>
      <c r="ALX4" s="242"/>
      <c r="ALY4" s="242"/>
      <c r="ALZ4" s="242"/>
      <c r="AMA4" s="242"/>
      <c r="AMB4" s="242"/>
      <c r="AMC4" s="242"/>
      <c r="AMD4" s="242"/>
      <c r="AME4" s="242"/>
      <c r="AMF4" s="242"/>
      <c r="AMG4" s="242"/>
      <c r="AMH4" s="242"/>
      <c r="AMI4" s="242"/>
      <c r="AMJ4" s="242"/>
      <c r="AMK4" s="242"/>
      <c r="AML4" s="242"/>
      <c r="AMM4" s="242"/>
      <c r="AMN4" s="242"/>
      <c r="AMO4" s="242"/>
      <c r="AMP4" s="242"/>
      <c r="AMQ4" s="242"/>
      <c r="AMR4" s="242"/>
      <c r="AMS4" s="242"/>
      <c r="AMT4" s="242"/>
      <c r="AMU4" s="242"/>
      <c r="AMV4" s="242"/>
      <c r="AMW4" s="242"/>
      <c r="AMX4" s="242"/>
      <c r="AMY4" s="242"/>
    </row>
    <row r="5" spans="1:1039">
      <c r="A5" t="s">
        <v>592</v>
      </c>
      <c r="B5" s="60" t="s">
        <v>486</v>
      </c>
      <c r="C5">
        <v>-1</v>
      </c>
      <c r="D5" s="360" t="str">
        <f>CONCATENATE($K$5,C5)</f>
        <v>Alpes Maritimes-1</v>
      </c>
      <c r="E5">
        <v>3250</v>
      </c>
      <c r="F5" t="s">
        <v>1892</v>
      </c>
      <c r="G5">
        <v>237738561</v>
      </c>
      <c r="H5" s="363">
        <f>C5*-1</f>
        <v>1</v>
      </c>
      <c r="I5" s="158">
        <f>IF(A5="E",(G5/(VLOOKUP(B5,$J$1:$M$19,MATCH("Export N",$J$4:$M$4,0),FALSE))),(G5/(VLOOKUP(B5,$J$1:$M$19,MATCH("Import N",$J$4:$M$4,0),FALSE))))</f>
        <v>6.1690431491456456E-2</v>
      </c>
      <c r="J5" s="357" t="s">
        <v>486</v>
      </c>
      <c r="K5" s="358" t="s">
        <v>1890</v>
      </c>
      <c r="L5" s="157">
        <v>3541030932</v>
      </c>
      <c r="M5" s="157">
        <v>3853734773</v>
      </c>
      <c r="N5" s="16">
        <f>(L5-M5)/1000000</f>
        <v>-312.70384100000001</v>
      </c>
      <c r="O5" s="16">
        <v>-132</v>
      </c>
      <c r="P5" s="298">
        <f>(N5-O5)</f>
        <v>-180.70384100000001</v>
      </c>
      <c r="Q5" s="355">
        <f>(P5/O5)*-1</f>
        <v>-1.3689684924242425</v>
      </c>
      <c r="R5" s="355"/>
      <c r="S5" s="157"/>
      <c r="T5" s="157"/>
      <c r="V5" s="9" t="s">
        <v>1890</v>
      </c>
      <c r="W5">
        <v>2387</v>
      </c>
      <c r="X5">
        <v>-2852</v>
      </c>
      <c r="Y5">
        <v>2438</v>
      </c>
      <c r="Z5">
        <v>-3002</v>
      </c>
      <c r="AA5">
        <v>3059</v>
      </c>
      <c r="AB5">
        <v>-3191</v>
      </c>
      <c r="AC5" s="229">
        <v>3541.0309320000001</v>
      </c>
      <c r="AD5" s="229">
        <v>-3853.7347730000001</v>
      </c>
      <c r="AF5" s="358"/>
      <c r="AG5" s="157"/>
      <c r="AH5" s="157"/>
    </row>
    <row r="6" spans="1:1039">
      <c r="A6" t="s">
        <v>592</v>
      </c>
      <c r="B6" s="60" t="s">
        <v>486</v>
      </c>
      <c r="C6">
        <v>-2</v>
      </c>
      <c r="D6" s="360" t="str">
        <f t="shared" ref="D6:D14" si="0">CONCATENATE($K$5,C6)</f>
        <v>Alpes Maritimes-2</v>
      </c>
      <c r="E6">
        <v>2053</v>
      </c>
      <c r="F6" t="s">
        <v>587</v>
      </c>
      <c r="G6">
        <v>208663534</v>
      </c>
      <c r="H6" s="363">
        <f t="shared" ref="H6:H69" si="1">C6*-1</f>
        <v>2</v>
      </c>
      <c r="I6" s="158">
        <f t="shared" ref="I6:I69" si="2">IF(A6="E",(G6/(VLOOKUP(B6,$J$1:$M$19,MATCH("Export N",$J$4:$M$4,0),FALSE))),(G6/(VLOOKUP(B6,$J$1:$M$19,MATCH("Import N",$J$4:$M$4,0),FALSE))))</f>
        <v>5.4145795258650507E-2</v>
      </c>
      <c r="J6" s="357" t="s">
        <v>487</v>
      </c>
      <c r="K6" s="358" t="s">
        <v>466</v>
      </c>
      <c r="L6" s="157">
        <v>13371284198</v>
      </c>
      <c r="M6" s="157">
        <v>21240254018</v>
      </c>
      <c r="N6" s="16">
        <f t="shared" ref="N6:N19" si="3">(L6-M6)/1000000</f>
        <v>-7868.9698200000003</v>
      </c>
      <c r="O6" s="16">
        <v>-8912</v>
      </c>
      <c r="P6" s="298">
        <f t="shared" ref="P6:P19" si="4">(N6-O6)</f>
        <v>1043.0301799999997</v>
      </c>
      <c r="Q6" s="355">
        <f t="shared" ref="Q6:Q19" si="5">(P6/O6)*-1</f>
        <v>0.11703660008976657</v>
      </c>
      <c r="R6" s="355"/>
      <c r="S6" s="157"/>
      <c r="T6" s="157"/>
      <c r="V6" s="9" t="s">
        <v>473</v>
      </c>
      <c r="W6">
        <v>16517</v>
      </c>
      <c r="X6">
        <v>-17313</v>
      </c>
      <c r="Y6">
        <v>16718</v>
      </c>
      <c r="Z6">
        <v>-18051</v>
      </c>
      <c r="AA6">
        <v>18196</v>
      </c>
      <c r="AB6">
        <v>-18626</v>
      </c>
      <c r="AC6" s="229">
        <v>18347.438515999998</v>
      </c>
      <c r="AD6" s="229">
        <v>-17806.179994999999</v>
      </c>
      <c r="AF6" s="358"/>
      <c r="AG6" s="157"/>
      <c r="AH6" s="157"/>
    </row>
    <row r="7" spans="1:1039">
      <c r="A7" t="s">
        <v>592</v>
      </c>
      <c r="B7" s="60" t="s">
        <v>486</v>
      </c>
      <c r="C7">
        <v>-3</v>
      </c>
      <c r="D7" s="360" t="str">
        <f t="shared" si="0"/>
        <v>Alpes Maritimes-3</v>
      </c>
      <c r="E7">
        <v>3012</v>
      </c>
      <c r="F7" t="s">
        <v>1893</v>
      </c>
      <c r="G7">
        <v>137568358</v>
      </c>
      <c r="H7" s="363">
        <f t="shared" si="1"/>
        <v>3</v>
      </c>
      <c r="I7" s="158">
        <f t="shared" si="2"/>
        <v>3.5697412018032511E-2</v>
      </c>
      <c r="J7" s="357" t="s">
        <v>488</v>
      </c>
      <c r="K7" s="358" t="s">
        <v>467</v>
      </c>
      <c r="L7" s="157">
        <v>31792364574</v>
      </c>
      <c r="M7" s="157">
        <v>18416617380</v>
      </c>
      <c r="N7" s="16">
        <f t="shared" si="3"/>
        <v>13375.747194</v>
      </c>
      <c r="O7" s="16">
        <v>13674</v>
      </c>
      <c r="P7" s="298">
        <f t="shared" si="4"/>
        <v>-298.25280600000042</v>
      </c>
      <c r="Q7" s="355">
        <f t="shared" si="5"/>
        <v>2.1811672224659968E-2</v>
      </c>
      <c r="R7" s="355"/>
      <c r="S7" s="157"/>
      <c r="T7" s="157"/>
      <c r="V7" s="9" t="s">
        <v>466</v>
      </c>
      <c r="W7">
        <v>15513</v>
      </c>
      <c r="X7">
        <v>-30339</v>
      </c>
      <c r="Y7">
        <v>15873</v>
      </c>
      <c r="Z7">
        <v>-27441</v>
      </c>
      <c r="AA7">
        <v>14707</v>
      </c>
      <c r="AB7">
        <v>-23619</v>
      </c>
      <c r="AC7" s="229">
        <v>13371.284197999999</v>
      </c>
      <c r="AD7" s="229">
        <v>-21240.254018</v>
      </c>
      <c r="AF7" s="358"/>
      <c r="AG7" s="157"/>
      <c r="AH7" s="157"/>
    </row>
    <row r="8" spans="1:1039">
      <c r="A8" t="s">
        <v>592</v>
      </c>
      <c r="B8" s="60" t="s">
        <v>486</v>
      </c>
      <c r="C8">
        <v>-4</v>
      </c>
      <c r="D8" s="360" t="str">
        <f t="shared" si="0"/>
        <v>Alpes Maritimes-4</v>
      </c>
      <c r="E8">
        <v>2014</v>
      </c>
      <c r="F8" t="s">
        <v>593</v>
      </c>
      <c r="G8">
        <v>135518623</v>
      </c>
      <c r="H8" s="363">
        <f t="shared" si="1"/>
        <v>4</v>
      </c>
      <c r="I8" s="158">
        <f t="shared" si="2"/>
        <v>3.5165529280704343E-2</v>
      </c>
      <c r="J8" s="357" t="s">
        <v>71</v>
      </c>
      <c r="K8" s="358" t="s">
        <v>116</v>
      </c>
      <c r="L8" s="157">
        <v>6691316669</v>
      </c>
      <c r="M8" s="157">
        <v>7278839531</v>
      </c>
      <c r="N8" s="16">
        <f t="shared" si="3"/>
        <v>-587.52286200000003</v>
      </c>
      <c r="O8" s="16">
        <v>-54</v>
      </c>
      <c r="P8" s="298">
        <f t="shared" si="4"/>
        <v>-533.52286200000003</v>
      </c>
      <c r="Q8" s="355">
        <f t="shared" si="5"/>
        <v>-9.8800530000000002</v>
      </c>
      <c r="R8" s="355"/>
      <c r="S8" s="157"/>
      <c r="T8" s="157"/>
      <c r="V8" s="9" t="s">
        <v>116</v>
      </c>
      <c r="W8" s="300">
        <v>7043</v>
      </c>
      <c r="X8" s="300">
        <v>-7533</v>
      </c>
      <c r="Y8" s="300">
        <v>6375</v>
      </c>
      <c r="Z8" s="300">
        <v>-7099</v>
      </c>
      <c r="AA8" s="300">
        <v>6852</v>
      </c>
      <c r="AB8" s="300">
        <v>-6906</v>
      </c>
      <c r="AC8" s="775">
        <v>6691.3166689999998</v>
      </c>
      <c r="AD8" s="775">
        <v>-7278.8395309999996</v>
      </c>
      <c r="AF8" s="358"/>
      <c r="AG8" s="157"/>
      <c r="AH8" s="157"/>
    </row>
    <row r="9" spans="1:1039">
      <c r="A9" t="s">
        <v>592</v>
      </c>
      <c r="B9" s="60" t="s">
        <v>486</v>
      </c>
      <c r="C9">
        <v>-5</v>
      </c>
      <c r="D9" s="360" t="str">
        <f t="shared" si="0"/>
        <v>Alpes Maritimes-5</v>
      </c>
      <c r="E9">
        <v>3212</v>
      </c>
      <c r="F9" t="s">
        <v>591</v>
      </c>
      <c r="G9">
        <v>118265474</v>
      </c>
      <c r="H9" s="363">
        <f t="shared" si="1"/>
        <v>5</v>
      </c>
      <c r="I9" s="158">
        <f t="shared" si="2"/>
        <v>3.0688534880135093E-2</v>
      </c>
      <c r="J9" s="357" t="s">
        <v>489</v>
      </c>
      <c r="K9" s="358" t="s">
        <v>468</v>
      </c>
      <c r="L9" s="157">
        <v>1949239416</v>
      </c>
      <c r="M9" s="157">
        <v>4075385062</v>
      </c>
      <c r="N9" s="16">
        <f t="shared" si="3"/>
        <v>-2126.1456459999999</v>
      </c>
      <c r="O9" s="16">
        <v>-2152</v>
      </c>
      <c r="P9" s="298">
        <f t="shared" si="4"/>
        <v>25.854354000000058</v>
      </c>
      <c r="Q9" s="355">
        <f t="shared" si="5"/>
        <v>1.2014105018587387E-2</v>
      </c>
      <c r="R9" s="355"/>
      <c r="S9" s="157"/>
      <c r="T9" s="157"/>
      <c r="V9" s="9" t="s">
        <v>467</v>
      </c>
      <c r="W9">
        <v>40227</v>
      </c>
      <c r="X9">
        <v>-26232</v>
      </c>
      <c r="Y9">
        <v>41085</v>
      </c>
      <c r="Z9">
        <v>-28593</v>
      </c>
      <c r="AA9">
        <v>44666</v>
      </c>
      <c r="AB9">
        <v>-30992</v>
      </c>
      <c r="AC9" s="229">
        <v>31792.364573999999</v>
      </c>
      <c r="AD9" s="229">
        <v>-18416.61738</v>
      </c>
      <c r="AF9" s="358"/>
      <c r="AG9" s="157"/>
      <c r="AH9" s="157"/>
    </row>
    <row r="10" spans="1:1039">
      <c r="A10" t="s">
        <v>588</v>
      </c>
      <c r="B10" s="60" t="s">
        <v>486</v>
      </c>
      <c r="C10">
        <v>1</v>
      </c>
      <c r="D10" s="360" t="str">
        <f t="shared" si="0"/>
        <v>Alpes Maritimes1</v>
      </c>
      <c r="E10">
        <v>2053</v>
      </c>
      <c r="F10" t="s">
        <v>587</v>
      </c>
      <c r="G10">
        <v>890490604</v>
      </c>
      <c r="H10" s="363">
        <f t="shared" si="1"/>
        <v>-1</v>
      </c>
      <c r="I10" s="158">
        <f t="shared" si="2"/>
        <v>0.25147778178177177</v>
      </c>
      <c r="J10" s="357" t="s">
        <v>490</v>
      </c>
      <c r="K10" s="358" t="s">
        <v>469</v>
      </c>
      <c r="L10" s="157">
        <v>4329318159</v>
      </c>
      <c r="M10" s="157">
        <v>4462068891</v>
      </c>
      <c r="N10" s="16">
        <f t="shared" si="3"/>
        <v>-132.750732</v>
      </c>
      <c r="O10" s="16">
        <v>-330</v>
      </c>
      <c r="P10" s="298">
        <f t="shared" si="4"/>
        <v>197.249268</v>
      </c>
      <c r="Q10" s="355">
        <f t="shared" si="5"/>
        <v>0.59772505454545455</v>
      </c>
      <c r="R10" s="355"/>
      <c r="S10" s="157"/>
      <c r="T10" s="157"/>
      <c r="V10" s="9" t="s">
        <v>468</v>
      </c>
      <c r="W10">
        <v>2181</v>
      </c>
      <c r="X10">
        <v>-3881</v>
      </c>
      <c r="Y10">
        <v>2264</v>
      </c>
      <c r="Z10">
        <v>-3903</v>
      </c>
      <c r="AA10">
        <v>2276</v>
      </c>
      <c r="AB10">
        <v>-4428</v>
      </c>
      <c r="AC10" s="229">
        <v>1949.2394159999999</v>
      </c>
      <c r="AD10" s="229">
        <v>-4075.3850619999998</v>
      </c>
      <c r="AF10" s="358"/>
      <c r="AG10" s="157"/>
      <c r="AH10" s="157"/>
    </row>
    <row r="11" spans="1:1039">
      <c r="A11" t="s">
        <v>588</v>
      </c>
      <c r="B11" s="60" t="s">
        <v>486</v>
      </c>
      <c r="C11">
        <v>2</v>
      </c>
      <c r="D11" s="360" t="str">
        <f t="shared" si="0"/>
        <v>Alpes Maritimes2</v>
      </c>
      <c r="E11">
        <v>2120</v>
      </c>
      <c r="F11" t="s">
        <v>589</v>
      </c>
      <c r="G11">
        <v>229481151</v>
      </c>
      <c r="H11" s="363">
        <f t="shared" si="1"/>
        <v>-2</v>
      </c>
      <c r="I11" s="158">
        <f t="shared" si="2"/>
        <v>6.480631076283408E-2</v>
      </c>
      <c r="J11" s="357" t="s">
        <v>491</v>
      </c>
      <c r="K11" s="358" t="s">
        <v>470</v>
      </c>
      <c r="L11" s="157">
        <v>9982786385</v>
      </c>
      <c r="M11" s="157">
        <v>10785603373</v>
      </c>
      <c r="N11" s="16">
        <f t="shared" si="3"/>
        <v>-802.81698800000004</v>
      </c>
      <c r="O11" s="16">
        <v>-50</v>
      </c>
      <c r="P11" s="298">
        <f>(N11-O11)</f>
        <v>-752.81698800000004</v>
      </c>
      <c r="Q11" s="355">
        <f t="shared" si="5"/>
        <v>-15.05633976</v>
      </c>
      <c r="R11" s="355"/>
      <c r="S11" s="157"/>
      <c r="T11" s="157"/>
      <c r="V11" s="9" t="s">
        <v>469</v>
      </c>
      <c r="W11">
        <v>4247</v>
      </c>
      <c r="X11">
        <v>-4412</v>
      </c>
      <c r="Y11">
        <v>4020</v>
      </c>
      <c r="Z11">
        <v>-4462</v>
      </c>
      <c r="AA11">
        <v>4176</v>
      </c>
      <c r="AB11">
        <v>-4506</v>
      </c>
      <c r="AC11" s="229">
        <v>4329.3181590000004</v>
      </c>
      <c r="AD11" s="229">
        <v>-4462.0688909999999</v>
      </c>
      <c r="AF11" s="358"/>
      <c r="AG11" s="157"/>
      <c r="AH11" s="157"/>
    </row>
    <row r="12" spans="1:1039">
      <c r="A12" t="s">
        <v>588</v>
      </c>
      <c r="B12" s="60" t="s">
        <v>486</v>
      </c>
      <c r="C12">
        <v>3</v>
      </c>
      <c r="D12" s="360" t="str">
        <f t="shared" si="0"/>
        <v>Alpes Maritimes3</v>
      </c>
      <c r="E12">
        <v>1107</v>
      </c>
      <c r="F12" t="s">
        <v>1909</v>
      </c>
      <c r="G12">
        <v>220127187</v>
      </c>
      <c r="H12" s="363">
        <f t="shared" si="1"/>
        <v>-3</v>
      </c>
      <c r="I12" s="158">
        <f t="shared" si="2"/>
        <v>6.2164717345654638E-2</v>
      </c>
      <c r="J12" s="357" t="s">
        <v>492</v>
      </c>
      <c r="K12" s="358" t="s">
        <v>471</v>
      </c>
      <c r="L12" s="157">
        <v>7325451899</v>
      </c>
      <c r="M12" s="157">
        <v>10540343587</v>
      </c>
      <c r="N12" s="16">
        <f t="shared" si="3"/>
        <v>-3214.8916880000002</v>
      </c>
      <c r="O12" s="16">
        <v>-4046</v>
      </c>
      <c r="P12" s="298">
        <f t="shared" si="4"/>
        <v>831.10831199999984</v>
      </c>
      <c r="Q12" s="355">
        <f t="shared" si="5"/>
        <v>0.20541480771131979</v>
      </c>
      <c r="R12" s="355"/>
      <c r="S12" s="157"/>
      <c r="T12" s="157"/>
      <c r="V12" s="9" t="s">
        <v>470</v>
      </c>
      <c r="W12">
        <v>9721</v>
      </c>
      <c r="X12">
        <v>-9179</v>
      </c>
      <c r="Y12">
        <v>10034</v>
      </c>
      <c r="Z12">
        <v>-9468</v>
      </c>
      <c r="AA12">
        <v>10281</v>
      </c>
      <c r="AB12">
        <v>-10331</v>
      </c>
      <c r="AC12" s="229">
        <v>9982.7863849999994</v>
      </c>
      <c r="AD12" s="229">
        <v>-10785.603373</v>
      </c>
      <c r="AF12" s="358"/>
      <c r="AG12" s="157"/>
      <c r="AH12" s="157"/>
    </row>
    <row r="13" spans="1:1039">
      <c r="A13" t="s">
        <v>588</v>
      </c>
      <c r="B13" s="60" t="s">
        <v>486</v>
      </c>
      <c r="C13">
        <v>4</v>
      </c>
      <c r="D13" s="360" t="str">
        <f t="shared" si="0"/>
        <v>Alpes Maritimes4</v>
      </c>
      <c r="E13">
        <v>3030</v>
      </c>
      <c r="F13" t="s">
        <v>590</v>
      </c>
      <c r="G13">
        <v>187830487</v>
      </c>
      <c r="H13" s="363">
        <f t="shared" si="1"/>
        <v>-4</v>
      </c>
      <c r="I13" s="158">
        <f t="shared" si="2"/>
        <v>5.3044011929574413E-2</v>
      </c>
      <c r="J13" s="357" t="s">
        <v>493</v>
      </c>
      <c r="K13" s="358" t="s">
        <v>472</v>
      </c>
      <c r="L13" s="157">
        <v>21583771219</v>
      </c>
      <c r="M13" s="157">
        <v>28231241125</v>
      </c>
      <c r="N13" s="16">
        <f t="shared" si="3"/>
        <v>-6647.4699060000003</v>
      </c>
      <c r="O13" s="16">
        <v>-6244</v>
      </c>
      <c r="P13" s="298">
        <f t="shared" si="4"/>
        <v>-403.46990600000026</v>
      </c>
      <c r="Q13" s="355">
        <f t="shared" si="5"/>
        <v>-6.4617217488789278E-2</v>
      </c>
      <c r="R13" s="355"/>
      <c r="S13" s="157"/>
      <c r="T13" s="157"/>
      <c r="V13" s="9" t="s">
        <v>471</v>
      </c>
      <c r="W13">
        <v>8389</v>
      </c>
      <c r="X13">
        <v>-12685</v>
      </c>
      <c r="Y13">
        <v>7365</v>
      </c>
      <c r="Z13">
        <v>-12060</v>
      </c>
      <c r="AA13">
        <v>6628</v>
      </c>
      <c r="AB13">
        <v>-10674</v>
      </c>
      <c r="AC13" s="229">
        <v>7325.4518989999997</v>
      </c>
      <c r="AD13" s="229">
        <v>-10540.343586999999</v>
      </c>
      <c r="AF13" s="358"/>
      <c r="AG13" s="157"/>
      <c r="AH13" s="157"/>
    </row>
    <row r="14" spans="1:1039">
      <c r="A14" t="s">
        <v>588</v>
      </c>
      <c r="B14" s="60" t="s">
        <v>486</v>
      </c>
      <c r="C14">
        <v>5</v>
      </c>
      <c r="D14" s="360" t="str">
        <f t="shared" si="0"/>
        <v>Alpes Maritimes5</v>
      </c>
      <c r="E14">
        <v>3212</v>
      </c>
      <c r="F14" t="s">
        <v>591</v>
      </c>
      <c r="G14">
        <v>175438366</v>
      </c>
      <c r="H14" s="363">
        <f t="shared" si="1"/>
        <v>-5</v>
      </c>
      <c r="I14" s="158">
        <f t="shared" si="2"/>
        <v>4.9544431937766538E-2</v>
      </c>
      <c r="J14" s="357" t="s">
        <v>494</v>
      </c>
      <c r="K14" s="358" t="s">
        <v>478</v>
      </c>
      <c r="L14" s="157">
        <v>9534050668</v>
      </c>
      <c r="M14" s="157">
        <v>10498869363</v>
      </c>
      <c r="N14" s="16">
        <f t="shared" si="3"/>
        <v>-964.81869500000005</v>
      </c>
      <c r="O14" s="16">
        <v>-604</v>
      </c>
      <c r="P14" s="298">
        <f t="shared" si="4"/>
        <v>-360.81869500000005</v>
      </c>
      <c r="Q14" s="355">
        <f t="shared" si="5"/>
        <v>-0.5973819453642385</v>
      </c>
      <c r="R14" s="355"/>
      <c r="S14" s="157"/>
      <c r="T14" s="157"/>
      <c r="V14" s="9" t="s">
        <v>472</v>
      </c>
      <c r="W14">
        <v>23056</v>
      </c>
      <c r="X14">
        <v>-29626</v>
      </c>
      <c r="Y14">
        <v>23437</v>
      </c>
      <c r="Z14">
        <v>-30837</v>
      </c>
      <c r="AA14">
        <v>23122</v>
      </c>
      <c r="AB14">
        <v>-29366</v>
      </c>
      <c r="AC14" s="229">
        <v>21583.771218999998</v>
      </c>
      <c r="AD14" s="229">
        <v>-28231.241125</v>
      </c>
      <c r="AF14" s="358"/>
      <c r="AG14" s="157"/>
      <c r="AH14" s="157"/>
    </row>
    <row r="15" spans="1:1039">
      <c r="A15" t="s">
        <v>592</v>
      </c>
      <c r="B15" s="60" t="s">
        <v>487</v>
      </c>
      <c r="C15">
        <v>-1</v>
      </c>
      <c r="D15" s="360" t="str">
        <f>CONCATENATE($K$6,C15)</f>
        <v>Bouches-du-Rhône-1</v>
      </c>
      <c r="E15">
        <v>610</v>
      </c>
      <c r="F15" t="s">
        <v>597</v>
      </c>
      <c r="G15">
        <v>5737752188</v>
      </c>
      <c r="H15" s="363">
        <f t="shared" si="1"/>
        <v>1</v>
      </c>
      <c r="I15" s="158">
        <f t="shared" si="2"/>
        <v>0.27013576123607358</v>
      </c>
      <c r="J15" s="357" t="s">
        <v>495</v>
      </c>
      <c r="K15" s="358" t="s">
        <v>473</v>
      </c>
      <c r="L15" s="157">
        <v>18347438516</v>
      </c>
      <c r="M15" s="157">
        <v>17806179995</v>
      </c>
      <c r="N15" s="16">
        <f t="shared" si="3"/>
        <v>541.25852099999997</v>
      </c>
      <c r="O15" s="16">
        <v>-430</v>
      </c>
      <c r="P15" s="298">
        <f t="shared" si="4"/>
        <v>971.25852099999997</v>
      </c>
      <c r="Q15" s="355">
        <f t="shared" si="5"/>
        <v>2.258740746511628</v>
      </c>
      <c r="R15" s="355"/>
      <c r="S15" s="157"/>
      <c r="T15" s="157"/>
      <c r="V15" t="s">
        <v>478</v>
      </c>
      <c r="W15">
        <v>9429</v>
      </c>
      <c r="X15">
        <v>-10128</v>
      </c>
      <c r="Y15">
        <v>9379</v>
      </c>
      <c r="Z15">
        <v>-9929</v>
      </c>
      <c r="AA15">
        <v>9473</v>
      </c>
      <c r="AB15">
        <v>-10077</v>
      </c>
      <c r="AC15" s="229">
        <v>9534.0506679999999</v>
      </c>
      <c r="AD15" s="229">
        <v>-10498.869363</v>
      </c>
      <c r="AF15" s="358"/>
      <c r="AG15" s="157"/>
      <c r="AH15" s="157"/>
    </row>
    <row r="16" spans="1:1039">
      <c r="A16" t="s">
        <v>592</v>
      </c>
      <c r="B16" s="60" t="s">
        <v>487</v>
      </c>
      <c r="C16">
        <v>-2</v>
      </c>
      <c r="D16" s="360" t="str">
        <f t="shared" ref="D16:D24" si="6">CONCATENATE($K$6,C16)</f>
        <v>Bouches-du-Rhône-2</v>
      </c>
      <c r="E16">
        <v>1920</v>
      </c>
      <c r="F16" t="s">
        <v>594</v>
      </c>
      <c r="G16">
        <v>1778823738</v>
      </c>
      <c r="H16" s="363">
        <f t="shared" si="1"/>
        <v>2</v>
      </c>
      <c r="I16" s="158">
        <f t="shared" si="2"/>
        <v>8.374776198498099E-2</v>
      </c>
      <c r="J16" s="357" t="s">
        <v>496</v>
      </c>
      <c r="K16" s="358" t="s">
        <v>474</v>
      </c>
      <c r="L16" s="157">
        <v>13939792319</v>
      </c>
      <c r="M16" s="157">
        <v>17869374956</v>
      </c>
      <c r="N16" s="16">
        <f t="shared" si="3"/>
        <v>-3929.582637</v>
      </c>
      <c r="O16" s="16">
        <v>-3548</v>
      </c>
      <c r="P16" s="298">
        <f t="shared" si="4"/>
        <v>-381.58263699999998</v>
      </c>
      <c r="Q16" s="355">
        <f t="shared" si="5"/>
        <v>-0.10754865755355129</v>
      </c>
      <c r="R16" s="355"/>
      <c r="S16" s="157"/>
      <c r="T16" s="157"/>
      <c r="V16" s="9" t="s">
        <v>474</v>
      </c>
      <c r="W16">
        <v>13862</v>
      </c>
      <c r="X16">
        <v>-17543</v>
      </c>
      <c r="Y16">
        <v>13118</v>
      </c>
      <c r="Z16">
        <v>-17703</v>
      </c>
      <c r="AA16">
        <v>13850</v>
      </c>
      <c r="AB16">
        <v>-17398</v>
      </c>
      <c r="AC16" s="229">
        <v>13939.792319</v>
      </c>
      <c r="AD16" s="229">
        <v>-17869.374956</v>
      </c>
      <c r="AF16" s="358"/>
      <c r="AG16" s="157"/>
      <c r="AH16" s="157"/>
    </row>
    <row r="17" spans="1:34">
      <c r="A17" t="s">
        <v>592</v>
      </c>
      <c r="B17" s="60" t="s">
        <v>487</v>
      </c>
      <c r="C17">
        <v>-3</v>
      </c>
      <c r="D17" s="360" t="str">
        <f t="shared" si="6"/>
        <v>Bouches-du-Rhône-3</v>
      </c>
      <c r="E17">
        <v>620</v>
      </c>
      <c r="F17" t="s">
        <v>598</v>
      </c>
      <c r="G17">
        <v>1144857236</v>
      </c>
      <c r="H17" s="363">
        <f t="shared" si="1"/>
        <v>3</v>
      </c>
      <c r="I17" s="158">
        <f t="shared" si="2"/>
        <v>5.3900355194895201E-2</v>
      </c>
      <c r="J17" s="357" t="s">
        <v>497</v>
      </c>
      <c r="K17" s="358" t="s">
        <v>475</v>
      </c>
      <c r="L17" s="157">
        <v>18765491577</v>
      </c>
      <c r="M17" s="157">
        <v>23188141273</v>
      </c>
      <c r="N17" s="16">
        <f t="shared" si="3"/>
        <v>-4422.6496960000004</v>
      </c>
      <c r="O17" s="16">
        <v>-4737</v>
      </c>
      <c r="P17" s="298">
        <f t="shared" si="4"/>
        <v>314.3503039999996</v>
      </c>
      <c r="Q17" s="355">
        <f t="shared" si="5"/>
        <v>6.6360629934557658E-2</v>
      </c>
      <c r="R17" s="355"/>
      <c r="S17" s="157"/>
      <c r="T17" s="157"/>
      <c r="V17" s="9" t="s">
        <v>475</v>
      </c>
      <c r="W17">
        <v>20576</v>
      </c>
      <c r="X17">
        <v>-32635</v>
      </c>
      <c r="Y17">
        <v>20944</v>
      </c>
      <c r="Z17">
        <v>-29767</v>
      </c>
      <c r="AA17">
        <v>20431</v>
      </c>
      <c r="AB17">
        <v>-25168</v>
      </c>
      <c r="AC17" s="229">
        <v>18765.491577000001</v>
      </c>
      <c r="AD17" s="229">
        <v>-23188.141273000001</v>
      </c>
      <c r="AF17" s="358"/>
      <c r="AG17" s="157"/>
      <c r="AH17" s="157"/>
    </row>
    <row r="18" spans="1:34">
      <c r="A18" t="s">
        <v>592</v>
      </c>
      <c r="B18" s="60" t="s">
        <v>487</v>
      </c>
      <c r="C18">
        <v>-4</v>
      </c>
      <c r="D18" s="360" t="str">
        <f t="shared" si="6"/>
        <v>Bouches-du-Rhône-4</v>
      </c>
      <c r="E18">
        <v>2910</v>
      </c>
      <c r="F18" t="s">
        <v>599</v>
      </c>
      <c r="G18">
        <v>808048682</v>
      </c>
      <c r="H18" s="363">
        <f t="shared" si="1"/>
        <v>4</v>
      </c>
      <c r="I18" s="158">
        <f t="shared" si="2"/>
        <v>3.8043268282724925E-2</v>
      </c>
      <c r="J18" s="357" t="s">
        <v>498</v>
      </c>
      <c r="K18" s="358" t="s">
        <v>476</v>
      </c>
      <c r="L18" s="157">
        <v>1043418939</v>
      </c>
      <c r="M18" s="157">
        <v>1462011572</v>
      </c>
      <c r="N18" s="16">
        <f t="shared" si="3"/>
        <v>-418.59263299999998</v>
      </c>
      <c r="O18" s="16">
        <v>-276</v>
      </c>
      <c r="P18" s="298">
        <f t="shared" si="4"/>
        <v>-142.59263299999998</v>
      </c>
      <c r="Q18" s="355">
        <f t="shared" si="5"/>
        <v>-0.51663997463768108</v>
      </c>
      <c r="R18" s="355"/>
      <c r="S18" s="157"/>
      <c r="T18" s="157"/>
      <c r="V18" s="9" t="s">
        <v>476</v>
      </c>
      <c r="W18">
        <v>987</v>
      </c>
      <c r="X18">
        <v>-1203</v>
      </c>
      <c r="Y18">
        <v>966</v>
      </c>
      <c r="Z18">
        <v>-1247</v>
      </c>
      <c r="AA18">
        <v>1075</v>
      </c>
      <c r="AB18">
        <v>-1351</v>
      </c>
      <c r="AC18" s="229">
        <v>1043.4189389999999</v>
      </c>
      <c r="AD18" s="229">
        <v>-1462.0115719999999</v>
      </c>
      <c r="AF18" s="358"/>
      <c r="AG18" s="157"/>
      <c r="AH18" s="157"/>
    </row>
    <row r="19" spans="1:34">
      <c r="A19" t="s">
        <v>592</v>
      </c>
      <c r="B19" s="60" t="s">
        <v>487</v>
      </c>
      <c r="C19">
        <v>-5</v>
      </c>
      <c r="D19" s="360" t="str">
        <f t="shared" si="6"/>
        <v>Bouches-du-Rhône-5</v>
      </c>
      <c r="E19">
        <v>1413</v>
      </c>
      <c r="F19" t="s">
        <v>610</v>
      </c>
      <c r="G19">
        <v>550725411</v>
      </c>
      <c r="H19" s="363">
        <f t="shared" si="1"/>
        <v>5</v>
      </c>
      <c r="I19" s="158">
        <f t="shared" si="2"/>
        <v>2.5928381578360086E-2</v>
      </c>
      <c r="J19" s="357" t="s">
        <v>499</v>
      </c>
      <c r="K19" s="358" t="s">
        <v>477</v>
      </c>
      <c r="L19" s="157">
        <v>1474459654</v>
      </c>
      <c r="M19" s="157">
        <v>2038005224</v>
      </c>
      <c r="N19" s="16">
        <f t="shared" si="3"/>
        <v>-563.54557</v>
      </c>
      <c r="O19" s="16">
        <v>-412</v>
      </c>
      <c r="P19" s="298">
        <f t="shared" si="4"/>
        <v>-151.54557</v>
      </c>
      <c r="Q19" s="355">
        <f t="shared" si="5"/>
        <v>-0.36782905339805827</v>
      </c>
      <c r="R19" s="355"/>
      <c r="V19" s="9" t="s">
        <v>477</v>
      </c>
      <c r="W19">
        <v>1405</v>
      </c>
      <c r="X19">
        <v>-1862</v>
      </c>
      <c r="Y19">
        <v>1411</v>
      </c>
      <c r="Z19">
        <v>-1729</v>
      </c>
      <c r="AA19">
        <v>1472</v>
      </c>
      <c r="AB19">
        <v>-1884</v>
      </c>
      <c r="AC19" s="229">
        <v>1474.459654</v>
      </c>
      <c r="AD19" s="229">
        <v>-2038.005224</v>
      </c>
      <c r="AF19" s="358"/>
      <c r="AG19" s="157"/>
      <c r="AH19" s="157"/>
    </row>
    <row r="20" spans="1:34">
      <c r="A20" t="s">
        <v>588</v>
      </c>
      <c r="B20" s="60" t="s">
        <v>487</v>
      </c>
      <c r="C20">
        <v>1</v>
      </c>
      <c r="D20" s="360" t="str">
        <f t="shared" si="6"/>
        <v>Bouches-du-Rhône1</v>
      </c>
      <c r="E20">
        <v>1920</v>
      </c>
      <c r="F20" t="s">
        <v>594</v>
      </c>
      <c r="G20">
        <v>1925015971</v>
      </c>
      <c r="H20" s="363">
        <f t="shared" si="1"/>
        <v>-1</v>
      </c>
      <c r="I20" s="158">
        <f t="shared" si="2"/>
        <v>0.14396642405431281</v>
      </c>
      <c r="J20" s="9"/>
      <c r="N20" s="16"/>
    </row>
    <row r="21" spans="1:34">
      <c r="A21" t="s">
        <v>588</v>
      </c>
      <c r="B21" s="60" t="s">
        <v>487</v>
      </c>
      <c r="C21">
        <v>2</v>
      </c>
      <c r="D21" s="360" t="str">
        <f t="shared" si="6"/>
        <v>Bouches-du-Rhône2</v>
      </c>
      <c r="E21">
        <v>2410</v>
      </c>
      <c r="F21" t="s">
        <v>595</v>
      </c>
      <c r="G21">
        <v>1241600227</v>
      </c>
      <c r="H21" s="363">
        <f t="shared" si="1"/>
        <v>-2</v>
      </c>
      <c r="I21" s="158">
        <f t="shared" si="2"/>
        <v>9.2855720409092152E-2</v>
      </c>
      <c r="J21" s="9"/>
      <c r="N21" s="16"/>
      <c r="V21" s="157" t="s">
        <v>1469</v>
      </c>
      <c r="W21" s="157">
        <v>2015</v>
      </c>
      <c r="X21" s="157"/>
      <c r="Y21" s="157"/>
      <c r="Z21" s="157">
        <v>2014</v>
      </c>
      <c r="AA21" s="157"/>
      <c r="AB21" s="157"/>
      <c r="AC21" s="157">
        <v>2013</v>
      </c>
      <c r="AD21" s="157"/>
      <c r="AE21" s="157"/>
      <c r="AF21" s="157">
        <v>2012</v>
      </c>
      <c r="AG21" s="157"/>
      <c r="AH21" s="157"/>
    </row>
    <row r="22" spans="1:34">
      <c r="A22" t="s">
        <v>588</v>
      </c>
      <c r="B22" s="60" t="s">
        <v>487</v>
      </c>
      <c r="C22">
        <v>3</v>
      </c>
      <c r="D22" s="360" t="str">
        <f t="shared" si="6"/>
        <v>Bouches-du-Rhône3</v>
      </c>
      <c r="E22">
        <v>2016</v>
      </c>
      <c r="F22" t="s">
        <v>596</v>
      </c>
      <c r="G22">
        <v>1064635496</v>
      </c>
      <c r="H22" s="363">
        <f t="shared" si="1"/>
        <v>-3</v>
      </c>
      <c r="I22" s="158">
        <f t="shared" si="2"/>
        <v>7.9621035663817702E-2</v>
      </c>
      <c r="J22" s="9"/>
      <c r="N22" s="16"/>
      <c r="V22" s="157" t="s">
        <v>1456</v>
      </c>
      <c r="W22" s="157" t="s">
        <v>1086</v>
      </c>
      <c r="X22" s="157" t="s">
        <v>1085</v>
      </c>
      <c r="Y22" s="157" t="s">
        <v>1457</v>
      </c>
      <c r="Z22" s="157" t="s">
        <v>1086</v>
      </c>
      <c r="AA22" s="157" t="s">
        <v>1085</v>
      </c>
      <c r="AB22" s="157" t="s">
        <v>1457</v>
      </c>
      <c r="AC22" s="157" t="s">
        <v>1086</v>
      </c>
      <c r="AD22" s="157" t="s">
        <v>1085</v>
      </c>
      <c r="AE22" s="157" t="s">
        <v>1457</v>
      </c>
      <c r="AF22" s="157" t="s">
        <v>1086</v>
      </c>
      <c r="AG22" s="157" t="s">
        <v>1085</v>
      </c>
      <c r="AH22" s="157" t="s">
        <v>1457</v>
      </c>
    </row>
    <row r="23" spans="1:34">
      <c r="A23" t="s">
        <v>588</v>
      </c>
      <c r="B23" s="60" t="s">
        <v>487</v>
      </c>
      <c r="C23">
        <v>4</v>
      </c>
      <c r="D23" s="360" t="str">
        <f t="shared" si="6"/>
        <v>Bouches-du-Rhône4</v>
      </c>
      <c r="E23">
        <v>2014</v>
      </c>
      <c r="F23" t="s">
        <v>593</v>
      </c>
      <c r="G23">
        <v>986745680</v>
      </c>
      <c r="H23" s="363">
        <f t="shared" si="1"/>
        <v>-4</v>
      </c>
      <c r="I23" s="158">
        <f t="shared" si="2"/>
        <v>7.3795879691764515E-2</v>
      </c>
      <c r="J23" s="9"/>
      <c r="N23" s="16"/>
      <c r="V23" s="157" t="s">
        <v>465</v>
      </c>
      <c r="W23" s="157">
        <v>3059</v>
      </c>
      <c r="X23" s="157">
        <v>3191</v>
      </c>
      <c r="Y23" s="157">
        <v>-132</v>
      </c>
      <c r="Z23" s="157">
        <v>2438</v>
      </c>
      <c r="AA23" s="157">
        <v>3002</v>
      </c>
      <c r="AB23" s="157">
        <v>-564</v>
      </c>
      <c r="AC23" s="157">
        <v>2387</v>
      </c>
      <c r="AD23" s="157">
        <v>2852</v>
      </c>
      <c r="AE23" s="157">
        <v>-465</v>
      </c>
      <c r="AF23" s="157">
        <v>2490</v>
      </c>
      <c r="AG23" s="157">
        <v>2927</v>
      </c>
      <c r="AH23" s="157">
        <v>-437</v>
      </c>
    </row>
    <row r="24" spans="1:34">
      <c r="A24" t="s">
        <v>588</v>
      </c>
      <c r="B24" s="60" t="s">
        <v>487</v>
      </c>
      <c r="C24">
        <v>5</v>
      </c>
      <c r="D24" s="360" t="str">
        <f t="shared" si="6"/>
        <v>Bouches-du-Rhône5</v>
      </c>
      <c r="E24">
        <v>3030</v>
      </c>
      <c r="F24" t="s">
        <v>590</v>
      </c>
      <c r="G24">
        <v>952967446</v>
      </c>
      <c r="H24" s="363">
        <f t="shared" si="1"/>
        <v>-5</v>
      </c>
      <c r="I24" s="158">
        <f t="shared" si="2"/>
        <v>7.1269702437596782E-2</v>
      </c>
      <c r="J24" s="9"/>
      <c r="N24" s="16"/>
      <c r="V24" s="157" t="s">
        <v>466</v>
      </c>
      <c r="W24" s="157">
        <v>14707</v>
      </c>
      <c r="X24" s="157">
        <v>23619</v>
      </c>
      <c r="Y24" s="157">
        <v>-8912</v>
      </c>
      <c r="Z24" s="157">
        <v>15873</v>
      </c>
      <c r="AA24" s="157">
        <v>27441</v>
      </c>
      <c r="AB24" s="157">
        <v>-11568</v>
      </c>
      <c r="AC24" s="157">
        <v>15513</v>
      </c>
      <c r="AD24" s="157">
        <v>30339</v>
      </c>
      <c r="AE24" s="157">
        <v>-14826</v>
      </c>
      <c r="AF24" s="157">
        <v>17289</v>
      </c>
      <c r="AG24" s="157">
        <v>31614</v>
      </c>
      <c r="AH24" s="157">
        <v>-14325</v>
      </c>
    </row>
    <row r="25" spans="1:34">
      <c r="A25" t="s">
        <v>592</v>
      </c>
      <c r="B25" s="60" t="s">
        <v>488</v>
      </c>
      <c r="C25">
        <v>-1</v>
      </c>
      <c r="D25" s="360" t="str">
        <f>CONCATENATE($K$7,C25)</f>
        <v>Haute-Garonne-1</v>
      </c>
      <c r="E25">
        <v>3030</v>
      </c>
      <c r="F25" t="s">
        <v>590</v>
      </c>
      <c r="G25">
        <v>13078904020</v>
      </c>
      <c r="H25" s="363">
        <f t="shared" si="1"/>
        <v>1</v>
      </c>
      <c r="I25" s="158">
        <f t="shared" si="2"/>
        <v>0.71016863467030444</v>
      </c>
      <c r="J25" s="9"/>
      <c r="N25" s="16"/>
      <c r="V25" s="157" t="s">
        <v>467</v>
      </c>
      <c r="W25" s="157">
        <v>44666</v>
      </c>
      <c r="X25" s="157">
        <v>30992</v>
      </c>
      <c r="Y25" s="157">
        <v>13674</v>
      </c>
      <c r="Z25" s="157">
        <v>41085</v>
      </c>
      <c r="AA25" s="157">
        <v>28593</v>
      </c>
      <c r="AB25" s="157">
        <v>12492</v>
      </c>
      <c r="AC25" s="157">
        <v>40227</v>
      </c>
      <c r="AD25" s="157">
        <v>26232</v>
      </c>
      <c r="AE25" s="157">
        <v>13995</v>
      </c>
      <c r="AF25" s="157">
        <v>40759</v>
      </c>
      <c r="AG25" s="157">
        <v>26325</v>
      </c>
      <c r="AH25" s="157">
        <v>14434</v>
      </c>
    </row>
    <row r="26" spans="1:34">
      <c r="A26" t="s">
        <v>592</v>
      </c>
      <c r="B26" s="60" t="s">
        <v>488</v>
      </c>
      <c r="C26">
        <v>-2</v>
      </c>
      <c r="D26" s="360" t="str">
        <f t="shared" ref="D26:D34" si="7">CONCATENATE($K$7,C26)</f>
        <v>Haute-Garonne-2</v>
      </c>
      <c r="E26">
        <v>2651</v>
      </c>
      <c r="F26" s="360" t="s">
        <v>645</v>
      </c>
      <c r="G26">
        <v>337556554</v>
      </c>
      <c r="H26" s="363">
        <f t="shared" si="1"/>
        <v>2</v>
      </c>
      <c r="I26" s="158">
        <f t="shared" si="2"/>
        <v>1.8328911712450421E-2</v>
      </c>
      <c r="J26" s="9"/>
      <c r="N26" s="16"/>
      <c r="V26" s="157" t="s">
        <v>116</v>
      </c>
      <c r="W26" s="157">
        <v>6852</v>
      </c>
      <c r="X26" s="157">
        <v>6906</v>
      </c>
      <c r="Y26" s="157">
        <v>-54</v>
      </c>
      <c r="Z26" s="157">
        <v>6375</v>
      </c>
      <c r="AA26" s="157">
        <v>7099</v>
      </c>
      <c r="AB26" s="157">
        <v>-724</v>
      </c>
      <c r="AC26" s="157">
        <v>7043</v>
      </c>
      <c r="AD26" s="157">
        <v>7533</v>
      </c>
      <c r="AE26" s="157">
        <v>-490</v>
      </c>
      <c r="AF26" s="157">
        <v>7269</v>
      </c>
      <c r="AG26" s="157">
        <v>7384</v>
      </c>
      <c r="AH26" s="157">
        <v>-115</v>
      </c>
    </row>
    <row r="27" spans="1:34">
      <c r="A27" t="s">
        <v>592</v>
      </c>
      <c r="B27" s="60" t="s">
        <v>488</v>
      </c>
      <c r="C27">
        <v>-3</v>
      </c>
      <c r="D27" s="360" t="str">
        <f t="shared" si="7"/>
        <v>Haute-Garonne-3</v>
      </c>
      <c r="E27">
        <v>2931</v>
      </c>
      <c r="F27" t="s">
        <v>1465</v>
      </c>
      <c r="G27">
        <v>248218986</v>
      </c>
      <c r="H27" s="363">
        <f t="shared" si="1"/>
        <v>3</v>
      </c>
      <c r="I27" s="158">
        <f t="shared" si="2"/>
        <v>1.347799006073503E-2</v>
      </c>
      <c r="J27" s="9"/>
      <c r="N27" s="16"/>
      <c r="V27" s="157" t="s">
        <v>468</v>
      </c>
      <c r="W27" s="157">
        <v>2276</v>
      </c>
      <c r="X27" s="157">
        <v>4428</v>
      </c>
      <c r="Y27" s="157">
        <v>-2152</v>
      </c>
      <c r="Z27" s="157">
        <v>2264</v>
      </c>
      <c r="AA27" s="157">
        <v>3903</v>
      </c>
      <c r="AB27" s="157">
        <v>-1639</v>
      </c>
      <c r="AC27" s="157">
        <v>2181</v>
      </c>
      <c r="AD27" s="157">
        <v>3881</v>
      </c>
      <c r="AE27" s="157">
        <v>-1700</v>
      </c>
      <c r="AF27" s="157">
        <v>2130</v>
      </c>
      <c r="AG27" s="157">
        <v>4351</v>
      </c>
      <c r="AH27" s="157">
        <v>-2221</v>
      </c>
    </row>
    <row r="28" spans="1:34">
      <c r="A28" t="s">
        <v>592</v>
      </c>
      <c r="B28" s="60" t="s">
        <v>488</v>
      </c>
      <c r="C28">
        <v>-4</v>
      </c>
      <c r="D28" s="360" t="str">
        <f t="shared" si="7"/>
        <v>Haute-Garonne-4</v>
      </c>
      <c r="E28">
        <v>1200</v>
      </c>
      <c r="F28" t="s">
        <v>602</v>
      </c>
      <c r="G28">
        <v>245641632</v>
      </c>
      <c r="H28" s="363">
        <f t="shared" si="1"/>
        <v>4</v>
      </c>
      <c r="I28" s="158">
        <f t="shared" si="2"/>
        <v>1.3338042862679053E-2</v>
      </c>
      <c r="J28" s="9"/>
      <c r="N28" s="16"/>
      <c r="V28" s="157" t="s">
        <v>469</v>
      </c>
      <c r="W28" s="157">
        <v>4176</v>
      </c>
      <c r="X28" s="157">
        <v>4506</v>
      </c>
      <c r="Y28" s="157">
        <v>-330</v>
      </c>
      <c r="Z28" s="157">
        <v>4020</v>
      </c>
      <c r="AA28" s="157">
        <v>4462</v>
      </c>
      <c r="AB28" s="157">
        <v>-442</v>
      </c>
      <c r="AC28" s="157">
        <v>4247</v>
      </c>
      <c r="AD28" s="157">
        <v>4412</v>
      </c>
      <c r="AE28" s="157">
        <v>-165</v>
      </c>
      <c r="AF28" s="157">
        <v>5018</v>
      </c>
      <c r="AG28" s="157">
        <v>4893</v>
      </c>
      <c r="AH28" s="157">
        <v>125</v>
      </c>
    </row>
    <row r="29" spans="1:34">
      <c r="A29" t="s">
        <v>592</v>
      </c>
      <c r="B29" s="60" t="s">
        <v>488</v>
      </c>
      <c r="C29">
        <v>-5</v>
      </c>
      <c r="D29" s="360" t="str">
        <f t="shared" si="7"/>
        <v>Haute-Garonne-5</v>
      </c>
      <c r="E29">
        <v>2630</v>
      </c>
      <c r="F29" t="s">
        <v>1894</v>
      </c>
      <c r="G29">
        <v>185704897</v>
      </c>
      <c r="H29" s="363">
        <f t="shared" si="1"/>
        <v>5</v>
      </c>
      <c r="I29" s="158">
        <f t="shared" si="2"/>
        <v>1.0083550804594063E-2</v>
      </c>
      <c r="J29" s="9"/>
      <c r="N29" s="16"/>
      <c r="V29" s="157" t="s">
        <v>470</v>
      </c>
      <c r="W29" s="157">
        <v>10281</v>
      </c>
      <c r="X29" s="157">
        <v>10331</v>
      </c>
      <c r="Y29" s="157">
        <v>-50</v>
      </c>
      <c r="Z29" s="157">
        <v>10034</v>
      </c>
      <c r="AA29" s="157">
        <v>9468</v>
      </c>
      <c r="AB29" s="157">
        <v>566</v>
      </c>
      <c r="AC29" s="157">
        <v>9721</v>
      </c>
      <c r="AD29" s="157">
        <v>9179</v>
      </c>
      <c r="AE29" s="157">
        <v>542</v>
      </c>
      <c r="AF29" s="157">
        <v>10240</v>
      </c>
      <c r="AG29" s="157">
        <v>9392</v>
      </c>
      <c r="AH29" s="157">
        <v>848</v>
      </c>
    </row>
    <row r="30" spans="1:34">
      <c r="A30" t="s">
        <v>588</v>
      </c>
      <c r="B30" s="60" t="s">
        <v>488</v>
      </c>
      <c r="C30">
        <v>1</v>
      </c>
      <c r="D30" s="360" t="str">
        <f t="shared" si="7"/>
        <v>Haute-Garonne1</v>
      </c>
      <c r="E30">
        <v>3030</v>
      </c>
      <c r="F30" t="s">
        <v>590</v>
      </c>
      <c r="G30">
        <v>27257660318</v>
      </c>
      <c r="H30" s="363">
        <f t="shared" si="1"/>
        <v>-1</v>
      </c>
      <c r="I30" s="158">
        <f t="shared" si="2"/>
        <v>0.85736498946327167</v>
      </c>
      <c r="J30" s="9"/>
      <c r="V30" s="157" t="s">
        <v>474</v>
      </c>
      <c r="W30" s="157">
        <v>13850</v>
      </c>
      <c r="X30" s="157">
        <v>17398</v>
      </c>
      <c r="Y30" s="157">
        <v>-3548</v>
      </c>
      <c r="Z30" s="157">
        <v>13118</v>
      </c>
      <c r="AA30" s="157">
        <v>17703</v>
      </c>
      <c r="AB30" s="157">
        <v>-4585</v>
      </c>
      <c r="AC30" s="157">
        <v>13862</v>
      </c>
      <c r="AD30" s="157">
        <v>17543</v>
      </c>
      <c r="AE30" s="157">
        <v>-3681</v>
      </c>
      <c r="AF30" s="157">
        <v>15773</v>
      </c>
      <c r="AG30" s="157">
        <v>18347</v>
      </c>
      <c r="AH30" s="157">
        <v>-2574</v>
      </c>
    </row>
    <row r="31" spans="1:34">
      <c r="A31" t="s">
        <v>588</v>
      </c>
      <c r="B31" s="60" t="s">
        <v>488</v>
      </c>
      <c r="C31">
        <v>2</v>
      </c>
      <c r="D31" s="360" t="str">
        <f t="shared" si="7"/>
        <v>Haute-Garonne2</v>
      </c>
      <c r="E31">
        <v>2651</v>
      </c>
      <c r="F31" s="360" t="s">
        <v>645</v>
      </c>
      <c r="G31">
        <v>633366635</v>
      </c>
      <c r="H31" s="363">
        <f t="shared" si="1"/>
        <v>-2</v>
      </c>
      <c r="I31" s="158">
        <f t="shared" si="2"/>
        <v>1.9921973199752852E-2</v>
      </c>
      <c r="J31" s="9"/>
      <c r="V31" s="157" t="s">
        <v>471</v>
      </c>
      <c r="W31" s="157">
        <v>6628</v>
      </c>
      <c r="X31" s="157">
        <v>10674</v>
      </c>
      <c r="Y31" s="157">
        <v>-4046</v>
      </c>
      <c r="Z31" s="157">
        <v>7365</v>
      </c>
      <c r="AA31" s="157">
        <v>12060</v>
      </c>
      <c r="AB31" s="157">
        <v>-4695</v>
      </c>
      <c r="AC31" s="157">
        <v>8389</v>
      </c>
      <c r="AD31" s="157">
        <v>12685</v>
      </c>
      <c r="AE31" s="157">
        <v>-4296</v>
      </c>
      <c r="AF31" s="157">
        <v>8355</v>
      </c>
      <c r="AG31" s="157">
        <v>14495</v>
      </c>
      <c r="AH31" s="157">
        <v>-6140</v>
      </c>
    </row>
    <row r="32" spans="1:34">
      <c r="A32" t="s">
        <v>588</v>
      </c>
      <c r="B32" s="60" t="s">
        <v>488</v>
      </c>
      <c r="C32">
        <v>3</v>
      </c>
      <c r="D32" s="360" t="str">
        <f t="shared" si="7"/>
        <v>Haute-Garonne3</v>
      </c>
      <c r="E32">
        <v>2042</v>
      </c>
      <c r="F32" t="s">
        <v>600</v>
      </c>
      <c r="G32">
        <v>513659863</v>
      </c>
      <c r="H32" s="363">
        <f t="shared" si="1"/>
        <v>-3</v>
      </c>
      <c r="I32" s="158">
        <f t="shared" si="2"/>
        <v>1.6156705230414799E-2</v>
      </c>
      <c r="J32" s="9"/>
      <c r="V32" s="157" t="s">
        <v>472</v>
      </c>
      <c r="W32" s="157">
        <v>23122</v>
      </c>
      <c r="X32" s="157">
        <v>29366</v>
      </c>
      <c r="Y32" s="157">
        <v>-6244</v>
      </c>
      <c r="Z32" s="157">
        <v>23437</v>
      </c>
      <c r="AA32" s="157">
        <v>30837</v>
      </c>
      <c r="AB32" s="157">
        <v>-7400</v>
      </c>
      <c r="AC32" s="157">
        <v>23056</v>
      </c>
      <c r="AD32" s="157">
        <v>29626</v>
      </c>
      <c r="AE32" s="157">
        <v>-6570</v>
      </c>
      <c r="AF32" s="157">
        <v>23032</v>
      </c>
      <c r="AG32" s="157">
        <v>29603</v>
      </c>
      <c r="AH32" s="157">
        <v>-6571</v>
      </c>
    </row>
    <row r="33" spans="1:34">
      <c r="A33" t="s">
        <v>588</v>
      </c>
      <c r="B33" s="60" t="s">
        <v>488</v>
      </c>
      <c r="C33">
        <v>4</v>
      </c>
      <c r="D33" s="360" t="str">
        <f t="shared" si="7"/>
        <v>Haute-Garonne4</v>
      </c>
      <c r="E33">
        <v>2120</v>
      </c>
      <c r="F33" t="s">
        <v>589</v>
      </c>
      <c r="G33">
        <v>290053687</v>
      </c>
      <c r="H33" s="363">
        <f t="shared" si="1"/>
        <v>-4</v>
      </c>
      <c r="I33" s="158">
        <f t="shared" si="2"/>
        <v>9.1233757188733233E-3</v>
      </c>
      <c r="J33" s="9"/>
      <c r="V33" s="157" t="s">
        <v>478</v>
      </c>
      <c r="W33" s="157">
        <v>9473</v>
      </c>
      <c r="X33" s="157">
        <v>10077</v>
      </c>
      <c r="Y33" s="157">
        <v>-604</v>
      </c>
      <c r="Z33" s="157">
        <v>9379</v>
      </c>
      <c r="AA33" s="157">
        <v>9929</v>
      </c>
      <c r="AB33" s="157">
        <v>-550</v>
      </c>
      <c r="AC33" s="157">
        <v>9429</v>
      </c>
      <c r="AD33" s="157">
        <v>10128</v>
      </c>
      <c r="AE33" s="157">
        <v>-699</v>
      </c>
      <c r="AF33" s="157">
        <v>9771</v>
      </c>
      <c r="AG33" s="157">
        <v>10155</v>
      </c>
      <c r="AH33" s="157">
        <v>-384</v>
      </c>
    </row>
    <row r="34" spans="1:34">
      <c r="A34" t="s">
        <v>588</v>
      </c>
      <c r="B34" s="60" t="s">
        <v>488</v>
      </c>
      <c r="C34">
        <v>5</v>
      </c>
      <c r="D34" s="360" t="str">
        <f t="shared" si="7"/>
        <v>Haute-Garonne5</v>
      </c>
      <c r="E34">
        <v>111</v>
      </c>
      <c r="F34" t="s">
        <v>1913</v>
      </c>
      <c r="G34">
        <v>225563534</v>
      </c>
      <c r="H34" s="363">
        <f t="shared" si="1"/>
        <v>-5</v>
      </c>
      <c r="I34" s="158">
        <f t="shared" si="2"/>
        <v>7.0948964326002766E-3</v>
      </c>
      <c r="J34" s="9"/>
      <c r="V34" s="157" t="s">
        <v>473</v>
      </c>
      <c r="W34" s="157">
        <v>18196</v>
      </c>
      <c r="X34" s="157">
        <v>18626</v>
      </c>
      <c r="Y34" s="157">
        <v>-430</v>
      </c>
      <c r="Z34" s="157">
        <v>16718</v>
      </c>
      <c r="AA34" s="157">
        <v>18051</v>
      </c>
      <c r="AB34" s="157">
        <v>-1333</v>
      </c>
      <c r="AC34" s="157">
        <v>16517</v>
      </c>
      <c r="AD34" s="157">
        <v>17313</v>
      </c>
      <c r="AE34" s="157">
        <v>-796</v>
      </c>
      <c r="AF34" s="157">
        <v>15147</v>
      </c>
      <c r="AG34" s="157">
        <v>16981</v>
      </c>
      <c r="AH34" s="157">
        <v>-1834</v>
      </c>
    </row>
    <row r="35" spans="1:34">
      <c r="A35" t="s">
        <v>592</v>
      </c>
      <c r="B35" s="60" t="s">
        <v>71</v>
      </c>
      <c r="C35">
        <v>-1</v>
      </c>
      <c r="D35" s="360" t="str">
        <f>CONCATENATE($K$8,C35)</f>
        <v>Gironde-1</v>
      </c>
      <c r="E35">
        <v>1920</v>
      </c>
      <c r="F35" t="s">
        <v>594</v>
      </c>
      <c r="G35">
        <v>1174051508</v>
      </c>
      <c r="H35" s="363">
        <f t="shared" si="1"/>
        <v>1</v>
      </c>
      <c r="I35" s="158">
        <f t="shared" si="2"/>
        <v>0.16129652302400785</v>
      </c>
      <c r="J35" s="9"/>
      <c r="V35" s="157" t="s">
        <v>476</v>
      </c>
      <c r="W35" s="157">
        <v>1075</v>
      </c>
      <c r="X35" s="157">
        <v>1351</v>
      </c>
      <c r="Y35" s="157">
        <v>-276</v>
      </c>
      <c r="Z35" s="157">
        <v>966</v>
      </c>
      <c r="AA35" s="157">
        <v>1247</v>
      </c>
      <c r="AB35" s="157">
        <v>-281</v>
      </c>
      <c r="AC35" s="157">
        <v>987</v>
      </c>
      <c r="AD35" s="157">
        <v>1203</v>
      </c>
      <c r="AE35" s="157">
        <v>-216</v>
      </c>
      <c r="AF35" s="157">
        <v>1019</v>
      </c>
      <c r="AG35" s="157">
        <v>1214</v>
      </c>
      <c r="AH35" s="157">
        <v>-195</v>
      </c>
    </row>
    <row r="36" spans="1:34">
      <c r="A36" t="s">
        <v>592</v>
      </c>
      <c r="B36" s="60" t="s">
        <v>71</v>
      </c>
      <c r="C36">
        <v>-2</v>
      </c>
      <c r="D36" s="360" t="str">
        <f t="shared" ref="D36:D44" si="8">CONCATENATE($K$8,C36)</f>
        <v>Gironde-2</v>
      </c>
      <c r="E36">
        <v>3030</v>
      </c>
      <c r="F36" t="s">
        <v>590</v>
      </c>
      <c r="G36">
        <v>1034361543</v>
      </c>
      <c r="H36" s="363">
        <f t="shared" si="1"/>
        <v>2</v>
      </c>
      <c r="I36" s="158">
        <f t="shared" si="2"/>
        <v>0.14210528183713025</v>
      </c>
      <c r="J36" s="9"/>
      <c r="V36" s="157" t="s">
        <v>477</v>
      </c>
      <c r="W36" s="157">
        <v>1472</v>
      </c>
      <c r="X36" s="157">
        <v>1884</v>
      </c>
      <c r="Y36" s="157">
        <v>-412</v>
      </c>
      <c r="Z36" s="157">
        <v>1411</v>
      </c>
      <c r="AA36" s="157">
        <v>1729</v>
      </c>
      <c r="AB36" s="157">
        <v>-318</v>
      </c>
      <c r="AC36" s="157">
        <v>1405</v>
      </c>
      <c r="AD36" s="157">
        <v>1862</v>
      </c>
      <c r="AE36" s="157">
        <v>-457</v>
      </c>
      <c r="AF36" s="157">
        <v>1391</v>
      </c>
      <c r="AG36" s="157">
        <v>1928</v>
      </c>
      <c r="AH36" s="157">
        <v>-537</v>
      </c>
    </row>
    <row r="37" spans="1:34">
      <c r="A37" t="s">
        <v>592</v>
      </c>
      <c r="B37" s="60" t="s">
        <v>71</v>
      </c>
      <c r="C37">
        <v>-3</v>
      </c>
      <c r="D37" s="360" t="str">
        <f t="shared" si="8"/>
        <v>Gironde-3</v>
      </c>
      <c r="E37">
        <v>2910</v>
      </c>
      <c r="F37" t="s">
        <v>599</v>
      </c>
      <c r="G37">
        <v>369299048</v>
      </c>
      <c r="H37" s="363">
        <f t="shared" si="1"/>
        <v>3</v>
      </c>
      <c r="I37" s="158">
        <f t="shared" si="2"/>
        <v>5.0735978781670438E-2</v>
      </c>
      <c r="J37" s="9"/>
    </row>
    <row r="38" spans="1:34">
      <c r="A38" t="s">
        <v>592</v>
      </c>
      <c r="B38" s="60" t="s">
        <v>71</v>
      </c>
      <c r="C38">
        <v>-4</v>
      </c>
      <c r="D38" s="360" t="str">
        <f t="shared" si="8"/>
        <v>Gironde-4</v>
      </c>
      <c r="E38">
        <v>1102</v>
      </c>
      <c r="F38" t="s">
        <v>603</v>
      </c>
      <c r="G38">
        <v>229632159</v>
      </c>
      <c r="H38" s="363">
        <f t="shared" si="1"/>
        <v>4</v>
      </c>
      <c r="I38" s="158">
        <f t="shared" si="2"/>
        <v>3.1547907880372254E-2</v>
      </c>
      <c r="J38" s="9"/>
    </row>
    <row r="39" spans="1:34">
      <c r="A39" t="s">
        <v>592</v>
      </c>
      <c r="B39" s="60" t="s">
        <v>71</v>
      </c>
      <c r="C39">
        <v>-5</v>
      </c>
      <c r="D39" s="360" t="str">
        <f t="shared" si="8"/>
        <v>Gironde-5</v>
      </c>
      <c r="E39">
        <v>2120</v>
      </c>
      <c r="F39" t="s">
        <v>589</v>
      </c>
      <c r="G39">
        <v>215546129</v>
      </c>
      <c r="H39" s="363">
        <f t="shared" si="1"/>
        <v>5</v>
      </c>
      <c r="I39" s="158">
        <f t="shared" si="2"/>
        <v>2.9612705168455239E-2</v>
      </c>
      <c r="J39" s="9"/>
    </row>
    <row r="40" spans="1:34">
      <c r="A40" t="s">
        <v>588</v>
      </c>
      <c r="B40" s="60" t="s">
        <v>71</v>
      </c>
      <c r="C40">
        <v>1</v>
      </c>
      <c r="D40" s="360" t="str">
        <f t="shared" si="8"/>
        <v>Gironde1</v>
      </c>
      <c r="E40">
        <v>1102</v>
      </c>
      <c r="F40" t="s">
        <v>603</v>
      </c>
      <c r="G40">
        <v>1851712140</v>
      </c>
      <c r="H40" s="363">
        <f t="shared" si="1"/>
        <v>-1</v>
      </c>
      <c r="I40" s="158">
        <f t="shared" si="2"/>
        <v>0.27673359842297429</v>
      </c>
      <c r="J40" s="9"/>
    </row>
    <row r="41" spans="1:34">
      <c r="A41" t="s">
        <v>588</v>
      </c>
      <c r="B41" s="60" t="s">
        <v>71</v>
      </c>
      <c r="C41">
        <v>2</v>
      </c>
      <c r="D41" s="360" t="str">
        <f t="shared" si="8"/>
        <v>Gironde2</v>
      </c>
      <c r="E41">
        <v>3030</v>
      </c>
      <c r="F41" t="s">
        <v>590</v>
      </c>
      <c r="G41">
        <v>1622205964</v>
      </c>
      <c r="H41" s="363">
        <f t="shared" si="1"/>
        <v>-2</v>
      </c>
      <c r="I41" s="158">
        <f t="shared" si="2"/>
        <v>0.24243449297736414</v>
      </c>
      <c r="J41" s="9"/>
    </row>
    <row r="42" spans="1:34">
      <c r="A42" t="s">
        <v>588</v>
      </c>
      <c r="B42" s="60" t="s">
        <v>71</v>
      </c>
      <c r="C42">
        <v>3</v>
      </c>
      <c r="D42" s="360" t="str">
        <f t="shared" si="8"/>
        <v>Gironde3</v>
      </c>
      <c r="E42">
        <v>2932</v>
      </c>
      <c r="F42" t="s">
        <v>604</v>
      </c>
      <c r="G42">
        <v>381745132</v>
      </c>
      <c r="H42" s="363">
        <f t="shared" si="1"/>
        <v>-3</v>
      </c>
      <c r="I42" s="158">
        <f t="shared" si="2"/>
        <v>5.7050824356972306E-2</v>
      </c>
      <c r="J42" s="9"/>
    </row>
    <row r="43" spans="1:34">
      <c r="A43" t="s">
        <v>588</v>
      </c>
      <c r="B43" s="60" t="s">
        <v>71</v>
      </c>
      <c r="C43">
        <v>4</v>
      </c>
      <c r="D43" s="360" t="str">
        <f t="shared" si="8"/>
        <v>Gironde4</v>
      </c>
      <c r="E43">
        <v>2120</v>
      </c>
      <c r="F43" t="s">
        <v>589</v>
      </c>
      <c r="G43">
        <v>258661121</v>
      </c>
      <c r="H43" s="363">
        <f t="shared" si="1"/>
        <v>-4</v>
      </c>
      <c r="I43" s="158">
        <f t="shared" si="2"/>
        <v>3.8656236701267381E-2</v>
      </c>
      <c r="J43" s="9"/>
    </row>
    <row r="44" spans="1:34">
      <c r="A44" t="s">
        <v>588</v>
      </c>
      <c r="B44" s="60" t="s">
        <v>71</v>
      </c>
      <c r="C44">
        <v>5</v>
      </c>
      <c r="D44" s="360" t="str">
        <f t="shared" si="8"/>
        <v>Gironde5</v>
      </c>
      <c r="E44">
        <v>3250</v>
      </c>
      <c r="F44" t="s">
        <v>1892</v>
      </c>
      <c r="G44">
        <v>232226211</v>
      </c>
      <c r="H44" s="363">
        <f t="shared" si="1"/>
        <v>-5</v>
      </c>
      <c r="I44" s="158">
        <f t="shared" si="2"/>
        <v>3.4705607653554023E-2</v>
      </c>
      <c r="J44" s="9"/>
    </row>
    <row r="45" spans="1:34">
      <c r="A45" t="s">
        <v>592</v>
      </c>
      <c r="B45" s="60" t="s">
        <v>489</v>
      </c>
      <c r="C45">
        <v>-1</v>
      </c>
      <c r="D45" s="360" t="str">
        <f>CONCATENATE($K$9,C45)</f>
        <v>Hérault-1</v>
      </c>
      <c r="E45">
        <v>2910</v>
      </c>
      <c r="F45" t="s">
        <v>599</v>
      </c>
      <c r="G45">
        <v>660007955</v>
      </c>
      <c r="H45" s="363">
        <f t="shared" si="1"/>
        <v>1</v>
      </c>
      <c r="I45" s="158">
        <f t="shared" si="2"/>
        <v>0.16194983908492325</v>
      </c>
      <c r="J45" s="9"/>
    </row>
    <row r="46" spans="1:34">
      <c r="A46" t="s">
        <v>592</v>
      </c>
      <c r="B46" s="60" t="s">
        <v>489</v>
      </c>
      <c r="C46">
        <v>-2</v>
      </c>
      <c r="D46" s="360" t="str">
        <f t="shared" ref="D46:D54" si="9">CONCATENATE($K$9,C46)</f>
        <v>Hérault-2</v>
      </c>
      <c r="E46">
        <v>1920</v>
      </c>
      <c r="F46" t="s">
        <v>594</v>
      </c>
      <c r="G46">
        <v>381209084</v>
      </c>
      <c r="H46" s="363">
        <f t="shared" si="1"/>
        <v>2</v>
      </c>
      <c r="I46" s="158">
        <f t="shared" si="2"/>
        <v>9.3539402584187026E-2</v>
      </c>
      <c r="J46" s="9"/>
    </row>
    <row r="47" spans="1:34">
      <c r="A47" t="s">
        <v>592</v>
      </c>
      <c r="B47" s="60" t="s">
        <v>489</v>
      </c>
      <c r="C47">
        <v>-3</v>
      </c>
      <c r="D47" s="360" t="str">
        <f t="shared" si="9"/>
        <v>Hérault-3</v>
      </c>
      <c r="E47">
        <v>2711</v>
      </c>
      <c r="F47" t="s">
        <v>1896</v>
      </c>
      <c r="G47">
        <v>316359629</v>
      </c>
      <c r="H47" s="363">
        <f t="shared" si="1"/>
        <v>3</v>
      </c>
      <c r="I47" s="158">
        <f t="shared" si="2"/>
        <v>7.7626929526199456E-2</v>
      </c>
      <c r="J47" s="9"/>
    </row>
    <row r="48" spans="1:34">
      <c r="A48" t="s">
        <v>592</v>
      </c>
      <c r="B48" s="60" t="s">
        <v>489</v>
      </c>
      <c r="C48">
        <v>-4</v>
      </c>
      <c r="D48" s="360" t="str">
        <f t="shared" si="9"/>
        <v>Hérault-4</v>
      </c>
      <c r="E48">
        <v>111</v>
      </c>
      <c r="F48" t="s">
        <v>1913</v>
      </c>
      <c r="G48">
        <v>199940509</v>
      </c>
      <c r="H48" s="363">
        <f t="shared" si="1"/>
        <v>4</v>
      </c>
      <c r="I48" s="158">
        <f t="shared" si="2"/>
        <v>4.906051967071768E-2</v>
      </c>
      <c r="J48" s="9"/>
    </row>
    <row r="49" spans="1:10">
      <c r="A49" t="s">
        <v>592</v>
      </c>
      <c r="B49" s="60" t="s">
        <v>489</v>
      </c>
      <c r="C49">
        <v>-5</v>
      </c>
      <c r="D49" s="360" t="str">
        <f t="shared" si="9"/>
        <v>Hérault-5</v>
      </c>
      <c r="E49">
        <v>1520</v>
      </c>
      <c r="F49" t="s">
        <v>609</v>
      </c>
      <c r="G49">
        <v>131850480</v>
      </c>
      <c r="H49" s="363">
        <f t="shared" si="1"/>
        <v>5</v>
      </c>
      <c r="I49" s="158">
        <f t="shared" si="2"/>
        <v>3.2352888866725694E-2</v>
      </c>
      <c r="J49" s="9"/>
    </row>
    <row r="50" spans="1:10">
      <c r="A50" t="s">
        <v>588</v>
      </c>
      <c r="B50" s="60" t="s">
        <v>489</v>
      </c>
      <c r="C50">
        <v>1</v>
      </c>
      <c r="D50" s="360" t="str">
        <f t="shared" si="9"/>
        <v>Hérault1</v>
      </c>
      <c r="E50">
        <v>1102</v>
      </c>
      <c r="F50" t="s">
        <v>603</v>
      </c>
      <c r="G50">
        <v>347481728</v>
      </c>
      <c r="H50" s="363">
        <f t="shared" si="1"/>
        <v>-1</v>
      </c>
      <c r="I50" s="158">
        <f t="shared" si="2"/>
        <v>0.17826528909058342</v>
      </c>
      <c r="J50" s="9"/>
    </row>
    <row r="51" spans="1:10">
      <c r="A51" t="s">
        <v>588</v>
      </c>
      <c r="B51" s="60" t="s">
        <v>489</v>
      </c>
      <c r="C51">
        <v>2</v>
      </c>
      <c r="D51" s="360" t="str">
        <f t="shared" si="9"/>
        <v>Hérault2</v>
      </c>
      <c r="E51">
        <v>2814</v>
      </c>
      <c r="F51" t="s">
        <v>605</v>
      </c>
      <c r="G51">
        <v>187501920</v>
      </c>
      <c r="H51" s="363">
        <f t="shared" si="1"/>
        <v>-2</v>
      </c>
      <c r="I51" s="158">
        <f t="shared" si="2"/>
        <v>9.6192349929373686E-2</v>
      </c>
      <c r="J51" s="9"/>
    </row>
    <row r="52" spans="1:10">
      <c r="A52" t="s">
        <v>588</v>
      </c>
      <c r="B52" s="60" t="s">
        <v>489</v>
      </c>
      <c r="C52">
        <v>3</v>
      </c>
      <c r="D52" s="360" t="str">
        <f t="shared" si="9"/>
        <v>Hérault3</v>
      </c>
      <c r="E52">
        <v>2120</v>
      </c>
      <c r="F52" t="s">
        <v>589</v>
      </c>
      <c r="G52">
        <v>122313995</v>
      </c>
      <c r="H52" s="363">
        <f t="shared" si="1"/>
        <v>-3</v>
      </c>
      <c r="I52" s="158">
        <f t="shared" si="2"/>
        <v>6.2749600688353821E-2</v>
      </c>
      <c r="J52" s="9"/>
    </row>
    <row r="53" spans="1:10">
      <c r="A53" t="s">
        <v>588</v>
      </c>
      <c r="B53" s="60" t="s">
        <v>489</v>
      </c>
      <c r="C53">
        <v>4</v>
      </c>
      <c r="D53" s="360" t="str">
        <f t="shared" si="9"/>
        <v>Hérault4</v>
      </c>
      <c r="E53">
        <v>2420</v>
      </c>
      <c r="F53" t="s">
        <v>1910</v>
      </c>
      <c r="G53">
        <v>119679643</v>
      </c>
      <c r="H53" s="363">
        <f t="shared" si="1"/>
        <v>-4</v>
      </c>
      <c r="I53" s="158">
        <f t="shared" si="2"/>
        <v>6.1398123810564274E-2</v>
      </c>
      <c r="J53" s="9"/>
    </row>
    <row r="54" spans="1:10">
      <c r="A54" t="s">
        <v>588</v>
      </c>
      <c r="B54" s="60" t="s">
        <v>489</v>
      </c>
      <c r="C54">
        <v>5</v>
      </c>
      <c r="D54" s="360" t="str">
        <f t="shared" si="9"/>
        <v>Hérault5</v>
      </c>
      <c r="E54">
        <v>2651</v>
      </c>
      <c r="F54" s="360" t="s">
        <v>645</v>
      </c>
      <c r="G54">
        <v>82655046</v>
      </c>
      <c r="H54" s="363">
        <f t="shared" si="1"/>
        <v>-5</v>
      </c>
      <c r="I54" s="158">
        <f t="shared" si="2"/>
        <v>4.2403742363067425E-2</v>
      </c>
      <c r="J54" s="9"/>
    </row>
    <row r="55" spans="1:10">
      <c r="A55" t="s">
        <v>592</v>
      </c>
      <c r="B55" s="60" t="s">
        <v>490</v>
      </c>
      <c r="C55">
        <v>-1</v>
      </c>
      <c r="D55" s="360" t="str">
        <f>CONCATENATE($K$10,C55)</f>
        <v>Ille-et-Vilaine-1</v>
      </c>
      <c r="E55">
        <v>2932</v>
      </c>
      <c r="F55" t="s">
        <v>604</v>
      </c>
      <c r="G55">
        <v>251923738</v>
      </c>
      <c r="H55" s="363">
        <f t="shared" si="1"/>
        <v>1</v>
      </c>
      <c r="I55" s="158">
        <f t="shared" si="2"/>
        <v>5.6458953044882514E-2</v>
      </c>
      <c r="J55" s="9"/>
    </row>
    <row r="56" spans="1:10">
      <c r="A56" t="s">
        <v>592</v>
      </c>
      <c r="B56" s="60" t="s">
        <v>490</v>
      </c>
      <c r="C56">
        <v>-2</v>
      </c>
      <c r="D56" s="360" t="str">
        <f t="shared" ref="D56:D64" si="10">CONCATENATE($K$10,C56)</f>
        <v>Ille-et-Vilaine-2</v>
      </c>
      <c r="E56">
        <v>3030</v>
      </c>
      <c r="F56" t="s">
        <v>590</v>
      </c>
      <c r="G56">
        <v>220287792</v>
      </c>
      <c r="H56" s="363">
        <f t="shared" si="1"/>
        <v>2</v>
      </c>
      <c r="I56" s="158">
        <f t="shared" si="2"/>
        <v>4.936898048443869E-2</v>
      </c>
      <c r="J56" s="9"/>
    </row>
    <row r="57" spans="1:10">
      <c r="A57" t="s">
        <v>592</v>
      </c>
      <c r="B57" s="60" t="s">
        <v>490</v>
      </c>
      <c r="C57">
        <v>-3</v>
      </c>
      <c r="D57" s="360" t="str">
        <f t="shared" si="10"/>
        <v>Ille-et-Vilaine-3</v>
      </c>
      <c r="E57">
        <v>1051</v>
      </c>
      <c r="F57" t="s">
        <v>606</v>
      </c>
      <c r="G57">
        <v>207505204</v>
      </c>
      <c r="H57" s="363">
        <f t="shared" si="1"/>
        <v>3</v>
      </c>
      <c r="I57" s="158">
        <f t="shared" si="2"/>
        <v>4.6504258241852413E-2</v>
      </c>
      <c r="J57" s="9"/>
    </row>
    <row r="58" spans="1:10">
      <c r="A58" t="s">
        <v>592</v>
      </c>
      <c r="B58" s="60" t="s">
        <v>490</v>
      </c>
      <c r="C58">
        <v>-4</v>
      </c>
      <c r="D58" s="360" t="str">
        <f t="shared" si="10"/>
        <v>Ille-et-Vilaine-4</v>
      </c>
      <c r="E58">
        <v>1520</v>
      </c>
      <c r="F58" t="s">
        <v>609</v>
      </c>
      <c r="G58">
        <v>169060122</v>
      </c>
      <c r="H58" s="363">
        <f t="shared" si="1"/>
        <v>4</v>
      </c>
      <c r="I58" s="158">
        <f t="shared" si="2"/>
        <v>3.7888281451905537E-2</v>
      </c>
      <c r="J58" s="9"/>
    </row>
    <row r="59" spans="1:10">
      <c r="A59" t="s">
        <v>592</v>
      </c>
      <c r="B59" s="60" t="s">
        <v>490</v>
      </c>
      <c r="C59">
        <v>-5</v>
      </c>
      <c r="D59" s="360" t="str">
        <f t="shared" si="10"/>
        <v>Ille-et-Vilaine-5</v>
      </c>
      <c r="E59">
        <v>1413</v>
      </c>
      <c r="F59" t="s">
        <v>610</v>
      </c>
      <c r="G59">
        <v>143305328</v>
      </c>
      <c r="H59" s="363">
        <f t="shared" si="1"/>
        <v>5</v>
      </c>
      <c r="I59" s="158">
        <f t="shared" si="2"/>
        <v>3.2116341432792996E-2</v>
      </c>
      <c r="J59" s="9"/>
    </row>
    <row r="60" spans="1:10">
      <c r="A60" t="s">
        <v>588</v>
      </c>
      <c r="B60" s="60" t="s">
        <v>490</v>
      </c>
      <c r="C60">
        <v>1</v>
      </c>
      <c r="D60" s="360" t="str">
        <f t="shared" si="10"/>
        <v>Ille-et-Vilaine1</v>
      </c>
      <c r="E60">
        <v>2910</v>
      </c>
      <c r="F60" t="s">
        <v>599</v>
      </c>
      <c r="G60">
        <v>578292068</v>
      </c>
      <c r="H60" s="363">
        <f t="shared" si="1"/>
        <v>-1</v>
      </c>
      <c r="I60" s="158">
        <f t="shared" si="2"/>
        <v>0.13357578416772581</v>
      </c>
      <c r="J60" s="9"/>
    </row>
    <row r="61" spans="1:10">
      <c r="A61" t="s">
        <v>588</v>
      </c>
      <c r="B61" s="60" t="s">
        <v>490</v>
      </c>
      <c r="C61">
        <v>2</v>
      </c>
      <c r="D61" s="360" t="str">
        <f t="shared" si="10"/>
        <v>Ille-et-Vilaine2</v>
      </c>
      <c r="E61">
        <v>1051</v>
      </c>
      <c r="F61" t="s">
        <v>606</v>
      </c>
      <c r="G61">
        <v>366671831</v>
      </c>
      <c r="H61" s="363">
        <f t="shared" si="1"/>
        <v>-2</v>
      </c>
      <c r="I61" s="158">
        <f t="shared" si="2"/>
        <v>8.469505301608396E-2</v>
      </c>
      <c r="J61" s="9"/>
    </row>
    <row r="62" spans="1:10">
      <c r="A62" t="s">
        <v>588</v>
      </c>
      <c r="B62" s="60" t="s">
        <v>490</v>
      </c>
      <c r="C62">
        <v>3</v>
      </c>
      <c r="D62" s="360" t="str">
        <f t="shared" si="10"/>
        <v>Ille-et-Vilaine3</v>
      </c>
      <c r="E62">
        <v>1011</v>
      </c>
      <c r="F62" t="s">
        <v>607</v>
      </c>
      <c r="G62">
        <v>258664613</v>
      </c>
      <c r="H62" s="363">
        <f t="shared" si="1"/>
        <v>-3</v>
      </c>
      <c r="I62" s="158">
        <f t="shared" si="2"/>
        <v>5.9747194246344601E-2</v>
      </c>
      <c r="J62" s="9"/>
    </row>
    <row r="63" spans="1:10">
      <c r="A63" t="s">
        <v>588</v>
      </c>
      <c r="B63" s="60" t="s">
        <v>490</v>
      </c>
      <c r="C63">
        <v>4</v>
      </c>
      <c r="D63" s="360" t="str">
        <f t="shared" si="10"/>
        <v>Ille-et-Vilaine4</v>
      </c>
      <c r="E63">
        <v>3030</v>
      </c>
      <c r="F63" t="s">
        <v>590</v>
      </c>
      <c r="G63">
        <v>237722725</v>
      </c>
      <c r="H63" s="363">
        <f t="shared" si="1"/>
        <v>-4</v>
      </c>
      <c r="I63" s="158">
        <f t="shared" si="2"/>
        <v>5.4909968791693048E-2</v>
      </c>
      <c r="J63" s="9"/>
    </row>
    <row r="64" spans="1:10">
      <c r="A64" t="s">
        <v>588</v>
      </c>
      <c r="B64" s="60" t="s">
        <v>490</v>
      </c>
      <c r="C64">
        <v>5</v>
      </c>
      <c r="D64" s="360" t="str">
        <f t="shared" si="10"/>
        <v>Ille-et-Vilaine5</v>
      </c>
      <c r="E64">
        <v>2813</v>
      </c>
      <c r="F64" t="s">
        <v>608</v>
      </c>
      <c r="G64">
        <v>234806859</v>
      </c>
      <c r="H64" s="363">
        <f t="shared" si="1"/>
        <v>-5</v>
      </c>
      <c r="I64" s="158">
        <f t="shared" si="2"/>
        <v>5.4236452572068869E-2</v>
      </c>
      <c r="J64" s="9"/>
    </row>
    <row r="65" spans="1:10">
      <c r="A65" t="s">
        <v>592</v>
      </c>
      <c r="B65" s="60" t="s">
        <v>491</v>
      </c>
      <c r="C65">
        <v>-1</v>
      </c>
      <c r="D65" s="360" t="str">
        <f>CONCATENATE($K$11,C65)</f>
        <v>Isère-1</v>
      </c>
      <c r="E65">
        <v>2620</v>
      </c>
      <c r="F65" t="s">
        <v>612</v>
      </c>
      <c r="G65">
        <v>1259946865</v>
      </c>
      <c r="H65" s="363">
        <f t="shared" si="1"/>
        <v>1</v>
      </c>
      <c r="I65" s="158">
        <f t="shared" si="2"/>
        <v>0.11681746689796434</v>
      </c>
      <c r="J65" s="9"/>
    </row>
    <row r="66" spans="1:10">
      <c r="A66" t="s">
        <v>592</v>
      </c>
      <c r="B66" s="60" t="s">
        <v>491</v>
      </c>
      <c r="C66">
        <v>-2</v>
      </c>
      <c r="D66" s="360" t="str">
        <f t="shared" ref="D66:D74" si="11">CONCATENATE($K$11,C66)</f>
        <v>Isère-2</v>
      </c>
      <c r="E66">
        <v>3250</v>
      </c>
      <c r="F66" t="s">
        <v>1892</v>
      </c>
      <c r="G66">
        <v>564328031</v>
      </c>
      <c r="H66" s="363">
        <f t="shared" si="1"/>
        <v>2</v>
      </c>
      <c r="I66" s="158">
        <f t="shared" si="2"/>
        <v>5.2322342244913556E-2</v>
      </c>
      <c r="J66" s="9"/>
    </row>
    <row r="67" spans="1:10">
      <c r="A67" t="s">
        <v>592</v>
      </c>
      <c r="B67" s="60" t="s">
        <v>491</v>
      </c>
      <c r="C67">
        <v>-3</v>
      </c>
      <c r="D67" s="360" t="str">
        <f t="shared" si="11"/>
        <v>Isère-3</v>
      </c>
      <c r="E67">
        <v>2059</v>
      </c>
      <c r="F67" t="s">
        <v>1897</v>
      </c>
      <c r="G67">
        <v>341024007</v>
      </c>
      <c r="H67" s="363">
        <f t="shared" si="1"/>
        <v>3</v>
      </c>
      <c r="I67" s="158">
        <f t="shared" si="2"/>
        <v>3.1618444996197245E-2</v>
      </c>
      <c r="J67" s="9"/>
    </row>
    <row r="68" spans="1:10">
      <c r="A68" t="s">
        <v>592</v>
      </c>
      <c r="B68" s="60" t="s">
        <v>491</v>
      </c>
      <c r="C68">
        <v>-4</v>
      </c>
      <c r="D68" s="360" t="str">
        <f t="shared" si="11"/>
        <v>Isère-4</v>
      </c>
      <c r="E68">
        <v>2892</v>
      </c>
      <c r="F68" t="s">
        <v>611</v>
      </c>
      <c r="G68">
        <v>332495152</v>
      </c>
      <c r="H68" s="363">
        <f t="shared" si="1"/>
        <v>4</v>
      </c>
      <c r="I68" s="158">
        <f t="shared" si="2"/>
        <v>3.0827682096334769E-2</v>
      </c>
      <c r="J68" s="9"/>
    </row>
    <row r="69" spans="1:10">
      <c r="A69" t="s">
        <v>592</v>
      </c>
      <c r="B69" s="60" t="s">
        <v>491</v>
      </c>
      <c r="C69">
        <v>-5</v>
      </c>
      <c r="D69" s="360" t="str">
        <f t="shared" si="11"/>
        <v>Isère-5</v>
      </c>
      <c r="E69">
        <v>1520</v>
      </c>
      <c r="F69" t="s">
        <v>609</v>
      </c>
      <c r="G69">
        <v>256915910</v>
      </c>
      <c r="H69" s="363">
        <f t="shared" si="1"/>
        <v>5</v>
      </c>
      <c r="I69" s="158">
        <f t="shared" si="2"/>
        <v>2.3820263096559539E-2</v>
      </c>
      <c r="J69" s="9"/>
    </row>
    <row r="70" spans="1:10">
      <c r="A70" t="s">
        <v>588</v>
      </c>
      <c r="B70" s="60" t="s">
        <v>491</v>
      </c>
      <c r="C70">
        <v>1</v>
      </c>
      <c r="D70" s="360" t="str">
        <f t="shared" si="11"/>
        <v>Isère1</v>
      </c>
      <c r="E70">
        <v>2712</v>
      </c>
      <c r="F70" t="s">
        <v>601</v>
      </c>
      <c r="G70">
        <v>813271555</v>
      </c>
      <c r="H70" s="363">
        <f t="shared" ref="H70:H133" si="12">C70*-1</f>
        <v>-1</v>
      </c>
      <c r="I70" s="158">
        <f t="shared" ref="I70:I133" si="13">IF(A70="E",(G70/(VLOOKUP(B70,$J$1:$M$19,MATCH("Export N",$J$4:$M$4,0),FALSE))),(G70/(VLOOKUP(B70,$J$1:$M$19,MATCH("Import N",$J$4:$M$4,0),FALSE))))</f>
        <v>8.1467390329218195E-2</v>
      </c>
      <c r="J70" s="9"/>
    </row>
    <row r="71" spans="1:10">
      <c r="A71" t="s">
        <v>588</v>
      </c>
      <c r="B71" s="60" t="s">
        <v>491</v>
      </c>
      <c r="C71">
        <v>2</v>
      </c>
      <c r="D71" s="360" t="str">
        <f t="shared" si="11"/>
        <v>Isère2</v>
      </c>
      <c r="E71">
        <v>2892</v>
      </c>
      <c r="F71" t="s">
        <v>611</v>
      </c>
      <c r="G71">
        <v>704404132</v>
      </c>
      <c r="H71" s="363">
        <f t="shared" si="12"/>
        <v>-2</v>
      </c>
      <c r="I71" s="158">
        <f t="shared" si="13"/>
        <v>7.0561875696191212E-2</v>
      </c>
      <c r="J71" s="9"/>
    </row>
    <row r="72" spans="1:10">
      <c r="A72" t="s">
        <v>588</v>
      </c>
      <c r="B72" s="60" t="s">
        <v>491</v>
      </c>
      <c r="C72">
        <v>3</v>
      </c>
      <c r="D72" s="360" t="str">
        <f t="shared" si="11"/>
        <v>Isère3</v>
      </c>
      <c r="E72">
        <v>3250</v>
      </c>
      <c r="F72" t="s">
        <v>1892</v>
      </c>
      <c r="G72">
        <v>511174100</v>
      </c>
      <c r="H72" s="363">
        <f t="shared" si="12"/>
        <v>-3</v>
      </c>
      <c r="I72" s="158">
        <f t="shared" si="13"/>
        <v>5.12055532679817E-2</v>
      </c>
      <c r="J72" s="9"/>
    </row>
    <row r="73" spans="1:10">
      <c r="A73" t="s">
        <v>588</v>
      </c>
      <c r="B73" s="60" t="s">
        <v>491</v>
      </c>
      <c r="C73">
        <v>4</v>
      </c>
      <c r="D73" s="360" t="str">
        <f t="shared" si="11"/>
        <v>Isère4</v>
      </c>
      <c r="E73">
        <v>2120</v>
      </c>
      <c r="F73" t="s">
        <v>589</v>
      </c>
      <c r="G73">
        <v>484822421</v>
      </c>
      <c r="H73" s="363">
        <f t="shared" si="12"/>
        <v>-4</v>
      </c>
      <c r="I73" s="158">
        <f t="shared" si="13"/>
        <v>4.856584146972108E-2</v>
      </c>
      <c r="J73" s="9"/>
    </row>
    <row r="74" spans="1:10">
      <c r="A74" t="s">
        <v>588</v>
      </c>
      <c r="B74" s="60" t="s">
        <v>491</v>
      </c>
      <c r="C74">
        <v>5</v>
      </c>
      <c r="D74" s="360" t="str">
        <f t="shared" si="11"/>
        <v>Isère5</v>
      </c>
      <c r="E74">
        <v>2014</v>
      </c>
      <c r="F74" t="s">
        <v>593</v>
      </c>
      <c r="G74">
        <v>444443598</v>
      </c>
      <c r="H74" s="363">
        <f t="shared" si="12"/>
        <v>-5</v>
      </c>
      <c r="I74" s="158">
        <f t="shared" si="13"/>
        <v>4.4520996529367286E-2</v>
      </c>
      <c r="J74" s="9"/>
    </row>
    <row r="75" spans="1:10">
      <c r="A75" t="s">
        <v>592</v>
      </c>
      <c r="B75" s="60" t="s">
        <v>492</v>
      </c>
      <c r="C75">
        <v>-1</v>
      </c>
      <c r="D75" s="360" t="str">
        <f>CONCATENATE($K$12,C75)</f>
        <v>Loire-Atlantique-1</v>
      </c>
      <c r="E75">
        <v>610</v>
      </c>
      <c r="F75" t="s">
        <v>597</v>
      </c>
      <c r="G75">
        <v>2331181365</v>
      </c>
      <c r="H75" s="363">
        <f t="shared" si="12"/>
        <v>1</v>
      </c>
      <c r="I75" s="158">
        <f t="shared" si="13"/>
        <v>0.22116749285812443</v>
      </c>
      <c r="J75" s="9"/>
    </row>
    <row r="76" spans="1:10">
      <c r="A76" t="s">
        <v>592</v>
      </c>
      <c r="B76" s="60" t="s">
        <v>492</v>
      </c>
      <c r="C76">
        <v>-2</v>
      </c>
      <c r="D76" s="360" t="str">
        <f t="shared" ref="D76:D84" si="14">CONCATENATE($K$12,C76)</f>
        <v>Loire-Atlantique-2</v>
      </c>
      <c r="E76">
        <v>3030</v>
      </c>
      <c r="F76" t="s">
        <v>590</v>
      </c>
      <c r="G76">
        <v>1252695394</v>
      </c>
      <c r="H76" s="363">
        <f t="shared" si="12"/>
        <v>2</v>
      </c>
      <c r="I76" s="158">
        <f t="shared" si="13"/>
        <v>0.11884768116525346</v>
      </c>
      <c r="J76" s="9"/>
    </row>
    <row r="77" spans="1:10">
      <c r="A77" t="s">
        <v>592</v>
      </c>
      <c r="B77" s="60" t="s">
        <v>492</v>
      </c>
      <c r="C77">
        <v>-3</v>
      </c>
      <c r="D77" s="360" t="str">
        <f t="shared" si="14"/>
        <v>Loire-Atlantique-3</v>
      </c>
      <c r="E77">
        <v>1041</v>
      </c>
      <c r="F77" t="s">
        <v>614</v>
      </c>
      <c r="G77">
        <v>598317733</v>
      </c>
      <c r="H77" s="363">
        <f t="shared" si="12"/>
        <v>3</v>
      </c>
      <c r="I77" s="158">
        <f t="shared" si="13"/>
        <v>5.6764537897791019E-2</v>
      </c>
      <c r="J77" s="9"/>
    </row>
    <row r="78" spans="1:10">
      <c r="A78" t="s">
        <v>592</v>
      </c>
      <c r="B78" s="60" t="s">
        <v>492</v>
      </c>
      <c r="C78">
        <v>-4</v>
      </c>
      <c r="D78" s="360" t="str">
        <f t="shared" si="14"/>
        <v>Loire-Atlantique-4</v>
      </c>
      <c r="E78">
        <v>2910</v>
      </c>
      <c r="F78" t="s">
        <v>599</v>
      </c>
      <c r="G78">
        <v>454339716</v>
      </c>
      <c r="H78" s="363">
        <f t="shared" si="12"/>
        <v>4</v>
      </c>
      <c r="I78" s="158">
        <f t="shared" si="13"/>
        <v>4.3104829766684533E-2</v>
      </c>
      <c r="J78" s="9"/>
    </row>
    <row r="79" spans="1:10">
      <c r="A79" t="s">
        <v>592</v>
      </c>
      <c r="B79" s="60" t="s">
        <v>492</v>
      </c>
      <c r="C79">
        <v>-5</v>
      </c>
      <c r="D79" s="360" t="str">
        <f t="shared" si="14"/>
        <v>Loire-Atlantique-5</v>
      </c>
      <c r="E79">
        <v>620</v>
      </c>
      <c r="F79" t="s">
        <v>598</v>
      </c>
      <c r="G79">
        <v>333066449</v>
      </c>
      <c r="H79" s="363">
        <f t="shared" si="12"/>
        <v>5</v>
      </c>
      <c r="I79" s="158">
        <f t="shared" si="13"/>
        <v>3.1599202269913633E-2</v>
      </c>
      <c r="J79" s="9"/>
    </row>
    <row r="80" spans="1:10">
      <c r="A80" t="s">
        <v>588</v>
      </c>
      <c r="B80" s="60" t="s">
        <v>492</v>
      </c>
      <c r="C80">
        <v>1</v>
      </c>
      <c r="D80" s="360" t="str">
        <f t="shared" si="14"/>
        <v>Loire-Atlantique1</v>
      </c>
      <c r="E80">
        <v>3011</v>
      </c>
      <c r="F80" t="s">
        <v>1898</v>
      </c>
      <c r="G80">
        <v>1096844710</v>
      </c>
      <c r="H80" s="363">
        <f t="shared" si="12"/>
        <v>-1</v>
      </c>
      <c r="I80" s="158">
        <f t="shared" si="13"/>
        <v>0.14973065486236156</v>
      </c>
      <c r="J80" s="9"/>
    </row>
    <row r="81" spans="1:10">
      <c r="A81" t="s">
        <v>588</v>
      </c>
      <c r="B81" s="60" t="s">
        <v>492</v>
      </c>
      <c r="C81">
        <v>2</v>
      </c>
      <c r="D81" s="360" t="str">
        <f t="shared" si="14"/>
        <v>Loire-Atlantique2</v>
      </c>
      <c r="E81">
        <v>1920</v>
      </c>
      <c r="F81" t="s">
        <v>594</v>
      </c>
      <c r="G81">
        <v>978350700</v>
      </c>
      <c r="H81" s="363">
        <f t="shared" si="12"/>
        <v>-2</v>
      </c>
      <c r="I81" s="158">
        <f t="shared" si="13"/>
        <v>0.13355499612707239</v>
      </c>
      <c r="J81" s="9"/>
    </row>
    <row r="82" spans="1:10">
      <c r="A82" t="s">
        <v>588</v>
      </c>
      <c r="B82" s="60" t="s">
        <v>492</v>
      </c>
      <c r="C82">
        <v>3</v>
      </c>
      <c r="D82" s="360" t="str">
        <f t="shared" si="14"/>
        <v>Loire-Atlantique3</v>
      </c>
      <c r="E82">
        <v>3030</v>
      </c>
      <c r="F82" t="s">
        <v>590</v>
      </c>
      <c r="G82">
        <v>817517163</v>
      </c>
      <c r="H82" s="363">
        <f t="shared" si="12"/>
        <v>-3</v>
      </c>
      <c r="I82" s="158">
        <f t="shared" si="13"/>
        <v>0.11159955375744117</v>
      </c>
      <c r="J82" s="9"/>
    </row>
    <row r="83" spans="1:10">
      <c r="A83" t="s">
        <v>588</v>
      </c>
      <c r="B83" s="60" t="s">
        <v>492</v>
      </c>
      <c r="C83">
        <v>4</v>
      </c>
      <c r="D83" s="360" t="str">
        <f t="shared" si="14"/>
        <v>Loire-Atlantique4</v>
      </c>
      <c r="E83">
        <v>2822</v>
      </c>
      <c r="F83" t="s">
        <v>613</v>
      </c>
      <c r="G83">
        <v>731694497</v>
      </c>
      <c r="H83" s="363">
        <f t="shared" si="12"/>
        <v>-4</v>
      </c>
      <c r="I83" s="158">
        <f t="shared" si="13"/>
        <v>9.9883871614785139E-2</v>
      </c>
      <c r="J83" s="9"/>
    </row>
    <row r="84" spans="1:10">
      <c r="A84" t="s">
        <v>588</v>
      </c>
      <c r="B84" s="60" t="s">
        <v>492</v>
      </c>
      <c r="C84">
        <v>5</v>
      </c>
      <c r="D84" s="360" t="str">
        <f t="shared" si="14"/>
        <v>Loire-Atlantique5</v>
      </c>
      <c r="E84">
        <v>3811</v>
      </c>
      <c r="F84" t="s">
        <v>1899</v>
      </c>
      <c r="G84">
        <v>224090825</v>
      </c>
      <c r="H84" s="363">
        <f t="shared" si="12"/>
        <v>-5</v>
      </c>
      <c r="I84" s="158">
        <f t="shared" si="13"/>
        <v>3.0590716871759231E-2</v>
      </c>
      <c r="J84" s="9"/>
    </row>
    <row r="85" spans="1:10">
      <c r="A85" t="s">
        <v>592</v>
      </c>
      <c r="B85" s="60" t="s">
        <v>493</v>
      </c>
      <c r="C85">
        <v>-1</v>
      </c>
      <c r="D85" s="360" t="str">
        <f>CONCATENATE($K$13,C85)</f>
        <v>Nord-1</v>
      </c>
      <c r="E85">
        <v>2910</v>
      </c>
      <c r="F85" t="s">
        <v>599</v>
      </c>
      <c r="G85">
        <v>2391883536</v>
      </c>
      <c r="H85" s="363">
        <f t="shared" si="12"/>
        <v>1</v>
      </c>
      <c r="I85" s="158">
        <f t="shared" si="13"/>
        <v>8.4724703579605737E-2</v>
      </c>
      <c r="J85" s="9"/>
    </row>
    <row r="86" spans="1:10">
      <c r="A86" t="s">
        <v>592</v>
      </c>
      <c r="B86" s="60" t="s">
        <v>493</v>
      </c>
      <c r="C86">
        <v>-2</v>
      </c>
      <c r="D86" s="360" t="str">
        <f t="shared" ref="D86:D94" si="15">CONCATENATE($K$13,C86)</f>
        <v>Nord-2</v>
      </c>
      <c r="E86">
        <v>1920</v>
      </c>
      <c r="F86" t="s">
        <v>594</v>
      </c>
      <c r="G86">
        <v>1739140044</v>
      </c>
      <c r="H86" s="363">
        <f t="shared" si="12"/>
        <v>2</v>
      </c>
      <c r="I86" s="158">
        <f t="shared" si="13"/>
        <v>6.1603385989995152E-2</v>
      </c>
      <c r="J86" s="9"/>
    </row>
    <row r="87" spans="1:10">
      <c r="A87" t="s">
        <v>592</v>
      </c>
      <c r="B87" s="60" t="s">
        <v>493</v>
      </c>
      <c r="C87">
        <v>-3</v>
      </c>
      <c r="D87" s="360" t="str">
        <f t="shared" si="15"/>
        <v>Nord-3</v>
      </c>
      <c r="E87">
        <v>2932</v>
      </c>
      <c r="F87" t="s">
        <v>604</v>
      </c>
      <c r="G87">
        <v>1515228672</v>
      </c>
      <c r="H87" s="363">
        <f t="shared" si="12"/>
        <v>3</v>
      </c>
      <c r="I87" s="158">
        <f t="shared" si="13"/>
        <v>5.3672053073791311E-2</v>
      </c>
      <c r="J87" s="9"/>
    </row>
    <row r="88" spans="1:10">
      <c r="A88" t="s">
        <v>592</v>
      </c>
      <c r="B88" s="60" t="s">
        <v>493</v>
      </c>
      <c r="C88">
        <v>-4</v>
      </c>
      <c r="D88" s="360" t="str">
        <f t="shared" si="15"/>
        <v>Nord-4</v>
      </c>
      <c r="E88">
        <v>1413</v>
      </c>
      <c r="F88" t="s">
        <v>610</v>
      </c>
      <c r="G88">
        <v>1198306654</v>
      </c>
      <c r="H88" s="363">
        <f t="shared" si="12"/>
        <v>4</v>
      </c>
      <c r="I88" s="158">
        <f t="shared" si="13"/>
        <v>4.2446120193378498E-2</v>
      </c>
      <c r="J88" s="9"/>
    </row>
    <row r="89" spans="1:10">
      <c r="A89" t="s">
        <v>592</v>
      </c>
      <c r="B89" s="60" t="s">
        <v>493</v>
      </c>
      <c r="C89">
        <v>-5</v>
      </c>
      <c r="D89" s="360" t="str">
        <f t="shared" si="15"/>
        <v>Nord-5</v>
      </c>
      <c r="E89">
        <v>2410</v>
      </c>
      <c r="F89" t="s">
        <v>595</v>
      </c>
      <c r="G89">
        <v>1030927151</v>
      </c>
      <c r="H89" s="363">
        <f t="shared" si="12"/>
        <v>5</v>
      </c>
      <c r="I89" s="158">
        <f t="shared" si="13"/>
        <v>3.651724507737171E-2</v>
      </c>
      <c r="J89" s="9"/>
    </row>
    <row r="90" spans="1:10">
      <c r="A90" t="s">
        <v>588</v>
      </c>
      <c r="B90" s="60" t="s">
        <v>493</v>
      </c>
      <c r="C90">
        <v>1</v>
      </c>
      <c r="D90" s="360" t="str">
        <f t="shared" si="15"/>
        <v>Nord1</v>
      </c>
      <c r="E90">
        <v>2910</v>
      </c>
      <c r="F90" t="s">
        <v>599</v>
      </c>
      <c r="G90">
        <v>3838931204</v>
      </c>
      <c r="H90" s="363">
        <f t="shared" si="12"/>
        <v>-1</v>
      </c>
      <c r="I90" s="158">
        <f t="shared" si="13"/>
        <v>0.17786192992171004</v>
      </c>
      <c r="J90" s="9"/>
    </row>
    <row r="91" spans="1:10">
      <c r="A91" t="s">
        <v>588</v>
      </c>
      <c r="B91" s="60" t="s">
        <v>493</v>
      </c>
      <c r="C91">
        <v>2</v>
      </c>
      <c r="D91" s="360" t="str">
        <f t="shared" si="15"/>
        <v>Nord2</v>
      </c>
      <c r="E91">
        <v>2410</v>
      </c>
      <c r="F91" t="s">
        <v>595</v>
      </c>
      <c r="G91">
        <v>2035372093</v>
      </c>
      <c r="H91" s="363">
        <f t="shared" si="12"/>
        <v>-2</v>
      </c>
      <c r="I91" s="158">
        <f t="shared" si="13"/>
        <v>9.4301040923204391E-2</v>
      </c>
      <c r="J91" s="9"/>
    </row>
    <row r="92" spans="1:10">
      <c r="A92" t="s">
        <v>588</v>
      </c>
      <c r="B92" s="60" t="s">
        <v>493</v>
      </c>
      <c r="C92">
        <v>3</v>
      </c>
      <c r="D92" s="360" t="str">
        <f t="shared" si="15"/>
        <v>Nord3</v>
      </c>
      <c r="E92">
        <v>2120</v>
      </c>
      <c r="F92" t="s">
        <v>589</v>
      </c>
      <c r="G92">
        <v>1356573348</v>
      </c>
      <c r="H92" s="363">
        <f t="shared" si="12"/>
        <v>-3</v>
      </c>
      <c r="I92" s="158">
        <f t="shared" si="13"/>
        <v>6.2851544071492974E-2</v>
      </c>
      <c r="J92" s="9"/>
    </row>
    <row r="93" spans="1:10">
      <c r="A93" t="s">
        <v>588</v>
      </c>
      <c r="B93" s="60" t="s">
        <v>493</v>
      </c>
      <c r="C93">
        <v>4</v>
      </c>
      <c r="D93" s="360" t="str">
        <f t="shared" si="15"/>
        <v>Nord4</v>
      </c>
      <c r="E93">
        <v>2014</v>
      </c>
      <c r="F93" t="s">
        <v>593</v>
      </c>
      <c r="G93">
        <v>832673538</v>
      </c>
      <c r="H93" s="363">
        <f t="shared" si="12"/>
        <v>-4</v>
      </c>
      <c r="I93" s="158">
        <f t="shared" si="13"/>
        <v>3.8578686252335966E-2</v>
      </c>
      <c r="J93" s="9"/>
    </row>
    <row r="94" spans="1:10">
      <c r="A94" t="s">
        <v>588</v>
      </c>
      <c r="B94" s="60" t="s">
        <v>493</v>
      </c>
      <c r="C94">
        <v>5</v>
      </c>
      <c r="D94" s="360" t="str">
        <f t="shared" si="15"/>
        <v>Nord5</v>
      </c>
      <c r="E94">
        <v>111</v>
      </c>
      <c r="F94" t="s">
        <v>1895</v>
      </c>
      <c r="G94">
        <v>674119050</v>
      </c>
      <c r="H94" s="363">
        <f t="shared" si="12"/>
        <v>-5</v>
      </c>
      <c r="I94" s="158">
        <f t="shared" si="13"/>
        <v>3.1232681404933491E-2</v>
      </c>
      <c r="J94" s="9"/>
    </row>
    <row r="95" spans="1:10">
      <c r="A95" t="s">
        <v>592</v>
      </c>
      <c r="B95" s="60" t="s">
        <v>494</v>
      </c>
      <c r="C95">
        <v>-1</v>
      </c>
      <c r="D95" s="360" t="str">
        <f>CONCATENATE($K$14,C95)</f>
        <v>Pas-de-Calais-1</v>
      </c>
      <c r="E95">
        <v>1020</v>
      </c>
      <c r="F95" t="s">
        <v>1912</v>
      </c>
      <c r="G95">
        <v>805518543</v>
      </c>
      <c r="H95" s="363">
        <f t="shared" si="12"/>
        <v>1</v>
      </c>
      <c r="I95" s="158">
        <f t="shared" si="13"/>
        <v>7.6724313366427779E-2</v>
      </c>
      <c r="J95" s="9"/>
    </row>
    <row r="96" spans="1:10">
      <c r="A96" t="s">
        <v>592</v>
      </c>
      <c r="B96" s="60" t="s">
        <v>494</v>
      </c>
      <c r="C96">
        <v>-2</v>
      </c>
      <c r="D96" s="360" t="str">
        <f t="shared" ref="D96:D104" si="16">CONCATENATE($K$14,C96)</f>
        <v>Pas-de-Calais-2</v>
      </c>
      <c r="E96">
        <v>2444</v>
      </c>
      <c r="F96" t="s">
        <v>1466</v>
      </c>
      <c r="G96">
        <v>702234097</v>
      </c>
      <c r="H96" s="363">
        <f t="shared" si="12"/>
        <v>2</v>
      </c>
      <c r="I96" s="158">
        <f t="shared" si="13"/>
        <v>6.6886640143824033E-2</v>
      </c>
      <c r="J96" s="9"/>
    </row>
    <row r="97" spans="1:10">
      <c r="A97" t="s">
        <v>592</v>
      </c>
      <c r="B97" s="60" t="s">
        <v>494</v>
      </c>
      <c r="C97">
        <v>-3</v>
      </c>
      <c r="D97" s="360" t="str">
        <f t="shared" si="16"/>
        <v>Pas-de-Calais-3</v>
      </c>
      <c r="E97">
        <v>300</v>
      </c>
      <c r="F97" t="s">
        <v>1911</v>
      </c>
      <c r="G97">
        <v>562443767</v>
      </c>
      <c r="H97" s="363">
        <f t="shared" si="12"/>
        <v>3</v>
      </c>
      <c r="I97" s="158">
        <f t="shared" si="13"/>
        <v>5.3571841648221485E-2</v>
      </c>
      <c r="J97" s="9"/>
    </row>
    <row r="98" spans="1:10">
      <c r="A98" t="s">
        <v>592</v>
      </c>
      <c r="B98" s="60" t="s">
        <v>494</v>
      </c>
      <c r="C98">
        <v>-4</v>
      </c>
      <c r="D98" s="360" t="str">
        <f t="shared" si="16"/>
        <v>Pas-de-Calais-4</v>
      </c>
      <c r="E98">
        <v>2410</v>
      </c>
      <c r="F98" t="s">
        <v>595</v>
      </c>
      <c r="G98">
        <v>488064760</v>
      </c>
      <c r="H98" s="363">
        <f t="shared" si="12"/>
        <v>4</v>
      </c>
      <c r="I98" s="158">
        <f t="shared" si="13"/>
        <v>4.648736384129442E-2</v>
      </c>
      <c r="J98" s="9"/>
    </row>
    <row r="99" spans="1:10">
      <c r="A99" t="s">
        <v>592</v>
      </c>
      <c r="B99" s="60" t="s">
        <v>494</v>
      </c>
      <c r="C99">
        <v>-5</v>
      </c>
      <c r="D99" s="360" t="str">
        <f t="shared" si="16"/>
        <v>Pas-de-Calais-5</v>
      </c>
      <c r="E99">
        <v>2014</v>
      </c>
      <c r="F99" t="s">
        <v>593</v>
      </c>
      <c r="G99">
        <v>487890709</v>
      </c>
      <c r="H99" s="363">
        <f t="shared" si="12"/>
        <v>5</v>
      </c>
      <c r="I99" s="158">
        <f t="shared" si="13"/>
        <v>4.6470785770458205E-2</v>
      </c>
      <c r="J99" s="9"/>
    </row>
    <row r="100" spans="1:10">
      <c r="A100" t="s">
        <v>588</v>
      </c>
      <c r="B100" s="60" t="s">
        <v>494</v>
      </c>
      <c r="C100">
        <v>1</v>
      </c>
      <c r="D100" s="360" t="str">
        <f t="shared" si="16"/>
        <v>Pas-de-Calais1</v>
      </c>
      <c r="E100">
        <v>2410</v>
      </c>
      <c r="F100" t="s">
        <v>595</v>
      </c>
      <c r="G100">
        <v>670503887</v>
      </c>
      <c r="H100" s="363">
        <f t="shared" si="12"/>
        <v>-1</v>
      </c>
      <c r="I100" s="158">
        <f t="shared" si="13"/>
        <v>7.0327283790348749E-2</v>
      </c>
      <c r="J100" s="9"/>
    </row>
    <row r="101" spans="1:10">
      <c r="A101" t="s">
        <v>588</v>
      </c>
      <c r="B101" s="60" t="s">
        <v>494</v>
      </c>
      <c r="C101">
        <v>2</v>
      </c>
      <c r="D101" s="360" t="str">
        <f t="shared" si="16"/>
        <v>Pas-de-Calais2</v>
      </c>
      <c r="E101">
        <v>2016</v>
      </c>
      <c r="F101" t="s">
        <v>596</v>
      </c>
      <c r="G101">
        <v>520851034</v>
      </c>
      <c r="H101" s="363">
        <f t="shared" si="12"/>
        <v>-2</v>
      </c>
      <c r="I101" s="158">
        <f t="shared" si="13"/>
        <v>5.4630613171396246E-2</v>
      </c>
      <c r="J101" s="9"/>
    </row>
    <row r="102" spans="1:10">
      <c r="A102" t="s">
        <v>588</v>
      </c>
      <c r="B102" s="60" t="s">
        <v>494</v>
      </c>
      <c r="C102">
        <v>3</v>
      </c>
      <c r="D102" s="360" t="str">
        <f t="shared" si="16"/>
        <v>Pas-de-Calais3</v>
      </c>
      <c r="E102">
        <v>2931</v>
      </c>
      <c r="F102" t="s">
        <v>1465</v>
      </c>
      <c r="G102">
        <v>496785958</v>
      </c>
      <c r="H102" s="363">
        <f t="shared" si="12"/>
        <v>-3</v>
      </c>
      <c r="I102" s="158">
        <f t="shared" si="13"/>
        <v>5.2106494427117719E-2</v>
      </c>
      <c r="J102" s="9"/>
    </row>
    <row r="103" spans="1:10">
      <c r="A103" t="s">
        <v>588</v>
      </c>
      <c r="B103" s="60" t="s">
        <v>494</v>
      </c>
      <c r="C103">
        <v>4</v>
      </c>
      <c r="D103" s="360" t="str">
        <f t="shared" si="16"/>
        <v>Pas-de-Calais4</v>
      </c>
      <c r="E103">
        <v>2444</v>
      </c>
      <c r="F103" t="s">
        <v>1466</v>
      </c>
      <c r="G103">
        <v>411609051</v>
      </c>
      <c r="H103" s="363">
        <f t="shared" si="12"/>
        <v>-4</v>
      </c>
      <c r="I103" s="158">
        <f t="shared" si="13"/>
        <v>4.3172526068224165E-2</v>
      </c>
      <c r="J103" s="9"/>
    </row>
    <row r="104" spans="1:10">
      <c r="A104" t="s">
        <v>588</v>
      </c>
      <c r="B104" s="60" t="s">
        <v>494</v>
      </c>
      <c r="C104">
        <v>5</v>
      </c>
      <c r="D104" s="360" t="str">
        <f t="shared" si="16"/>
        <v>Pas-de-Calais5</v>
      </c>
      <c r="E104">
        <v>1062</v>
      </c>
      <c r="F104" t="s">
        <v>1467</v>
      </c>
      <c r="G104">
        <v>383006065</v>
      </c>
      <c r="H104" s="363">
        <f t="shared" si="12"/>
        <v>-5</v>
      </c>
      <c r="I104" s="158">
        <f t="shared" si="13"/>
        <v>4.0172438592708345E-2</v>
      </c>
      <c r="J104" s="9"/>
    </row>
    <row r="105" spans="1:10">
      <c r="A105" t="s">
        <v>592</v>
      </c>
      <c r="B105" s="60" t="s">
        <v>495</v>
      </c>
      <c r="C105">
        <v>-1</v>
      </c>
      <c r="D105" s="360" t="str">
        <f>CONCATENATE($K$15,C105)</f>
        <v>Bas-Rhin-1</v>
      </c>
      <c r="E105">
        <v>2910</v>
      </c>
      <c r="F105" t="s">
        <v>599</v>
      </c>
      <c r="G105">
        <v>2307254374</v>
      </c>
      <c r="H105" s="363">
        <f t="shared" si="12"/>
        <v>1</v>
      </c>
      <c r="I105" s="158">
        <f t="shared" si="13"/>
        <v>0.12957604464561631</v>
      </c>
      <c r="J105" s="9"/>
    </row>
    <row r="106" spans="1:10">
      <c r="A106" t="s">
        <v>592</v>
      </c>
      <c r="B106" s="60" t="s">
        <v>495</v>
      </c>
      <c r="C106">
        <v>-2</v>
      </c>
      <c r="D106" s="360" t="str">
        <f t="shared" ref="D106:D114" si="17">CONCATENATE($K$15,C106)</f>
        <v>Bas-Rhin-2</v>
      </c>
      <c r="E106">
        <v>2110</v>
      </c>
      <c r="F106" t="s">
        <v>616</v>
      </c>
      <c r="G106">
        <v>957153698</v>
      </c>
      <c r="H106" s="363">
        <f t="shared" si="12"/>
        <v>2</v>
      </c>
      <c r="I106" s="158">
        <f t="shared" si="13"/>
        <v>5.3754016766581605E-2</v>
      </c>
      <c r="J106" s="9"/>
    </row>
    <row r="107" spans="1:10">
      <c r="A107" t="s">
        <v>592</v>
      </c>
      <c r="B107" s="60" t="s">
        <v>495</v>
      </c>
      <c r="C107">
        <v>-3</v>
      </c>
      <c r="D107" s="360" t="str">
        <f t="shared" si="17"/>
        <v>Bas-Rhin-3</v>
      </c>
      <c r="E107">
        <v>2120</v>
      </c>
      <c r="F107" t="s">
        <v>589</v>
      </c>
      <c r="G107">
        <v>813239103</v>
      </c>
      <c r="H107" s="363">
        <f t="shared" si="12"/>
        <v>3</v>
      </c>
      <c r="I107" s="158">
        <f t="shared" si="13"/>
        <v>4.5671733253755641E-2</v>
      </c>
      <c r="J107" s="9"/>
    </row>
    <row r="108" spans="1:10">
      <c r="A108" t="s">
        <v>592</v>
      </c>
      <c r="B108" s="60" t="s">
        <v>495</v>
      </c>
      <c r="C108">
        <v>-4</v>
      </c>
      <c r="D108" s="360" t="str">
        <f t="shared" si="17"/>
        <v>Bas-Rhin-4</v>
      </c>
      <c r="E108">
        <v>1920</v>
      </c>
      <c r="F108" t="s">
        <v>594</v>
      </c>
      <c r="G108">
        <v>652238777</v>
      </c>
      <c r="H108" s="363">
        <f t="shared" si="12"/>
        <v>4</v>
      </c>
      <c r="I108" s="158">
        <f t="shared" si="13"/>
        <v>3.6629910356019625E-2</v>
      </c>
      <c r="J108" s="9"/>
    </row>
    <row r="109" spans="1:10">
      <c r="A109" t="s">
        <v>592</v>
      </c>
      <c r="B109" s="60" t="s">
        <v>495</v>
      </c>
      <c r="C109">
        <v>-5</v>
      </c>
      <c r="D109" s="360" t="str">
        <f t="shared" si="17"/>
        <v>Bas-Rhin-5</v>
      </c>
      <c r="E109">
        <v>2932</v>
      </c>
      <c r="F109" t="s">
        <v>604</v>
      </c>
      <c r="G109">
        <v>570677729</v>
      </c>
      <c r="H109" s="363">
        <f t="shared" si="12"/>
        <v>5</v>
      </c>
      <c r="I109" s="158">
        <f t="shared" si="13"/>
        <v>3.2049419311735987E-2</v>
      </c>
      <c r="J109" s="9"/>
    </row>
    <row r="110" spans="1:10">
      <c r="A110" t="s">
        <v>588</v>
      </c>
      <c r="B110" s="60" t="s">
        <v>495</v>
      </c>
      <c r="C110">
        <v>1</v>
      </c>
      <c r="D110" s="360" t="str">
        <f t="shared" si="17"/>
        <v>Bas-Rhin1</v>
      </c>
      <c r="E110">
        <v>2120</v>
      </c>
      <c r="F110" t="s">
        <v>589</v>
      </c>
      <c r="G110">
        <v>2833859343</v>
      </c>
      <c r="H110" s="363">
        <f t="shared" si="12"/>
        <v>-1</v>
      </c>
      <c r="I110" s="158">
        <f t="shared" si="13"/>
        <v>0.15445531214227615</v>
      </c>
      <c r="J110" s="9"/>
    </row>
    <row r="111" spans="1:10">
      <c r="A111" t="s">
        <v>588</v>
      </c>
      <c r="B111" s="60" t="s">
        <v>495</v>
      </c>
      <c r="C111">
        <v>2</v>
      </c>
      <c r="D111" s="360" t="str">
        <f t="shared" si="17"/>
        <v>Bas-Rhin2</v>
      </c>
      <c r="E111">
        <v>2932</v>
      </c>
      <c r="F111" t="s">
        <v>604</v>
      </c>
      <c r="G111">
        <v>994760737</v>
      </c>
      <c r="H111" s="363">
        <f t="shared" si="12"/>
        <v>-2</v>
      </c>
      <c r="I111" s="158">
        <f t="shared" si="13"/>
        <v>5.4217962694493436E-2</v>
      </c>
      <c r="J111" s="9"/>
    </row>
    <row r="112" spans="1:10">
      <c r="A112" t="s">
        <v>588</v>
      </c>
      <c r="B112" s="60" t="s">
        <v>495</v>
      </c>
      <c r="C112">
        <v>3</v>
      </c>
      <c r="D112" s="360" t="str">
        <f t="shared" si="17"/>
        <v>Bas-Rhin3</v>
      </c>
      <c r="E112">
        <v>2652</v>
      </c>
      <c r="F112" t="s">
        <v>615</v>
      </c>
      <c r="G112">
        <v>857792836</v>
      </c>
      <c r="H112" s="363">
        <f t="shared" si="12"/>
        <v>-3</v>
      </c>
      <c r="I112" s="158">
        <f t="shared" si="13"/>
        <v>4.6752729829395878E-2</v>
      </c>
      <c r="J112" s="9"/>
    </row>
    <row r="113" spans="1:10">
      <c r="A113" t="s">
        <v>588</v>
      </c>
      <c r="B113" s="60" t="s">
        <v>495</v>
      </c>
      <c r="C113">
        <v>4</v>
      </c>
      <c r="D113" s="360" t="str">
        <f t="shared" si="17"/>
        <v>Bas-Rhin4</v>
      </c>
      <c r="E113">
        <v>3212</v>
      </c>
      <c r="F113" t="s">
        <v>591</v>
      </c>
      <c r="G113">
        <v>854711048</v>
      </c>
      <c r="H113" s="363">
        <f t="shared" si="12"/>
        <v>-4</v>
      </c>
      <c r="I113" s="158">
        <f t="shared" si="13"/>
        <v>4.6584761532496417E-2</v>
      </c>
      <c r="J113" s="9"/>
    </row>
    <row r="114" spans="1:10">
      <c r="A114" t="s">
        <v>588</v>
      </c>
      <c r="B114" s="60" t="s">
        <v>495</v>
      </c>
      <c r="C114">
        <v>5</v>
      </c>
      <c r="D114" s="360" t="str">
        <f t="shared" si="17"/>
        <v>Bas-Rhin5</v>
      </c>
      <c r="E114">
        <v>2829</v>
      </c>
      <c r="F114" t="s">
        <v>1900</v>
      </c>
      <c r="G114">
        <v>822316263</v>
      </c>
      <c r="H114" s="363">
        <f t="shared" si="12"/>
        <v>-5</v>
      </c>
      <c r="I114" s="158">
        <f t="shared" si="13"/>
        <v>4.4819131688758292E-2</v>
      </c>
      <c r="J114" s="9"/>
    </row>
    <row r="115" spans="1:10">
      <c r="A115" t="s">
        <v>592</v>
      </c>
      <c r="B115" s="60" t="s">
        <v>496</v>
      </c>
      <c r="C115">
        <v>-1</v>
      </c>
      <c r="D115" s="360" t="str">
        <f>CONCATENATE($K$16,C115)</f>
        <v>Rhône-1</v>
      </c>
      <c r="E115">
        <v>2120</v>
      </c>
      <c r="F115" t="s">
        <v>589</v>
      </c>
      <c r="G115">
        <v>1281254945</v>
      </c>
      <c r="H115" s="363">
        <f t="shared" si="12"/>
        <v>1</v>
      </c>
      <c r="I115" s="158">
        <f t="shared" si="13"/>
        <v>7.170116180083809E-2</v>
      </c>
      <c r="J115" s="9"/>
    </row>
    <row r="116" spans="1:10">
      <c r="A116" t="s">
        <v>592</v>
      </c>
      <c r="B116" s="60" t="s">
        <v>496</v>
      </c>
      <c r="C116">
        <v>-2</v>
      </c>
      <c r="D116" s="360" t="str">
        <f t="shared" ref="D116:D124" si="18">CONCATENATE($K$16,C116)</f>
        <v>Rhône-2</v>
      </c>
      <c r="E116">
        <v>610</v>
      </c>
      <c r="F116" t="s">
        <v>597</v>
      </c>
      <c r="G116">
        <v>1273431989</v>
      </c>
      <c r="H116" s="363">
        <f t="shared" si="12"/>
        <v>2</v>
      </c>
      <c r="I116" s="158">
        <f t="shared" si="13"/>
        <v>7.1263376146932317E-2</v>
      </c>
      <c r="J116" s="9"/>
    </row>
    <row r="117" spans="1:10">
      <c r="A117" t="s">
        <v>592</v>
      </c>
      <c r="B117" s="60" t="s">
        <v>496</v>
      </c>
      <c r="C117">
        <v>-3</v>
      </c>
      <c r="D117" s="360" t="str">
        <f t="shared" si="18"/>
        <v>Rhône-3</v>
      </c>
      <c r="E117">
        <v>2910</v>
      </c>
      <c r="F117" t="s">
        <v>599</v>
      </c>
      <c r="G117">
        <v>1264638095</v>
      </c>
      <c r="H117" s="363">
        <f t="shared" si="12"/>
        <v>3</v>
      </c>
      <c r="I117" s="158">
        <f t="shared" si="13"/>
        <v>7.0771255184578941E-2</v>
      </c>
      <c r="J117" s="9"/>
    </row>
    <row r="118" spans="1:10">
      <c r="A118" t="s">
        <v>592</v>
      </c>
      <c r="B118" s="60" t="s">
        <v>496</v>
      </c>
      <c r="C118">
        <v>-4</v>
      </c>
      <c r="D118" s="360" t="str">
        <f t="shared" si="18"/>
        <v>Rhône-4</v>
      </c>
      <c r="E118">
        <v>2751</v>
      </c>
      <c r="F118" t="s">
        <v>1901</v>
      </c>
      <c r="G118">
        <v>702392355</v>
      </c>
      <c r="H118" s="363">
        <f t="shared" si="12"/>
        <v>4</v>
      </c>
      <c r="I118" s="158">
        <f t="shared" si="13"/>
        <v>3.9307046649897384E-2</v>
      </c>
      <c r="J118" s="9"/>
    </row>
    <row r="119" spans="1:10">
      <c r="A119" t="s">
        <v>592</v>
      </c>
      <c r="B119" s="60" t="s">
        <v>496</v>
      </c>
      <c r="C119">
        <v>-5</v>
      </c>
      <c r="D119" s="360" t="str">
        <f t="shared" si="18"/>
        <v>Rhône-5</v>
      </c>
      <c r="E119">
        <v>2014</v>
      </c>
      <c r="F119" t="s">
        <v>593</v>
      </c>
      <c r="G119">
        <v>643650035</v>
      </c>
      <c r="H119" s="363">
        <f t="shared" si="12"/>
        <v>5</v>
      </c>
      <c r="I119" s="158">
        <f t="shared" si="13"/>
        <v>3.6019728534706336E-2</v>
      </c>
      <c r="J119" s="9"/>
    </row>
    <row r="120" spans="1:10">
      <c r="A120" t="s">
        <v>588</v>
      </c>
      <c r="B120" s="60" t="s">
        <v>496</v>
      </c>
      <c r="C120">
        <v>1</v>
      </c>
      <c r="D120" s="360" t="str">
        <f t="shared" si="18"/>
        <v>Rhône1</v>
      </c>
      <c r="E120">
        <v>2910</v>
      </c>
      <c r="F120" t="s">
        <v>599</v>
      </c>
      <c r="G120">
        <v>1297728970</v>
      </c>
      <c r="H120" s="363">
        <f t="shared" si="12"/>
        <v>-1</v>
      </c>
      <c r="I120" s="158">
        <f t="shared" si="13"/>
        <v>9.3095287239766802E-2</v>
      </c>
      <c r="J120" s="9"/>
    </row>
    <row r="121" spans="1:10">
      <c r="A121" t="s">
        <v>588</v>
      </c>
      <c r="B121" s="60" t="s">
        <v>496</v>
      </c>
      <c r="C121">
        <v>2</v>
      </c>
      <c r="D121" s="360" t="str">
        <f t="shared" si="18"/>
        <v>Rhône2</v>
      </c>
      <c r="E121">
        <v>2120</v>
      </c>
      <c r="F121" t="s">
        <v>589</v>
      </c>
      <c r="G121">
        <v>1217095728</v>
      </c>
      <c r="H121" s="363">
        <f t="shared" si="12"/>
        <v>-2</v>
      </c>
      <c r="I121" s="158">
        <f t="shared" si="13"/>
        <v>8.7310893889078464E-2</v>
      </c>
      <c r="J121" s="9"/>
    </row>
    <row r="122" spans="1:10">
      <c r="A122" t="s">
        <v>588</v>
      </c>
      <c r="B122" s="60" t="s">
        <v>496</v>
      </c>
      <c r="C122">
        <v>3</v>
      </c>
      <c r="D122" s="360" t="str">
        <f t="shared" si="18"/>
        <v>Rhône3</v>
      </c>
      <c r="E122">
        <v>2016</v>
      </c>
      <c r="F122" t="s">
        <v>596</v>
      </c>
      <c r="G122">
        <v>795623724</v>
      </c>
      <c r="H122" s="363">
        <f t="shared" si="12"/>
        <v>-3</v>
      </c>
      <c r="I122" s="158">
        <f t="shared" si="13"/>
        <v>5.7075722922755548E-2</v>
      </c>
      <c r="J122" s="9"/>
    </row>
    <row r="123" spans="1:10">
      <c r="A123" t="s">
        <v>588</v>
      </c>
      <c r="B123" s="60" t="s">
        <v>496</v>
      </c>
      <c r="C123">
        <v>4</v>
      </c>
      <c r="D123" s="360" t="str">
        <f t="shared" si="18"/>
        <v>Rhône4</v>
      </c>
      <c r="E123">
        <v>2441</v>
      </c>
      <c r="F123" t="s">
        <v>617</v>
      </c>
      <c r="G123">
        <v>725691353</v>
      </c>
      <c r="H123" s="363">
        <f t="shared" si="12"/>
        <v>-4</v>
      </c>
      <c r="I123" s="158">
        <f t="shared" si="13"/>
        <v>5.2058978813542253E-2</v>
      </c>
      <c r="J123" s="9"/>
    </row>
    <row r="124" spans="1:10">
      <c r="A124" t="s">
        <v>588</v>
      </c>
      <c r="B124" s="60" t="s">
        <v>496</v>
      </c>
      <c r="C124">
        <v>5</v>
      </c>
      <c r="D124" s="360" t="str">
        <f t="shared" si="18"/>
        <v>Rhône5</v>
      </c>
      <c r="E124">
        <v>2932</v>
      </c>
      <c r="F124" t="s">
        <v>604</v>
      </c>
      <c r="G124">
        <v>560398499</v>
      </c>
      <c r="H124" s="363">
        <f t="shared" si="12"/>
        <v>-5</v>
      </c>
      <c r="I124" s="158">
        <f t="shared" si="13"/>
        <v>4.0201352084433449E-2</v>
      </c>
      <c r="J124" s="9"/>
    </row>
    <row r="125" spans="1:10">
      <c r="A125" t="s">
        <v>592</v>
      </c>
      <c r="B125" s="60" t="s">
        <v>497</v>
      </c>
      <c r="C125">
        <v>-1</v>
      </c>
      <c r="D125" s="360" t="str">
        <f>CONCATENATE($K$17,C125)</f>
        <v>Seine-Maritime-1</v>
      </c>
      <c r="E125">
        <v>610</v>
      </c>
      <c r="F125" t="s">
        <v>597</v>
      </c>
      <c r="G125">
        <v>6104795640</v>
      </c>
      <c r="H125" s="363">
        <f t="shared" si="12"/>
        <v>1</v>
      </c>
      <c r="I125" s="158">
        <f t="shared" si="13"/>
        <v>0.26327231528075745</v>
      </c>
      <c r="J125" s="9"/>
    </row>
    <row r="126" spans="1:10">
      <c r="A126" t="s">
        <v>592</v>
      </c>
      <c r="B126" s="60" t="s">
        <v>497</v>
      </c>
      <c r="C126">
        <v>-2</v>
      </c>
      <c r="D126" s="360" t="str">
        <f t="shared" ref="D126:D134" si="19">CONCATENATE($K$17,C126)</f>
        <v>Seine-Maritime-2</v>
      </c>
      <c r="E126">
        <v>1920</v>
      </c>
      <c r="F126" t="s">
        <v>594</v>
      </c>
      <c r="G126">
        <v>4736922199</v>
      </c>
      <c r="H126" s="363">
        <f t="shared" si="12"/>
        <v>2</v>
      </c>
      <c r="I126" s="158">
        <f t="shared" si="13"/>
        <v>0.20428210020074428</v>
      </c>
      <c r="J126" s="9"/>
    </row>
    <row r="127" spans="1:10">
      <c r="A127" t="s">
        <v>592</v>
      </c>
      <c r="B127" s="60" t="s">
        <v>497</v>
      </c>
      <c r="C127">
        <v>-3</v>
      </c>
      <c r="D127" s="360" t="str">
        <f t="shared" si="19"/>
        <v>Seine-Maritime-3</v>
      </c>
      <c r="E127">
        <v>2910</v>
      </c>
      <c r="F127" t="s">
        <v>599</v>
      </c>
      <c r="G127">
        <v>1071959228</v>
      </c>
      <c r="H127" s="363">
        <f t="shared" si="12"/>
        <v>3</v>
      </c>
      <c r="I127" s="158">
        <f t="shared" si="13"/>
        <v>4.6228769066892689E-2</v>
      </c>
      <c r="J127" s="9"/>
    </row>
    <row r="128" spans="1:10">
      <c r="A128" t="s">
        <v>592</v>
      </c>
      <c r="B128" s="60" t="s">
        <v>497</v>
      </c>
      <c r="C128">
        <v>-4</v>
      </c>
      <c r="D128" s="360" t="str">
        <f t="shared" si="19"/>
        <v>Seine-Maritime-4</v>
      </c>
      <c r="E128">
        <v>2059</v>
      </c>
      <c r="F128" t="s">
        <v>1897</v>
      </c>
      <c r="G128">
        <v>930189244</v>
      </c>
      <c r="H128" s="363">
        <f t="shared" si="12"/>
        <v>4</v>
      </c>
      <c r="I128" s="158">
        <f t="shared" si="13"/>
        <v>4.0114868761952104E-2</v>
      </c>
      <c r="J128" s="9"/>
    </row>
    <row r="129" spans="1:10">
      <c r="A129" t="s">
        <v>592</v>
      </c>
      <c r="B129" s="60" t="s">
        <v>497</v>
      </c>
      <c r="C129">
        <v>-5</v>
      </c>
      <c r="D129" s="360" t="str">
        <f t="shared" si="19"/>
        <v>Seine-Maritime-5</v>
      </c>
      <c r="E129">
        <v>2014</v>
      </c>
      <c r="F129" t="s">
        <v>593</v>
      </c>
      <c r="G129">
        <v>924546633</v>
      </c>
      <c r="H129" s="363">
        <f t="shared" si="12"/>
        <v>5</v>
      </c>
      <c r="I129" s="158">
        <f t="shared" si="13"/>
        <v>3.9871528386646982E-2</v>
      </c>
      <c r="J129" s="9"/>
    </row>
    <row r="130" spans="1:10">
      <c r="A130" t="s">
        <v>588</v>
      </c>
      <c r="B130" s="60" t="s">
        <v>497</v>
      </c>
      <c r="C130">
        <v>1</v>
      </c>
      <c r="D130" s="360" t="str">
        <f t="shared" si="19"/>
        <v>Seine-Maritime1</v>
      </c>
      <c r="E130">
        <v>1920</v>
      </c>
      <c r="F130" t="s">
        <v>594</v>
      </c>
      <c r="G130">
        <v>2831557181</v>
      </c>
      <c r="H130" s="363">
        <f t="shared" si="12"/>
        <v>-1</v>
      </c>
      <c r="I130" s="158">
        <f t="shared" si="13"/>
        <v>0.15089171362132126</v>
      </c>
      <c r="J130" s="9"/>
    </row>
    <row r="131" spans="1:10">
      <c r="A131" t="s">
        <v>588</v>
      </c>
      <c r="B131" s="60" t="s">
        <v>497</v>
      </c>
      <c r="C131">
        <v>2</v>
      </c>
      <c r="D131" s="360" t="str">
        <f t="shared" si="19"/>
        <v>Seine-Maritime2</v>
      </c>
      <c r="E131">
        <v>2059</v>
      </c>
      <c r="F131" t="s">
        <v>1897</v>
      </c>
      <c r="G131">
        <v>1845583018</v>
      </c>
      <c r="H131" s="363">
        <f t="shared" si="12"/>
        <v>-2</v>
      </c>
      <c r="I131" s="158">
        <f t="shared" si="13"/>
        <v>9.8349835943655553E-2</v>
      </c>
      <c r="J131" s="9"/>
    </row>
    <row r="132" spans="1:10">
      <c r="A132" t="s">
        <v>588</v>
      </c>
      <c r="B132" s="60" t="s">
        <v>497</v>
      </c>
      <c r="C132">
        <v>3</v>
      </c>
      <c r="D132" s="360" t="str">
        <f t="shared" si="19"/>
        <v>Seine-Maritime3</v>
      </c>
      <c r="E132">
        <v>2120</v>
      </c>
      <c r="F132" t="s">
        <v>589</v>
      </c>
      <c r="G132">
        <v>1571953055</v>
      </c>
      <c r="H132" s="363">
        <f t="shared" si="12"/>
        <v>-3</v>
      </c>
      <c r="I132" s="158">
        <f t="shared" si="13"/>
        <v>8.3768285448310373E-2</v>
      </c>
      <c r="J132" s="9"/>
    </row>
    <row r="133" spans="1:10">
      <c r="A133" t="s">
        <v>588</v>
      </c>
      <c r="B133" s="60" t="s">
        <v>497</v>
      </c>
      <c r="C133">
        <v>4</v>
      </c>
      <c r="D133" s="360" t="str">
        <f t="shared" si="19"/>
        <v>Seine-Maritime4</v>
      </c>
      <c r="E133">
        <v>2016</v>
      </c>
      <c r="F133" t="s">
        <v>596</v>
      </c>
      <c r="G133">
        <v>1465990417</v>
      </c>
      <c r="H133" s="363">
        <f t="shared" si="12"/>
        <v>-4</v>
      </c>
      <c r="I133" s="158">
        <f t="shared" si="13"/>
        <v>7.8121610136597602E-2</v>
      </c>
      <c r="J133" s="9"/>
    </row>
    <row r="134" spans="1:10" s="128" customFormat="1">
      <c r="A134" t="s">
        <v>588</v>
      </c>
      <c r="B134" s="60" t="s">
        <v>497</v>
      </c>
      <c r="C134">
        <v>5</v>
      </c>
      <c r="D134" s="360" t="str">
        <f t="shared" si="19"/>
        <v>Seine-Maritime5</v>
      </c>
      <c r="E134">
        <v>111</v>
      </c>
      <c r="F134" t="s">
        <v>1913</v>
      </c>
      <c r="G134">
        <v>1128943179</v>
      </c>
      <c r="H134" s="363">
        <f t="shared" ref="H134:H154" si="20">C134*-1</f>
        <v>-5</v>
      </c>
      <c r="I134" s="158">
        <f t="shared" ref="I134:I154" si="21">IF(A134="E",(G134/(VLOOKUP(B134,$J$1:$M$19,MATCH("Export N",$J$4:$M$4,0),FALSE))),(G134/(VLOOKUP(B134,$J$1:$M$19,MATCH("Import N",$J$4:$M$4,0),FALSE))))</f>
        <v>6.0160597145437623E-2</v>
      </c>
      <c r="J134" s="9"/>
    </row>
    <row r="135" spans="1:10">
      <c r="A135" t="s">
        <v>592</v>
      </c>
      <c r="B135" s="60" t="s">
        <v>498</v>
      </c>
      <c r="C135">
        <v>-1</v>
      </c>
      <c r="D135" s="360" t="str">
        <f>CONCATENATE($K$18,C135)</f>
        <v>Var-1</v>
      </c>
      <c r="E135">
        <v>2120</v>
      </c>
      <c r="F135" t="s">
        <v>589</v>
      </c>
      <c r="G135">
        <v>78515088</v>
      </c>
      <c r="H135" s="363">
        <f t="shared" si="20"/>
        <v>1</v>
      </c>
      <c r="I135" s="158">
        <f t="shared" si="21"/>
        <v>5.3703465488028297E-2</v>
      </c>
      <c r="J135" s="9"/>
    </row>
    <row r="136" spans="1:10">
      <c r="A136" t="s">
        <v>592</v>
      </c>
      <c r="B136" s="60" t="s">
        <v>498</v>
      </c>
      <c r="C136">
        <v>-2</v>
      </c>
      <c r="D136" s="360" t="str">
        <f t="shared" ref="D136:D144" si="22">CONCATENATE($K$18,C136)</f>
        <v>Var-2</v>
      </c>
      <c r="E136">
        <v>2014</v>
      </c>
      <c r="F136" t="s">
        <v>593</v>
      </c>
      <c r="G136">
        <v>70794371</v>
      </c>
      <c r="H136" s="363">
        <f t="shared" si="20"/>
        <v>2</v>
      </c>
      <c r="I136" s="158">
        <f t="shared" si="21"/>
        <v>4.8422579106644721E-2</v>
      </c>
      <c r="J136" s="9"/>
    </row>
    <row r="137" spans="1:10">
      <c r="A137" t="s">
        <v>592</v>
      </c>
      <c r="B137" s="60" t="s">
        <v>498</v>
      </c>
      <c r="C137">
        <v>-3</v>
      </c>
      <c r="D137" s="360" t="str">
        <f t="shared" si="22"/>
        <v>Var-3</v>
      </c>
      <c r="E137">
        <v>1032</v>
      </c>
      <c r="F137" t="s">
        <v>618</v>
      </c>
      <c r="G137">
        <v>57160239</v>
      </c>
      <c r="H137" s="363">
        <f t="shared" si="20"/>
        <v>3</v>
      </c>
      <c r="I137" s="158">
        <f t="shared" si="21"/>
        <v>3.909698123784755E-2</v>
      </c>
      <c r="J137" s="9"/>
    </row>
    <row r="138" spans="1:10">
      <c r="A138" t="s">
        <v>592</v>
      </c>
      <c r="B138" s="60" t="s">
        <v>498</v>
      </c>
      <c r="C138">
        <v>-4</v>
      </c>
      <c r="D138" s="360" t="str">
        <f t="shared" si="22"/>
        <v>Var-4</v>
      </c>
      <c r="E138">
        <v>1413</v>
      </c>
      <c r="F138" t="s">
        <v>610</v>
      </c>
      <c r="G138">
        <v>54929327</v>
      </c>
      <c r="H138" s="363">
        <f t="shared" si="20"/>
        <v>4</v>
      </c>
      <c r="I138" s="158">
        <f t="shared" si="21"/>
        <v>3.7571061715235179E-2</v>
      </c>
      <c r="J138" s="9"/>
    </row>
    <row r="139" spans="1:10">
      <c r="A139" t="s">
        <v>592</v>
      </c>
      <c r="B139" s="60" t="s">
        <v>498</v>
      </c>
      <c r="C139">
        <v>-5</v>
      </c>
      <c r="D139" s="360" t="str">
        <f t="shared" si="22"/>
        <v>Var-5</v>
      </c>
      <c r="E139">
        <v>2110</v>
      </c>
      <c r="F139" t="s">
        <v>616</v>
      </c>
      <c r="G139">
        <v>47964560</v>
      </c>
      <c r="H139" s="363">
        <f t="shared" si="20"/>
        <v>5</v>
      </c>
      <c r="I139" s="158">
        <f t="shared" si="21"/>
        <v>3.2807236904688467E-2</v>
      </c>
      <c r="J139" s="9"/>
    </row>
    <row r="140" spans="1:10">
      <c r="A140" t="s">
        <v>588</v>
      </c>
      <c r="B140" s="60" t="s">
        <v>498</v>
      </c>
      <c r="C140">
        <v>1</v>
      </c>
      <c r="D140" s="360" t="str">
        <f t="shared" si="22"/>
        <v>Var1</v>
      </c>
      <c r="E140">
        <v>2053</v>
      </c>
      <c r="F140" t="s">
        <v>587</v>
      </c>
      <c r="G140">
        <v>191892131</v>
      </c>
      <c r="H140" s="363">
        <f t="shared" si="20"/>
        <v>-1</v>
      </c>
      <c r="I140" s="158">
        <f t="shared" si="21"/>
        <v>0.18390708068219183</v>
      </c>
      <c r="J140" s="9"/>
    </row>
    <row r="141" spans="1:10">
      <c r="A141" t="s">
        <v>588</v>
      </c>
      <c r="B141" s="60" t="s">
        <v>498</v>
      </c>
      <c r="C141">
        <v>2</v>
      </c>
      <c r="D141" s="360" t="str">
        <f t="shared" si="22"/>
        <v>Var2</v>
      </c>
      <c r="E141">
        <v>2120</v>
      </c>
      <c r="F141" t="s">
        <v>589</v>
      </c>
      <c r="G141">
        <v>108246731</v>
      </c>
      <c r="H141" s="363">
        <f t="shared" si="20"/>
        <v>-2</v>
      </c>
      <c r="I141" s="158">
        <f t="shared" si="21"/>
        <v>0.10374234830713572</v>
      </c>
      <c r="J141" s="9"/>
    </row>
    <row r="142" spans="1:10">
      <c r="A142" t="s">
        <v>588</v>
      </c>
      <c r="B142" s="60" t="s">
        <v>498</v>
      </c>
      <c r="C142">
        <v>3</v>
      </c>
      <c r="D142" s="360" t="str">
        <f t="shared" si="22"/>
        <v>Var3</v>
      </c>
      <c r="E142">
        <v>1102</v>
      </c>
      <c r="F142" t="s">
        <v>603</v>
      </c>
      <c r="G142">
        <v>104268703</v>
      </c>
      <c r="H142" s="363">
        <f t="shared" si="20"/>
        <v>-3</v>
      </c>
      <c r="I142" s="158">
        <f t="shared" si="21"/>
        <v>9.9929854733066134E-2</v>
      </c>
      <c r="J142" s="9"/>
    </row>
    <row r="143" spans="1:10">
      <c r="A143" t="s">
        <v>588</v>
      </c>
      <c r="B143" s="60" t="s">
        <v>498</v>
      </c>
      <c r="C143">
        <v>4</v>
      </c>
      <c r="D143" s="360" t="str">
        <f t="shared" si="22"/>
        <v>Var4</v>
      </c>
      <c r="E143">
        <v>2059</v>
      </c>
      <c r="F143" t="s">
        <v>1897</v>
      </c>
      <c r="G143">
        <v>81566384</v>
      </c>
      <c r="H143" s="363">
        <f t="shared" si="20"/>
        <v>-4</v>
      </c>
      <c r="I143" s="158">
        <f t="shared" si="21"/>
        <v>7.8172228767643639E-2</v>
      </c>
      <c r="J143" s="9"/>
    </row>
    <row r="144" spans="1:10">
      <c r="A144" t="s">
        <v>588</v>
      </c>
      <c r="B144" s="60" t="s">
        <v>498</v>
      </c>
      <c r="C144">
        <v>5</v>
      </c>
      <c r="D144" s="360" t="str">
        <f t="shared" si="22"/>
        <v>Var5</v>
      </c>
      <c r="E144">
        <v>3012</v>
      </c>
      <c r="F144" t="s">
        <v>1893</v>
      </c>
      <c r="G144">
        <v>35233430</v>
      </c>
      <c r="H144" s="363">
        <f t="shared" si="20"/>
        <v>-5</v>
      </c>
      <c r="I144" s="158">
        <f t="shared" si="21"/>
        <v>3.3767290091329269E-2</v>
      </c>
      <c r="J144" s="9"/>
    </row>
    <row r="145" spans="1:10">
      <c r="A145" t="s">
        <v>592</v>
      </c>
      <c r="B145" s="60" t="s">
        <v>499</v>
      </c>
      <c r="C145">
        <v>-1</v>
      </c>
      <c r="D145" s="360" t="str">
        <f>CONCATENATE($K$19,C145)</f>
        <v>Vaucluse-1</v>
      </c>
      <c r="E145">
        <v>1039</v>
      </c>
      <c r="F145" t="s">
        <v>1902</v>
      </c>
      <c r="G145">
        <v>105108517</v>
      </c>
      <c r="H145" s="363">
        <f t="shared" si="20"/>
        <v>1</v>
      </c>
      <c r="I145" s="158">
        <f t="shared" si="21"/>
        <v>5.1574213727334388E-2</v>
      </c>
      <c r="J145" s="9"/>
    </row>
    <row r="146" spans="1:10">
      <c r="A146" t="s">
        <v>592</v>
      </c>
      <c r="B146" s="60" t="s">
        <v>499</v>
      </c>
      <c r="C146">
        <v>-2</v>
      </c>
      <c r="D146" s="360" t="str">
        <f t="shared" ref="D146:D154" si="23">CONCATENATE($K$19,C146)</f>
        <v>Vaucluse-2</v>
      </c>
      <c r="E146">
        <v>128</v>
      </c>
      <c r="F146" s="361" t="s">
        <v>646</v>
      </c>
      <c r="G146">
        <v>89318486</v>
      </c>
      <c r="H146" s="363">
        <f t="shared" si="20"/>
        <v>2</v>
      </c>
      <c r="I146" s="158">
        <f t="shared" si="21"/>
        <v>4.3826426423330893E-2</v>
      </c>
      <c r="J146" s="9"/>
    </row>
    <row r="147" spans="1:10">
      <c r="A147" t="s">
        <v>592</v>
      </c>
      <c r="B147" s="60" t="s">
        <v>499</v>
      </c>
      <c r="C147">
        <v>-3</v>
      </c>
      <c r="D147" s="360" t="str">
        <f t="shared" si="23"/>
        <v>Vaucluse-3</v>
      </c>
      <c r="E147">
        <v>113</v>
      </c>
      <c r="F147" t="s">
        <v>1903</v>
      </c>
      <c r="G147">
        <v>68296090</v>
      </c>
      <c r="H147" s="363">
        <f t="shared" si="20"/>
        <v>3</v>
      </c>
      <c r="I147" s="158">
        <f t="shared" si="21"/>
        <v>3.3511243835751818E-2</v>
      </c>
      <c r="J147" s="9"/>
    </row>
    <row r="148" spans="1:10">
      <c r="A148" t="s">
        <v>592</v>
      </c>
      <c r="B148" s="60" t="s">
        <v>499</v>
      </c>
      <c r="C148">
        <v>-4</v>
      </c>
      <c r="D148" s="360" t="str">
        <f t="shared" si="23"/>
        <v>Vaucluse-4</v>
      </c>
      <c r="E148">
        <v>2932</v>
      </c>
      <c r="F148" t="s">
        <v>604</v>
      </c>
      <c r="G148">
        <v>64122559</v>
      </c>
      <c r="H148" s="363">
        <f t="shared" si="20"/>
        <v>4</v>
      </c>
      <c r="I148" s="158">
        <f t="shared" si="21"/>
        <v>3.1463392853403209E-2</v>
      </c>
      <c r="J148" s="9"/>
    </row>
    <row r="149" spans="1:10">
      <c r="A149" t="s">
        <v>592</v>
      </c>
      <c r="B149" s="60" t="s">
        <v>499</v>
      </c>
      <c r="C149">
        <v>-5</v>
      </c>
      <c r="D149" s="360" t="str">
        <f t="shared" si="23"/>
        <v>Vaucluse-5</v>
      </c>
      <c r="E149">
        <v>125</v>
      </c>
      <c r="F149" t="s">
        <v>1904</v>
      </c>
      <c r="G149">
        <v>60413665</v>
      </c>
      <c r="H149" s="363">
        <f t="shared" si="20"/>
        <v>5</v>
      </c>
      <c r="I149" s="158">
        <f t="shared" si="21"/>
        <v>2.9643528038375628E-2</v>
      </c>
      <c r="J149" s="9"/>
    </row>
    <row r="150" spans="1:10">
      <c r="A150" t="s">
        <v>588</v>
      </c>
      <c r="B150" s="60" t="s">
        <v>499</v>
      </c>
      <c r="C150">
        <v>1</v>
      </c>
      <c r="D150" s="360" t="str">
        <f t="shared" si="23"/>
        <v>Vaucluse1</v>
      </c>
      <c r="E150">
        <v>1102</v>
      </c>
      <c r="F150" t="s">
        <v>603</v>
      </c>
      <c r="G150">
        <v>252752774</v>
      </c>
      <c r="H150" s="363">
        <f t="shared" si="20"/>
        <v>-1</v>
      </c>
      <c r="I150" s="158">
        <f t="shared" si="21"/>
        <v>0.17142061046859949</v>
      </c>
      <c r="J150" s="9"/>
    </row>
    <row r="151" spans="1:10">
      <c r="A151" t="s">
        <v>588</v>
      </c>
      <c r="B151" s="60" t="s">
        <v>499</v>
      </c>
      <c r="C151">
        <v>2</v>
      </c>
      <c r="D151" s="360" t="str">
        <f t="shared" si="23"/>
        <v>Vaucluse2</v>
      </c>
      <c r="E151">
        <v>124</v>
      </c>
      <c r="F151" t="s">
        <v>1905</v>
      </c>
      <c r="G151">
        <v>140213645</v>
      </c>
      <c r="H151" s="363">
        <f t="shared" si="20"/>
        <v>-2</v>
      </c>
      <c r="I151" s="158">
        <f t="shared" si="21"/>
        <v>9.5094935028991981E-2</v>
      </c>
      <c r="J151" s="9"/>
    </row>
    <row r="152" spans="1:10">
      <c r="A152" t="s">
        <v>588</v>
      </c>
      <c r="B152" s="60" t="s">
        <v>499</v>
      </c>
      <c r="C152">
        <v>3</v>
      </c>
      <c r="D152" s="360" t="str">
        <f t="shared" si="23"/>
        <v>Vaucluse3</v>
      </c>
      <c r="E152">
        <v>1084</v>
      </c>
      <c r="F152" t="s">
        <v>619</v>
      </c>
      <c r="G152">
        <v>74744328</v>
      </c>
      <c r="H152" s="363">
        <f t="shared" si="20"/>
        <v>-3</v>
      </c>
      <c r="I152" s="158">
        <f t="shared" si="21"/>
        <v>5.069269124945483E-2</v>
      </c>
      <c r="J152" s="9"/>
    </row>
    <row r="153" spans="1:10">
      <c r="A153" t="s">
        <v>588</v>
      </c>
      <c r="B153" s="60" t="s">
        <v>499</v>
      </c>
      <c r="C153">
        <v>4</v>
      </c>
      <c r="D153" s="360" t="str">
        <f t="shared" si="23"/>
        <v>Vaucluse4</v>
      </c>
      <c r="E153">
        <v>2059</v>
      </c>
      <c r="F153" t="s">
        <v>1897</v>
      </c>
      <c r="G153">
        <v>65263022</v>
      </c>
      <c r="H153" s="363">
        <f t="shared" si="20"/>
        <v>-4</v>
      </c>
      <c r="I153" s="158">
        <f t="shared" si="21"/>
        <v>4.4262331507648023E-2</v>
      </c>
      <c r="J153" s="9"/>
    </row>
    <row r="154" spans="1:10">
      <c r="A154" t="s">
        <v>588</v>
      </c>
      <c r="B154" s="60" t="s">
        <v>499</v>
      </c>
      <c r="C154">
        <v>5</v>
      </c>
      <c r="D154" s="360" t="str">
        <f t="shared" si="23"/>
        <v>Vaucluse5</v>
      </c>
      <c r="E154">
        <v>113</v>
      </c>
      <c r="F154" t="s">
        <v>1903</v>
      </c>
      <c r="G154">
        <v>60239834</v>
      </c>
      <c r="H154" s="363">
        <f t="shared" si="20"/>
        <v>-5</v>
      </c>
      <c r="I154" s="158">
        <f t="shared" si="21"/>
        <v>4.0855532287084204E-2</v>
      </c>
      <c r="J154" s="9"/>
    </row>
    <row r="155" spans="1:10">
      <c r="A155" s="356"/>
      <c r="B155" s="356"/>
      <c r="C155" s="356"/>
      <c r="D155" s="368"/>
      <c r="E155" s="356"/>
      <c r="F155" s="369"/>
      <c r="G155" s="370"/>
      <c r="H155" s="370"/>
      <c r="I155" s="158"/>
      <c r="J155" s="9"/>
    </row>
    <row r="156" spans="1:10" s="129" customFormat="1">
      <c r="A156" s="137" t="s">
        <v>620</v>
      </c>
      <c r="B156" s="138"/>
      <c r="C156" s="138"/>
      <c r="D156" s="362"/>
      <c r="E156" s="138"/>
      <c r="F156" s="362"/>
      <c r="G156" s="362"/>
      <c r="H156" s="362"/>
      <c r="I156" s="138"/>
      <c r="J156" s="138"/>
    </row>
    <row r="157" spans="1:10">
      <c r="A157" s="137" t="s">
        <v>1473</v>
      </c>
      <c r="B157" s="138"/>
      <c r="C157" s="138"/>
      <c r="D157" s="362"/>
      <c r="E157" s="9"/>
      <c r="F157" s="136"/>
      <c r="G157" s="136"/>
      <c r="H157" s="136"/>
      <c r="I157" s="9"/>
      <c r="J157" s="9"/>
    </row>
    <row r="158" spans="1:10">
      <c r="A158" s="376"/>
      <c r="B158" s="81"/>
      <c r="C158" s="81"/>
      <c r="D158" s="234"/>
      <c r="E158" s="9"/>
      <c r="F158" s="136"/>
      <c r="G158" s="136"/>
      <c r="H158" s="136"/>
      <c r="I158" s="9"/>
      <c r="J158" s="9"/>
    </row>
    <row r="159" spans="1:10">
      <c r="A159" s="376"/>
      <c r="B159" s="81"/>
      <c r="C159" s="81"/>
      <c r="D159" s="234"/>
      <c r="E159" s="9"/>
      <c r="F159" s="136"/>
      <c r="G159" s="136"/>
      <c r="H159" s="136"/>
      <c r="I159" s="9"/>
      <c r="J159" s="9"/>
    </row>
    <row r="160" spans="1:10" s="128" customFormat="1">
      <c r="A160" s="136"/>
      <c r="C160" s="136" t="s">
        <v>578</v>
      </c>
      <c r="D160" s="128" t="s">
        <v>568</v>
      </c>
      <c r="E160" s="136" t="s">
        <v>621</v>
      </c>
      <c r="F160" s="136" t="s">
        <v>1132</v>
      </c>
      <c r="G160" s="136" t="s">
        <v>1133</v>
      </c>
      <c r="H160" s="372"/>
    </row>
    <row r="161" spans="1:12">
      <c r="A161" s="127">
        <v>1</v>
      </c>
      <c r="C161" s="135" t="s">
        <v>1906</v>
      </c>
      <c r="D161" s="128">
        <v>1</v>
      </c>
      <c r="E161" s="128" t="s">
        <v>624</v>
      </c>
      <c r="F161" s="128">
        <v>1063644125</v>
      </c>
      <c r="G161" s="371">
        <v>0.21019944722936659</v>
      </c>
      <c r="H161" s="373"/>
      <c r="I161" s="128"/>
      <c r="J161" s="128"/>
      <c r="K161" s="128"/>
      <c r="L161" s="371"/>
    </row>
    <row r="162" spans="1:12">
      <c r="A162" s="127">
        <v>2</v>
      </c>
      <c r="C162" s="135" t="s">
        <v>1907</v>
      </c>
      <c r="D162" s="128">
        <v>2</v>
      </c>
      <c r="E162" s="128" t="s">
        <v>622</v>
      </c>
      <c r="F162" s="128">
        <v>709552870</v>
      </c>
      <c r="G162" s="371">
        <v>0.11558895139183292</v>
      </c>
      <c r="H162" s="373"/>
      <c r="I162" s="128"/>
      <c r="J162" s="128"/>
      <c r="K162" s="128"/>
      <c r="L162" s="371"/>
    </row>
    <row r="163" spans="1:12">
      <c r="A163" s="127">
        <v>3</v>
      </c>
      <c r="C163" s="135" t="s">
        <v>1908</v>
      </c>
      <c r="D163" s="128">
        <v>3</v>
      </c>
      <c r="E163" s="128" t="s">
        <v>625</v>
      </c>
      <c r="F163" s="128">
        <v>467081465</v>
      </c>
      <c r="G163" s="371">
        <v>0.11447674349737413</v>
      </c>
      <c r="H163" s="373"/>
      <c r="I163" s="128"/>
      <c r="J163" s="128"/>
      <c r="K163" s="128"/>
      <c r="L163" s="371"/>
    </row>
    <row r="164" spans="1:12">
      <c r="A164" s="127">
        <v>1</v>
      </c>
      <c r="C164" s="135" t="s">
        <v>1088</v>
      </c>
      <c r="D164" s="128">
        <v>1</v>
      </c>
      <c r="E164" s="128" t="s">
        <v>624</v>
      </c>
      <c r="F164" s="128">
        <v>3504637350</v>
      </c>
      <c r="G164" s="371">
        <v>0.11592074907422567</v>
      </c>
      <c r="H164" s="373"/>
      <c r="I164" s="128"/>
      <c r="J164" s="128"/>
      <c r="K164" s="128"/>
      <c r="L164" s="371"/>
    </row>
    <row r="165" spans="1:12">
      <c r="A165" s="127">
        <v>2</v>
      </c>
      <c r="C165" s="135" t="s">
        <v>1089</v>
      </c>
      <c r="D165" s="128">
        <v>2</v>
      </c>
      <c r="E165" s="128" t="s">
        <v>629</v>
      </c>
      <c r="F165" s="128">
        <v>2690959111</v>
      </c>
      <c r="G165" s="371">
        <v>0.10942927992410713</v>
      </c>
      <c r="H165" s="373"/>
      <c r="I165" s="128"/>
      <c r="J165" s="128"/>
      <c r="K165" s="128"/>
      <c r="L165" s="371"/>
    </row>
    <row r="166" spans="1:12">
      <c r="A166" s="127">
        <v>3</v>
      </c>
      <c r="C166" s="135" t="s">
        <v>1090</v>
      </c>
      <c r="D166" s="128">
        <v>3</v>
      </c>
      <c r="E166" s="128" t="s">
        <v>627</v>
      </c>
      <c r="F166" s="128">
        <v>2602390372</v>
      </c>
      <c r="G166" s="371">
        <v>8.9114125823099813E-2</v>
      </c>
      <c r="H166" s="373"/>
      <c r="I166" s="128"/>
      <c r="J166" s="128"/>
      <c r="K166" s="128"/>
      <c r="L166" s="371"/>
    </row>
    <row r="167" spans="1:12">
      <c r="A167" s="127">
        <v>1</v>
      </c>
      <c r="C167" s="135" t="s">
        <v>1091</v>
      </c>
      <c r="D167" s="128">
        <v>1</v>
      </c>
      <c r="E167" s="128" t="s">
        <v>622</v>
      </c>
      <c r="F167" s="128">
        <v>7290392707</v>
      </c>
      <c r="G167" s="371">
        <v>0.47110946650056962</v>
      </c>
      <c r="H167" s="373"/>
      <c r="I167" s="128"/>
      <c r="J167" s="128"/>
      <c r="K167" s="128"/>
      <c r="L167" s="371"/>
    </row>
    <row r="168" spans="1:12">
      <c r="A168" s="127">
        <v>2</v>
      </c>
      <c r="C168" s="135" t="s">
        <v>1092</v>
      </c>
      <c r="D168" s="128">
        <v>2</v>
      </c>
      <c r="E168" s="128" t="s">
        <v>627</v>
      </c>
      <c r="F168" s="128">
        <v>4878792231</v>
      </c>
      <c r="G168" s="371">
        <v>0.12688233659775314</v>
      </c>
      <c r="H168" s="373"/>
      <c r="I168" s="128"/>
      <c r="J168" s="128"/>
      <c r="K168" s="128"/>
      <c r="L168" s="371"/>
    </row>
    <row r="169" spans="1:12">
      <c r="A169" s="127">
        <v>3</v>
      </c>
      <c r="C169" s="135" t="s">
        <v>1093</v>
      </c>
      <c r="D169" s="128">
        <v>3</v>
      </c>
      <c r="E169" s="128" t="s">
        <v>626</v>
      </c>
      <c r="F169" s="128">
        <v>3057608900</v>
      </c>
      <c r="G169" s="371">
        <v>0.11344372062151514</v>
      </c>
      <c r="H169" s="373"/>
      <c r="I169" s="128"/>
      <c r="J169" s="128"/>
      <c r="K169" s="128"/>
      <c r="L169" s="371"/>
    </row>
    <row r="170" spans="1:12">
      <c r="A170" s="127">
        <v>1</v>
      </c>
      <c r="C170" s="135" t="s">
        <v>1094</v>
      </c>
      <c r="D170" s="128">
        <v>1</v>
      </c>
      <c r="E170" s="128" t="s">
        <v>622</v>
      </c>
      <c r="F170" s="128">
        <v>3126459846</v>
      </c>
      <c r="G170" s="371">
        <v>0.26386062297239815</v>
      </c>
      <c r="H170" s="373"/>
      <c r="I170" s="128"/>
      <c r="J170" s="128"/>
      <c r="K170" s="128"/>
      <c r="L170" s="371"/>
    </row>
    <row r="171" spans="1:12">
      <c r="A171" s="127">
        <v>2</v>
      </c>
      <c r="C171" s="135" t="s">
        <v>1095</v>
      </c>
      <c r="D171" s="128">
        <v>2</v>
      </c>
      <c r="E171" s="128" t="s">
        <v>625</v>
      </c>
      <c r="F171" s="128">
        <v>1339373848</v>
      </c>
      <c r="G171" s="371">
        <v>0.11980626268340494</v>
      </c>
      <c r="H171" s="373"/>
      <c r="I171" s="128"/>
      <c r="J171" s="128"/>
      <c r="K171" s="128"/>
      <c r="L171" s="371"/>
    </row>
    <row r="172" spans="1:12">
      <c r="A172" s="127">
        <v>3</v>
      </c>
      <c r="C172" s="135" t="s">
        <v>1096</v>
      </c>
      <c r="D172" s="128">
        <v>3</v>
      </c>
      <c r="E172" s="128" t="s">
        <v>628</v>
      </c>
      <c r="F172" s="128">
        <v>1251708046</v>
      </c>
      <c r="G172" s="371">
        <v>0.11720185121766859</v>
      </c>
      <c r="H172" s="373"/>
      <c r="I172" s="128"/>
      <c r="J172" s="128"/>
      <c r="K172" s="128"/>
      <c r="L172" s="371"/>
    </row>
    <row r="173" spans="1:12">
      <c r="A173" s="127">
        <v>1</v>
      </c>
      <c r="C173" s="135" t="s">
        <v>1097</v>
      </c>
      <c r="D173" s="128">
        <v>1</v>
      </c>
      <c r="E173" s="128" t="s">
        <v>628</v>
      </c>
      <c r="F173" s="128">
        <v>803186761</v>
      </c>
      <c r="G173" s="371">
        <v>0.16175281959328716</v>
      </c>
      <c r="H173" s="373"/>
      <c r="I173" s="128"/>
      <c r="J173" s="128"/>
      <c r="K173" s="128"/>
      <c r="L173" s="371"/>
    </row>
    <row r="174" spans="1:12">
      <c r="A174" s="127">
        <v>2</v>
      </c>
      <c r="C174" s="135" t="s">
        <v>1098</v>
      </c>
      <c r="D174" s="128">
        <v>2</v>
      </c>
      <c r="E174" s="128" t="s">
        <v>632</v>
      </c>
      <c r="F174" s="128">
        <v>603049424</v>
      </c>
      <c r="G174" s="371">
        <v>0.12553986399586387</v>
      </c>
      <c r="H174" s="373"/>
      <c r="I174" s="128"/>
      <c r="J174" s="128"/>
      <c r="K174" s="128"/>
      <c r="L174" s="371"/>
    </row>
    <row r="175" spans="1:12">
      <c r="A175" s="127">
        <v>3</v>
      </c>
      <c r="C175" s="135" t="s">
        <v>1099</v>
      </c>
      <c r="D175" s="128">
        <v>3</v>
      </c>
      <c r="E175" s="128" t="s">
        <v>622</v>
      </c>
      <c r="F175" s="128">
        <v>447386509</v>
      </c>
      <c r="G175" s="371">
        <v>0.11420698862720721</v>
      </c>
      <c r="H175" s="373"/>
      <c r="I175" s="128"/>
      <c r="J175" s="128"/>
      <c r="K175" s="128"/>
      <c r="L175" s="371"/>
    </row>
    <row r="176" spans="1:12">
      <c r="A176" s="127">
        <v>1</v>
      </c>
      <c r="C176" s="135" t="s">
        <v>1100</v>
      </c>
      <c r="D176" s="128">
        <v>1</v>
      </c>
      <c r="E176" s="128" t="s">
        <v>625</v>
      </c>
      <c r="F176" s="128">
        <v>1428037693</v>
      </c>
      <c r="G176" s="371">
        <v>0.18957856028185147</v>
      </c>
      <c r="H176" s="373"/>
      <c r="I176" s="128"/>
      <c r="J176" s="128"/>
      <c r="K176" s="128"/>
      <c r="L176" s="371"/>
    </row>
    <row r="177" spans="1:12">
      <c r="A177" s="127">
        <v>2</v>
      </c>
      <c r="C177" s="135" t="s">
        <v>1101</v>
      </c>
      <c r="D177" s="128">
        <v>2</v>
      </c>
      <c r="E177" s="128" t="s">
        <v>636</v>
      </c>
      <c r="F177" s="128">
        <v>743593334</v>
      </c>
      <c r="G177" s="371">
        <v>0.10771716689437073</v>
      </c>
      <c r="H177" s="373"/>
      <c r="I177" s="128"/>
      <c r="J177" s="128"/>
      <c r="K177" s="128"/>
      <c r="L177" s="371"/>
    </row>
    <row r="178" spans="1:12">
      <c r="A178" s="127">
        <v>3</v>
      </c>
      <c r="C178" s="135" t="s">
        <v>1102</v>
      </c>
      <c r="D178" s="128">
        <v>3</v>
      </c>
      <c r="E178" s="128" t="s">
        <v>628</v>
      </c>
      <c r="F178" s="128">
        <v>705876614</v>
      </c>
      <c r="G178" s="371">
        <v>0.10032301830984036</v>
      </c>
      <c r="H178" s="373"/>
      <c r="I178" s="128"/>
      <c r="J178" s="128"/>
      <c r="K178" s="128"/>
      <c r="L178" s="371"/>
    </row>
    <row r="179" spans="1:12">
      <c r="A179" s="127">
        <v>1</v>
      </c>
      <c r="C179" s="135" t="s">
        <v>1103</v>
      </c>
      <c r="D179" s="128">
        <v>1</v>
      </c>
      <c r="E179" s="128" t="s">
        <v>625</v>
      </c>
      <c r="F179" s="128">
        <v>2944168149</v>
      </c>
      <c r="G179" s="371">
        <v>0.16344552114503505</v>
      </c>
      <c r="H179" s="373"/>
      <c r="I179" s="128"/>
      <c r="J179" s="128"/>
      <c r="K179" s="128"/>
      <c r="L179" s="371"/>
    </row>
    <row r="180" spans="1:12">
      <c r="A180" s="127">
        <v>2</v>
      </c>
      <c r="C180" s="135" t="s">
        <v>1104</v>
      </c>
      <c r="D180" s="128">
        <v>2</v>
      </c>
      <c r="E180" s="128" t="s">
        <v>627</v>
      </c>
      <c r="F180" s="128">
        <v>2356755489</v>
      </c>
      <c r="G180" s="371">
        <v>0.14058138795443118</v>
      </c>
      <c r="H180" s="373"/>
      <c r="I180" s="128"/>
      <c r="J180" s="128"/>
      <c r="K180" s="128"/>
      <c r="L180" s="371"/>
    </row>
    <row r="181" spans="1:12">
      <c r="A181" s="127">
        <v>3</v>
      </c>
      <c r="C181" s="135" t="s">
        <v>1105</v>
      </c>
      <c r="D181" s="128">
        <v>3</v>
      </c>
      <c r="E181" s="128" t="s">
        <v>624</v>
      </c>
      <c r="F181" s="128">
        <v>2329520176</v>
      </c>
      <c r="G181" s="371">
        <v>0.1255017208967027</v>
      </c>
      <c r="H181" s="373"/>
      <c r="I181" s="128"/>
      <c r="J181" s="128"/>
      <c r="K181" s="128"/>
      <c r="L181" s="371"/>
    </row>
    <row r="182" spans="1:12">
      <c r="A182" s="127">
        <v>1</v>
      </c>
      <c r="C182" s="135" t="s">
        <v>1106</v>
      </c>
      <c r="D182" s="128">
        <v>1</v>
      </c>
      <c r="E182" s="374" t="s">
        <v>625</v>
      </c>
      <c r="F182" s="128">
        <v>2456217600</v>
      </c>
      <c r="G182" s="371">
        <v>0.16447930297530727</v>
      </c>
      <c r="H182" s="373"/>
      <c r="I182" s="374"/>
      <c r="J182" s="374"/>
      <c r="K182" s="128"/>
      <c r="L182" s="371"/>
    </row>
    <row r="183" spans="1:12">
      <c r="A183" s="127">
        <v>2</v>
      </c>
      <c r="C183" s="135" t="s">
        <v>1107</v>
      </c>
      <c r="D183" s="128">
        <v>2</v>
      </c>
      <c r="E183" s="374" t="s">
        <v>622</v>
      </c>
      <c r="F183" s="128">
        <v>2143841423</v>
      </c>
      <c r="G183" s="375">
        <v>7.5650781143121973E-2</v>
      </c>
      <c r="H183" s="373"/>
      <c r="I183" s="374"/>
      <c r="J183" s="374"/>
      <c r="K183" s="128"/>
      <c r="L183" s="375"/>
    </row>
    <row r="184" spans="1:12">
      <c r="A184" s="127">
        <v>3</v>
      </c>
      <c r="C184" s="135" t="s">
        <v>1108</v>
      </c>
      <c r="D184" s="128">
        <v>3</v>
      </c>
      <c r="E184" s="374" t="s">
        <v>626</v>
      </c>
      <c r="F184" s="128">
        <v>1095206627</v>
      </c>
      <c r="G184" s="375">
        <v>7.2863537949043516E-2</v>
      </c>
      <c r="H184" s="373"/>
      <c r="I184" s="374"/>
      <c r="J184" s="374"/>
      <c r="K184" s="128"/>
      <c r="L184" s="375"/>
    </row>
    <row r="185" spans="1:12">
      <c r="A185" s="127">
        <v>1</v>
      </c>
      <c r="C185" s="135" t="s">
        <v>1109</v>
      </c>
      <c r="D185" s="128">
        <v>1</v>
      </c>
      <c r="E185" s="374" t="s">
        <v>636</v>
      </c>
      <c r="F185" s="128">
        <v>9687614813</v>
      </c>
      <c r="G185" s="371">
        <v>0.258230989887068</v>
      </c>
      <c r="H185" s="373"/>
      <c r="I185" s="374"/>
      <c r="J185" s="374"/>
      <c r="K185" s="128"/>
      <c r="L185" s="371"/>
    </row>
    <row r="186" spans="1:12">
      <c r="A186" s="127">
        <v>2</v>
      </c>
      <c r="C186" s="135" t="s">
        <v>1110</v>
      </c>
      <c r="D186" s="128">
        <v>2</v>
      </c>
      <c r="E186" s="374" t="s">
        <v>625</v>
      </c>
      <c r="F186" s="128">
        <v>6271938072</v>
      </c>
      <c r="G186" s="371">
        <v>0.16300265416453369</v>
      </c>
      <c r="H186" s="373"/>
      <c r="I186" s="374"/>
      <c r="J186" s="374"/>
      <c r="K186" s="128"/>
      <c r="L186" s="371"/>
    </row>
    <row r="187" spans="1:12">
      <c r="A187" s="127">
        <v>3</v>
      </c>
      <c r="C187" s="135" t="s">
        <v>1111</v>
      </c>
      <c r="D187" s="128">
        <v>3</v>
      </c>
      <c r="E187" s="374" t="s">
        <v>627</v>
      </c>
      <c r="F187" s="128">
        <v>3630212897</v>
      </c>
      <c r="G187" s="371">
        <v>9.6928623724392593E-2</v>
      </c>
      <c r="H187" s="373"/>
      <c r="I187" s="374"/>
      <c r="J187" s="374"/>
      <c r="K187" s="128"/>
      <c r="L187" s="371"/>
    </row>
    <row r="188" spans="1:12">
      <c r="A188" s="127">
        <v>1</v>
      </c>
      <c r="C188" s="135" t="s">
        <v>1470</v>
      </c>
      <c r="D188" s="128">
        <v>1</v>
      </c>
      <c r="E188" s="128" t="s">
        <v>636</v>
      </c>
      <c r="F188" s="128">
        <v>3006513743</v>
      </c>
      <c r="G188" s="371">
        <v>0.20143007150075606</v>
      </c>
      <c r="H188" s="373"/>
      <c r="I188" s="128"/>
      <c r="J188" s="128"/>
      <c r="K188" s="128"/>
      <c r="L188" s="371"/>
    </row>
    <row r="189" spans="1:12">
      <c r="A189" s="127">
        <v>2</v>
      </c>
      <c r="C189" s="135" t="s">
        <v>1471</v>
      </c>
      <c r="D189" s="128">
        <v>2</v>
      </c>
      <c r="E189" s="128" t="s">
        <v>625</v>
      </c>
      <c r="F189" s="128">
        <v>2794974233</v>
      </c>
      <c r="G189" s="371">
        <v>0.17213530801954963</v>
      </c>
      <c r="H189" s="373"/>
      <c r="I189" s="128"/>
      <c r="J189" s="128"/>
      <c r="K189" s="128"/>
      <c r="L189" s="371"/>
    </row>
    <row r="190" spans="1:12">
      <c r="A190" s="127">
        <v>3</v>
      </c>
      <c r="C190" s="135" t="s">
        <v>1472</v>
      </c>
      <c r="D190" s="128">
        <v>3</v>
      </c>
      <c r="E190" s="128" t="s">
        <v>626</v>
      </c>
      <c r="F190" s="128">
        <v>1755243049</v>
      </c>
      <c r="G190" s="371">
        <v>9.7732799876392801E-2</v>
      </c>
      <c r="H190" s="373"/>
      <c r="I190" s="128"/>
      <c r="J190" s="128"/>
      <c r="K190" s="128"/>
      <c r="L190" s="371"/>
    </row>
    <row r="191" spans="1:12">
      <c r="A191" s="127">
        <v>1</v>
      </c>
      <c r="C191" s="135" t="s">
        <v>1112</v>
      </c>
      <c r="D191" s="128">
        <v>1</v>
      </c>
      <c r="E191" s="128" t="s">
        <v>625</v>
      </c>
      <c r="F191" s="128">
        <v>12906384956</v>
      </c>
      <c r="G191" s="371">
        <v>0.44024230792092595</v>
      </c>
      <c r="H191" s="373"/>
      <c r="I191" s="128"/>
      <c r="J191" s="128"/>
      <c r="K191" s="128"/>
      <c r="L191" s="371"/>
    </row>
    <row r="192" spans="1:12">
      <c r="A192" s="127">
        <v>2</v>
      </c>
      <c r="C192" s="135" t="s">
        <v>1113</v>
      </c>
      <c r="D192" s="128">
        <v>2</v>
      </c>
      <c r="E192" s="128" t="s">
        <v>622</v>
      </c>
      <c r="F192" s="128">
        <v>3288861679</v>
      </c>
      <c r="G192" s="371">
        <v>0.10531695169053733</v>
      </c>
      <c r="H192" s="373"/>
      <c r="I192" s="128"/>
      <c r="J192" s="128"/>
      <c r="K192" s="128"/>
      <c r="L192" s="371"/>
    </row>
    <row r="193" spans="1:12">
      <c r="A193" s="127">
        <v>3</v>
      </c>
      <c r="C193" s="135" t="s">
        <v>1114</v>
      </c>
      <c r="D193" s="128">
        <v>3</v>
      </c>
      <c r="E193" s="128" t="s">
        <v>624</v>
      </c>
      <c r="F193" s="128">
        <v>2064276832</v>
      </c>
      <c r="G193" s="371">
        <v>7.3897381622652317E-2</v>
      </c>
      <c r="H193" s="373"/>
      <c r="I193" s="128"/>
      <c r="J193" s="128"/>
      <c r="K193" s="128"/>
      <c r="L193" s="371"/>
    </row>
    <row r="194" spans="1:12">
      <c r="A194" s="127">
        <v>1</v>
      </c>
      <c r="C194" s="135" t="s">
        <v>1115</v>
      </c>
      <c r="D194" s="128">
        <v>1</v>
      </c>
      <c r="E194" s="128" t="s">
        <v>625</v>
      </c>
      <c r="F194" s="128">
        <v>5628557678</v>
      </c>
      <c r="G194" s="371">
        <v>0.2217753611315896</v>
      </c>
      <c r="H194" s="373"/>
      <c r="I194" s="128"/>
      <c r="J194" s="128"/>
      <c r="K194" s="128"/>
      <c r="L194" s="371"/>
    </row>
    <row r="195" spans="1:12">
      <c r="A195" s="127">
        <v>2</v>
      </c>
      <c r="C195" s="135" t="s">
        <v>1116</v>
      </c>
      <c r="D195" s="128">
        <v>2</v>
      </c>
      <c r="E195" s="128" t="s">
        <v>624</v>
      </c>
      <c r="F195" s="128">
        <v>3683327521</v>
      </c>
      <c r="G195" s="371">
        <v>0.13327650157375454</v>
      </c>
      <c r="H195" s="373"/>
      <c r="I195" s="128"/>
      <c r="J195" s="128"/>
      <c r="K195" s="128"/>
      <c r="L195" s="371"/>
    </row>
    <row r="196" spans="1:12">
      <c r="A196" s="127">
        <v>3</v>
      </c>
      <c r="C196" s="135" t="s">
        <v>1117</v>
      </c>
      <c r="D196" s="128">
        <v>3</v>
      </c>
      <c r="E196" s="128" t="s">
        <v>628</v>
      </c>
      <c r="F196" s="128">
        <v>2459973311</v>
      </c>
      <c r="G196" s="371">
        <v>9.3605699714474425E-2</v>
      </c>
      <c r="H196" s="373"/>
      <c r="I196" s="128"/>
      <c r="J196" s="128"/>
      <c r="K196" s="128"/>
      <c r="L196" s="371"/>
    </row>
    <row r="197" spans="1:12">
      <c r="A197" s="127">
        <v>1</v>
      </c>
      <c r="C197" s="135" t="s">
        <v>1118</v>
      </c>
      <c r="D197" s="128">
        <v>1</v>
      </c>
      <c r="E197" s="128" t="s">
        <v>625</v>
      </c>
      <c r="F197" s="128">
        <v>3176336023</v>
      </c>
      <c r="G197" s="371">
        <v>0.10691771206398629</v>
      </c>
      <c r="H197" s="373"/>
      <c r="I197" s="128"/>
      <c r="J197" s="128"/>
      <c r="K197" s="128"/>
      <c r="L197" s="371"/>
    </row>
    <row r="198" spans="1:12">
      <c r="A198" s="127">
        <v>2</v>
      </c>
      <c r="C198" s="135" t="s">
        <v>1119</v>
      </c>
      <c r="D198" s="128">
        <v>2</v>
      </c>
      <c r="E198" s="128" t="s">
        <v>638</v>
      </c>
      <c r="F198" s="128">
        <v>3101293730</v>
      </c>
      <c r="G198" s="371">
        <v>0.10591883469772696</v>
      </c>
      <c r="H198" s="373"/>
      <c r="I198" s="128"/>
      <c r="J198" s="128"/>
      <c r="K198" s="128"/>
      <c r="L198" s="371"/>
    </row>
    <row r="199" spans="1:12">
      <c r="A199" s="127">
        <v>3</v>
      </c>
      <c r="C199" s="135" t="s">
        <v>1120</v>
      </c>
      <c r="D199" s="128">
        <v>3</v>
      </c>
      <c r="E199" s="128" t="s">
        <v>636</v>
      </c>
      <c r="F199" s="128">
        <v>2820454836</v>
      </c>
      <c r="G199" s="371">
        <v>8.9950352955511403E-2</v>
      </c>
      <c r="H199" s="373"/>
      <c r="I199" s="128"/>
      <c r="J199" s="128"/>
      <c r="K199" s="128"/>
      <c r="L199" s="371"/>
    </row>
    <row r="200" spans="1:12">
      <c r="A200" s="127">
        <v>1</v>
      </c>
      <c r="C200" s="135" t="s">
        <v>1121</v>
      </c>
      <c r="D200" s="128">
        <v>1</v>
      </c>
      <c r="E200" s="128" t="s">
        <v>624</v>
      </c>
      <c r="F200" s="128">
        <v>375458969</v>
      </c>
      <c r="G200" s="371">
        <v>0.15490499714005626</v>
      </c>
      <c r="H200" s="373"/>
      <c r="I200" s="128"/>
      <c r="J200" s="128"/>
      <c r="K200" s="128"/>
      <c r="L200" s="371"/>
    </row>
    <row r="201" spans="1:12">
      <c r="A201" s="127">
        <v>2</v>
      </c>
      <c r="C201" s="135" t="s">
        <v>1122</v>
      </c>
      <c r="D201" s="128">
        <v>2</v>
      </c>
      <c r="E201" s="128" t="s">
        <v>625</v>
      </c>
      <c r="F201" s="128">
        <v>221264816</v>
      </c>
      <c r="G201" s="371">
        <v>0.10458108385215087</v>
      </c>
      <c r="H201" s="373"/>
      <c r="I201" s="128"/>
      <c r="J201" s="128"/>
      <c r="K201" s="128"/>
      <c r="L201" s="371"/>
    </row>
    <row r="202" spans="1:12">
      <c r="A202" s="127">
        <v>3</v>
      </c>
      <c r="C202" s="135" t="s">
        <v>1123</v>
      </c>
      <c r="D202" s="128">
        <v>3</v>
      </c>
      <c r="E202" s="128" t="s">
        <v>642</v>
      </c>
      <c r="F202" s="128">
        <v>146946422</v>
      </c>
      <c r="G202" s="371">
        <v>6.7613866933006722E-2</v>
      </c>
      <c r="H202" s="373"/>
      <c r="I202" s="128"/>
      <c r="J202" s="128"/>
      <c r="K202" s="128"/>
      <c r="L202" s="371"/>
    </row>
    <row r="203" spans="1:12">
      <c r="A203" s="127">
        <v>1</v>
      </c>
      <c r="C203" s="135" t="s">
        <v>1124</v>
      </c>
      <c r="D203" s="128">
        <v>1</v>
      </c>
      <c r="E203" s="128" t="s">
        <v>624</v>
      </c>
      <c r="F203" s="128">
        <v>443321935</v>
      </c>
      <c r="G203" s="371">
        <v>0.16199140888100005</v>
      </c>
      <c r="H203" s="373"/>
      <c r="I203" s="128"/>
      <c r="J203" s="128"/>
      <c r="K203" s="128"/>
      <c r="L203" s="371"/>
    </row>
    <row r="204" spans="1:12">
      <c r="A204" s="127">
        <v>2</v>
      </c>
      <c r="C204" s="135" t="s">
        <v>1125</v>
      </c>
      <c r="D204" s="128">
        <v>2</v>
      </c>
      <c r="E204" s="128" t="s">
        <v>628</v>
      </c>
      <c r="F204" s="128">
        <v>392172630</v>
      </c>
      <c r="G204" s="371">
        <v>0.1444026870312794</v>
      </c>
      <c r="H204" s="373"/>
      <c r="I204" s="128"/>
      <c r="J204" s="128"/>
      <c r="K204" s="128"/>
      <c r="L204" s="371"/>
    </row>
    <row r="205" spans="1:12">
      <c r="A205" s="127">
        <v>3</v>
      </c>
      <c r="C205" s="135" t="s">
        <v>1126</v>
      </c>
      <c r="D205" s="128">
        <v>3</v>
      </c>
      <c r="E205" s="128" t="s">
        <v>625</v>
      </c>
      <c r="F205" s="128">
        <v>381963860</v>
      </c>
      <c r="G205" s="371">
        <v>0.1346557619908304</v>
      </c>
      <c r="H205" s="373"/>
      <c r="I205" s="128"/>
      <c r="J205" s="128"/>
      <c r="K205" s="128"/>
      <c r="L205" s="371"/>
    </row>
    <row r="206" spans="1:12">
      <c r="A206" s="9"/>
      <c r="B206" s="9"/>
      <c r="C206" s="9"/>
      <c r="D206" s="136"/>
      <c r="E206" s="9"/>
      <c r="F206" s="136"/>
      <c r="G206" s="136"/>
      <c r="H206" s="136"/>
      <c r="I206" s="9"/>
      <c r="J206" s="9"/>
    </row>
    <row r="207" spans="1:12">
      <c r="A207" s="9"/>
      <c r="B207" s="9"/>
      <c r="C207" s="9"/>
      <c r="D207" s="136"/>
      <c r="E207" s="9"/>
      <c r="F207" s="136"/>
      <c r="G207" s="136"/>
      <c r="H207" s="136"/>
      <c r="I207" s="9"/>
      <c r="J207" s="9"/>
    </row>
    <row r="208" spans="1:12">
      <c r="A208" s="9"/>
      <c r="B208" s="9"/>
      <c r="C208" s="9"/>
      <c r="D208" s="136"/>
      <c r="E208" s="9"/>
      <c r="F208" s="136"/>
      <c r="G208" s="136"/>
      <c r="H208" s="136"/>
      <c r="I208" s="9"/>
      <c r="J208" s="9"/>
    </row>
    <row r="209" spans="1:14">
      <c r="A209" s="9"/>
      <c r="B209" s="9"/>
      <c r="C209" s="9"/>
      <c r="D209" s="136"/>
      <c r="E209" s="9"/>
      <c r="F209" s="136"/>
      <c r="G209" s="136"/>
      <c r="H209" s="136"/>
      <c r="I209" s="9"/>
      <c r="J209" s="9"/>
    </row>
    <row r="210" spans="1:14">
      <c r="A210" s="9"/>
      <c r="B210" s="9"/>
      <c r="C210" s="9"/>
      <c r="D210" s="136"/>
      <c r="E210" s="9"/>
      <c r="F210" s="136"/>
      <c r="G210" s="136"/>
      <c r="H210" s="136"/>
      <c r="I210" s="9"/>
      <c r="J210" s="9"/>
    </row>
    <row r="211" spans="1:14">
      <c r="A211" s="9"/>
      <c r="B211" s="9"/>
      <c r="C211" s="9"/>
      <c r="D211" s="136"/>
      <c r="E211" s="9"/>
      <c r="F211" s="136"/>
      <c r="G211" s="136"/>
      <c r="H211" s="136"/>
      <c r="I211" s="9"/>
      <c r="J211" s="9"/>
    </row>
    <row r="212" spans="1:14">
      <c r="A212" s="9"/>
      <c r="B212" s="9"/>
      <c r="C212" s="9"/>
      <c r="D212" s="136"/>
      <c r="E212" s="9"/>
      <c r="F212" s="136"/>
      <c r="G212" s="136"/>
      <c r="H212" s="136"/>
      <c r="I212" s="9"/>
      <c r="J212" s="9"/>
    </row>
    <row r="213" spans="1:14">
      <c r="A213" s="9"/>
      <c r="B213" s="9"/>
      <c r="C213" s="9"/>
      <c r="D213" s="136"/>
      <c r="E213" s="9"/>
      <c r="F213" s="136"/>
      <c r="G213" s="136"/>
      <c r="H213" s="136"/>
      <c r="I213" s="9"/>
      <c r="J213" s="9"/>
    </row>
    <row r="214" spans="1:14">
      <c r="A214" s="9"/>
      <c r="B214" s="9"/>
      <c r="C214" s="9"/>
      <c r="D214" s="136"/>
      <c r="E214" s="9"/>
      <c r="F214" s="136"/>
      <c r="G214" s="136"/>
      <c r="H214" s="136"/>
      <c r="I214" s="9"/>
      <c r="J214" s="9"/>
    </row>
    <row r="215" spans="1:14" ht="45">
      <c r="A215" s="139" t="s">
        <v>578</v>
      </c>
      <c r="B215" s="139" t="s">
        <v>568</v>
      </c>
      <c r="C215" s="139"/>
      <c r="D215" s="139" t="s">
        <v>643</v>
      </c>
      <c r="E215" s="139" t="s">
        <v>621</v>
      </c>
      <c r="F215" s="139" t="s">
        <v>580</v>
      </c>
      <c r="G215" s="139" t="s">
        <v>581</v>
      </c>
      <c r="H215" s="365" t="s">
        <v>582</v>
      </c>
      <c r="I215" s="140" t="s">
        <v>583</v>
      </c>
      <c r="J215" s="9"/>
      <c r="L215" t="s">
        <v>584</v>
      </c>
      <c r="M215" t="s">
        <v>585</v>
      </c>
      <c r="N215" t="s">
        <v>586</v>
      </c>
    </row>
    <row r="216" spans="1:14">
      <c r="A216" s="141" t="s">
        <v>486</v>
      </c>
      <c r="B216" s="141">
        <v>1</v>
      </c>
      <c r="C216" s="141"/>
      <c r="D216" s="367"/>
      <c r="E216" s="141" t="s">
        <v>622</v>
      </c>
      <c r="F216" s="142">
        <v>408022549</v>
      </c>
      <c r="G216" s="366" t="s">
        <v>588</v>
      </c>
      <c r="H216" s="364">
        <f>F216/$L$5</f>
        <v>0.11522705021092428</v>
      </c>
      <c r="I216" s="134">
        <v>0.16939680560738468</v>
      </c>
      <c r="J216" s="9"/>
      <c r="L216" t="s">
        <v>486</v>
      </c>
      <c r="M216">
        <v>2408679122</v>
      </c>
      <c r="N216">
        <v>2586457298</v>
      </c>
    </row>
    <row r="217" spans="1:14">
      <c r="A217" s="141" t="s">
        <v>486</v>
      </c>
      <c r="B217" s="141">
        <v>2</v>
      </c>
      <c r="C217" s="141"/>
      <c r="D217" s="367"/>
      <c r="E217" s="141" t="s">
        <v>623</v>
      </c>
      <c r="F217" s="142">
        <v>303389338</v>
      </c>
      <c r="G217" s="366" t="s">
        <v>588</v>
      </c>
      <c r="H217" s="364">
        <f t="shared" ref="H217:H220" si="24">F217/$L$5</f>
        <v>8.5678251285041307E-2</v>
      </c>
      <c r="I217" s="134">
        <v>0.12595672675075398</v>
      </c>
      <c r="J217" s="9"/>
      <c r="L217" t="s">
        <v>487</v>
      </c>
      <c r="M217">
        <v>11194940534</v>
      </c>
      <c r="N217">
        <v>17630805134</v>
      </c>
    </row>
    <row r="218" spans="1:14">
      <c r="A218" s="141" t="s">
        <v>486</v>
      </c>
      <c r="B218" s="141">
        <v>3</v>
      </c>
      <c r="C218" s="141"/>
      <c r="D218" s="367"/>
      <c r="E218" s="141" t="s">
        <v>624</v>
      </c>
      <c r="F218" s="142">
        <v>218003176</v>
      </c>
      <c r="G218" s="366" t="s">
        <v>588</v>
      </c>
      <c r="H218" s="364">
        <f t="shared" si="24"/>
        <v>6.1564888922580017E-2</v>
      </c>
      <c r="I218" s="134">
        <v>9.0507354843921792E-2</v>
      </c>
      <c r="J218" s="9"/>
      <c r="L218" t="s">
        <v>488</v>
      </c>
      <c r="M218">
        <v>31683297773</v>
      </c>
      <c r="N218">
        <v>25795495378</v>
      </c>
    </row>
    <row r="219" spans="1:14">
      <c r="A219" s="141" t="s">
        <v>486</v>
      </c>
      <c r="B219" s="141">
        <v>4</v>
      </c>
      <c r="C219" s="141"/>
      <c r="D219" s="367"/>
      <c r="E219" s="141" t="s">
        <v>625</v>
      </c>
      <c r="F219" s="142">
        <v>201966899</v>
      </c>
      <c r="G219" s="366" t="s">
        <v>588</v>
      </c>
      <c r="H219" s="364">
        <f t="shared" si="24"/>
        <v>5.7036186036908645E-2</v>
      </c>
      <c r="I219" s="134">
        <v>8.3849649027679829E-2</v>
      </c>
      <c r="J219" s="9"/>
      <c r="L219" t="s">
        <v>71</v>
      </c>
      <c r="M219">
        <v>5068402875</v>
      </c>
      <c r="N219">
        <v>5090701800</v>
      </c>
    </row>
    <row r="220" spans="1:14" ht="30">
      <c r="A220" s="141" t="s">
        <v>486</v>
      </c>
      <c r="B220" s="141">
        <v>5</v>
      </c>
      <c r="C220" s="141"/>
      <c r="D220" s="367"/>
      <c r="E220" s="141" t="s">
        <v>626</v>
      </c>
      <c r="F220" s="142">
        <v>121913931</v>
      </c>
      <c r="G220" s="366" t="s">
        <v>588</v>
      </c>
      <c r="H220" s="364">
        <f t="shared" si="24"/>
        <v>3.4428937035899353E-2</v>
      </c>
      <c r="I220" s="134">
        <v>5.0614434229317821E-2</v>
      </c>
      <c r="J220" s="9"/>
      <c r="L220" t="s">
        <v>489</v>
      </c>
      <c r="M220">
        <v>1775627436</v>
      </c>
      <c r="N220">
        <v>3473699639</v>
      </c>
    </row>
    <row r="221" spans="1:14">
      <c r="A221" s="141" t="s">
        <v>486</v>
      </c>
      <c r="B221" s="141">
        <v>1</v>
      </c>
      <c r="C221" s="141"/>
      <c r="D221" s="367"/>
      <c r="E221" s="141" t="s">
        <v>624</v>
      </c>
      <c r="F221" s="142">
        <v>586614947</v>
      </c>
      <c r="G221" s="366" t="s">
        <v>592</v>
      </c>
      <c r="H221" s="364">
        <f>F221/$M$5</f>
        <v>0.15221985464851812</v>
      </c>
      <c r="I221" s="134">
        <v>0.22680248672715569</v>
      </c>
      <c r="J221" s="9"/>
      <c r="L221" t="s">
        <v>490</v>
      </c>
      <c r="M221">
        <v>3166695676</v>
      </c>
      <c r="N221">
        <v>3460946403</v>
      </c>
    </row>
    <row r="222" spans="1:14">
      <c r="A222" s="141" t="s">
        <v>486</v>
      </c>
      <c r="B222" s="141">
        <v>2</v>
      </c>
      <c r="C222" s="141"/>
      <c r="D222" s="367"/>
      <c r="E222" s="141" t="s">
        <v>627</v>
      </c>
      <c r="F222" s="142">
        <v>254433729</v>
      </c>
      <c r="G222" s="366" t="s">
        <v>592</v>
      </c>
      <c r="H222" s="364">
        <f t="shared" ref="H222:H225" si="25">F222/$M$5</f>
        <v>6.6022636218405886E-2</v>
      </c>
      <c r="I222" s="134">
        <v>9.8371517363438798E-2</v>
      </c>
      <c r="J222" s="9"/>
      <c r="L222" t="s">
        <v>491</v>
      </c>
      <c r="M222">
        <v>7760623199</v>
      </c>
      <c r="N222">
        <v>7317279303</v>
      </c>
    </row>
    <row r="223" spans="1:14">
      <c r="A223" s="141" t="s">
        <v>486</v>
      </c>
      <c r="B223" s="141">
        <v>3</v>
      </c>
      <c r="C223" s="141"/>
      <c r="D223" s="367"/>
      <c r="E223" s="141" t="s">
        <v>623</v>
      </c>
      <c r="F223" s="142">
        <v>241906512</v>
      </c>
      <c r="G223" s="366" t="s">
        <v>592</v>
      </c>
      <c r="H223" s="364">
        <f t="shared" si="25"/>
        <v>6.2771967000646522E-2</v>
      </c>
      <c r="I223" s="134">
        <v>9.3528129069463575E-2</v>
      </c>
      <c r="J223" s="9"/>
      <c r="L223" t="s">
        <v>492</v>
      </c>
      <c r="M223">
        <v>5012165281</v>
      </c>
      <c r="N223">
        <v>7842781606</v>
      </c>
    </row>
    <row r="224" spans="1:14">
      <c r="A224" s="141" t="s">
        <v>486</v>
      </c>
      <c r="B224" s="141">
        <v>4</v>
      </c>
      <c r="C224" s="141"/>
      <c r="D224" s="367"/>
      <c r="E224" s="141" t="s">
        <v>625</v>
      </c>
      <c r="F224" s="142">
        <v>137880970</v>
      </c>
      <c r="G224" s="366" t="s">
        <v>592</v>
      </c>
      <c r="H224" s="364">
        <f t="shared" si="25"/>
        <v>3.5778531248704594E-2</v>
      </c>
      <c r="I224" s="134">
        <v>5.3308813606401939E-2</v>
      </c>
      <c r="J224" s="9"/>
      <c r="L224" t="s">
        <v>493</v>
      </c>
      <c r="M224">
        <v>17550506449</v>
      </c>
      <c r="N224">
        <v>21955147262</v>
      </c>
    </row>
    <row r="225" spans="1:14">
      <c r="A225" s="141" t="s">
        <v>486</v>
      </c>
      <c r="B225" s="141">
        <v>5</v>
      </c>
      <c r="C225" s="141"/>
      <c r="D225" s="367"/>
      <c r="E225" s="141" t="s">
        <v>622</v>
      </c>
      <c r="F225" s="142">
        <v>112897505</v>
      </c>
      <c r="G225" s="366" t="s">
        <v>592</v>
      </c>
      <c r="H225" s="364">
        <f t="shared" si="25"/>
        <v>2.9295608455200763E-2</v>
      </c>
      <c r="I225" s="134">
        <v>4.3649475708452234E-2</v>
      </c>
      <c r="J225" s="9"/>
      <c r="L225" t="s">
        <v>495</v>
      </c>
      <c r="M225">
        <v>13546655269</v>
      </c>
      <c r="N225">
        <v>13340152830</v>
      </c>
    </row>
    <row r="226" spans="1:14">
      <c r="A226" s="141" t="s">
        <v>487</v>
      </c>
      <c r="B226" s="141">
        <v>1</v>
      </c>
      <c r="C226" s="141"/>
      <c r="D226" s="367"/>
      <c r="E226" s="141" t="s">
        <v>624</v>
      </c>
      <c r="F226" s="142">
        <v>1712235445</v>
      </c>
      <c r="G226" s="366" t="s">
        <v>588</v>
      </c>
      <c r="H226" s="364">
        <f>F226/$L$6</f>
        <v>0.12805317871084562</v>
      </c>
      <c r="I226" s="134">
        <v>0.15294725682550911</v>
      </c>
      <c r="J226" s="9"/>
      <c r="L226" t="s">
        <v>496</v>
      </c>
      <c r="M226">
        <v>10294854993</v>
      </c>
      <c r="N226">
        <v>13102087065</v>
      </c>
    </row>
    <row r="227" spans="1:14">
      <c r="A227" s="141" t="s">
        <v>487</v>
      </c>
      <c r="B227" s="141">
        <v>2</v>
      </c>
      <c r="C227" s="141"/>
      <c r="D227" s="367"/>
      <c r="E227" s="141" t="s">
        <v>628</v>
      </c>
      <c r="F227" s="142">
        <v>1176100142</v>
      </c>
      <c r="G227" s="366" t="s">
        <v>588</v>
      </c>
      <c r="H227" s="364">
        <f t="shared" ref="H227:H230" si="26">F227/$L$6</f>
        <v>8.7957156888185381E-2</v>
      </c>
      <c r="I227" s="134">
        <v>0.1050563992214235</v>
      </c>
      <c r="J227" s="9"/>
      <c r="L227" t="s">
        <v>497</v>
      </c>
      <c r="M227">
        <v>15599086113</v>
      </c>
      <c r="N227">
        <v>19195716080</v>
      </c>
    </row>
    <row r="228" spans="1:14">
      <c r="A228" s="141" t="s">
        <v>487</v>
      </c>
      <c r="B228" s="141">
        <v>3</v>
      </c>
      <c r="C228" s="141"/>
      <c r="D228" s="367"/>
      <c r="E228" s="141" t="s">
        <v>625</v>
      </c>
      <c r="F228" s="142">
        <v>771401241</v>
      </c>
      <c r="G228" s="366" t="s">
        <v>588</v>
      </c>
      <c r="H228" s="364">
        <f t="shared" si="26"/>
        <v>5.76908866476252E-2</v>
      </c>
      <c r="I228" s="134">
        <v>6.8906238372342207E-2</v>
      </c>
      <c r="J228" s="9"/>
      <c r="L228" t="s">
        <v>498</v>
      </c>
      <c r="M228">
        <v>832972314</v>
      </c>
      <c r="N228">
        <v>1041132247</v>
      </c>
    </row>
    <row r="229" spans="1:14">
      <c r="A229" s="141" t="s">
        <v>487</v>
      </c>
      <c r="B229" s="141">
        <v>4</v>
      </c>
      <c r="C229" s="141"/>
      <c r="D229" s="367"/>
      <c r="E229" s="141" t="s">
        <v>622</v>
      </c>
      <c r="F229" s="142">
        <v>576740702</v>
      </c>
      <c r="G229" s="366" t="s">
        <v>588</v>
      </c>
      <c r="H229" s="364">
        <f t="shared" si="26"/>
        <v>4.313278316874497E-2</v>
      </c>
      <c r="I229" s="134">
        <v>5.1517978165974955E-2</v>
      </c>
      <c r="J229" s="9"/>
      <c r="L229" t="s">
        <v>499</v>
      </c>
      <c r="M229">
        <v>1088175903</v>
      </c>
      <c r="N229">
        <v>1395326072</v>
      </c>
    </row>
    <row r="230" spans="1:14">
      <c r="A230" s="141" t="s">
        <v>487</v>
      </c>
      <c r="B230" s="141">
        <v>5</v>
      </c>
      <c r="C230" s="141"/>
      <c r="D230" s="367"/>
      <c r="E230" s="141" t="s">
        <v>629</v>
      </c>
      <c r="F230" s="142">
        <v>516225076</v>
      </c>
      <c r="G230" s="366" t="s">
        <v>588</v>
      </c>
      <c r="H230" s="364">
        <f t="shared" si="26"/>
        <v>3.8606993042389598E-2</v>
      </c>
      <c r="I230" s="134">
        <v>4.6112355347684063E-2</v>
      </c>
      <c r="J230" s="9"/>
    </row>
    <row r="231" spans="1:14">
      <c r="A231" s="141" t="s">
        <v>487</v>
      </c>
      <c r="B231" s="141">
        <v>1</v>
      </c>
      <c r="C231" s="141"/>
      <c r="D231" s="367"/>
      <c r="E231" s="141" t="s">
        <v>629</v>
      </c>
      <c r="F231" s="142">
        <v>1878084732</v>
      </c>
      <c r="G231" s="366" t="s">
        <v>592</v>
      </c>
      <c r="H231" s="364">
        <f>F231/$M$6</f>
        <v>8.8421010897912128E-2</v>
      </c>
      <c r="I231" s="134">
        <v>0.10652291360070794</v>
      </c>
      <c r="J231" s="9"/>
    </row>
    <row r="232" spans="1:14">
      <c r="A232" s="141" t="s">
        <v>487</v>
      </c>
      <c r="B232" s="141">
        <v>2</v>
      </c>
      <c r="C232" s="141"/>
      <c r="D232" s="367"/>
      <c r="E232" s="141" t="s">
        <v>627</v>
      </c>
      <c r="F232" s="142">
        <v>1728126479</v>
      </c>
      <c r="G232" s="366" t="s">
        <v>592</v>
      </c>
      <c r="H232" s="364">
        <f t="shared" ref="H232:H234" si="27">F232/$M$6</f>
        <v>8.1360913929536982E-2</v>
      </c>
      <c r="I232" s="134">
        <v>9.8017445367109574E-2</v>
      </c>
      <c r="J232" s="9"/>
    </row>
    <row r="233" spans="1:14">
      <c r="A233" s="141" t="s">
        <v>487</v>
      </c>
      <c r="B233" s="141">
        <v>3</v>
      </c>
      <c r="C233" s="141"/>
      <c r="D233" s="367"/>
      <c r="E233" s="141" t="s">
        <v>630</v>
      </c>
      <c r="F233" s="142">
        <v>1628510161</v>
      </c>
      <c r="G233" s="366" t="s">
        <v>592</v>
      </c>
      <c r="H233" s="364">
        <f t="shared" si="27"/>
        <v>7.6670936214789293E-2</v>
      </c>
      <c r="I233" s="134">
        <v>9.2367316672311878E-2</v>
      </c>
      <c r="J233" s="9"/>
    </row>
    <row r="234" spans="1:14">
      <c r="A234" s="141" t="s">
        <v>487</v>
      </c>
      <c r="B234" s="141">
        <v>4</v>
      </c>
      <c r="C234" s="141"/>
      <c r="D234" s="367"/>
      <c r="E234" s="141" t="s">
        <v>624</v>
      </c>
      <c r="F234" s="142">
        <v>1066786427</v>
      </c>
      <c r="G234" s="366" t="s">
        <v>592</v>
      </c>
      <c r="H234" s="364">
        <f t="shared" si="27"/>
        <v>5.022474901175638E-2</v>
      </c>
      <c r="I234" s="134">
        <v>6.05069603397047E-2</v>
      </c>
      <c r="J234" s="9"/>
    </row>
    <row r="235" spans="1:14">
      <c r="A235" s="141" t="s">
        <v>487</v>
      </c>
      <c r="B235" s="141">
        <v>5</v>
      </c>
      <c r="C235" s="141"/>
      <c r="D235" s="367"/>
      <c r="E235" s="141" t="s">
        <v>631</v>
      </c>
      <c r="F235" s="142">
        <v>1014774146</v>
      </c>
      <c r="G235" s="366" t="s">
        <v>592</v>
      </c>
      <c r="H235" s="364">
        <f>F235/$M$6</f>
        <v>4.7775989173200667E-2</v>
      </c>
      <c r="I235" s="134">
        <v>5.7556880601162451E-2</v>
      </c>
      <c r="J235" s="9"/>
    </row>
    <row r="236" spans="1:14">
      <c r="A236" s="141" t="s">
        <v>488</v>
      </c>
      <c r="B236" s="141">
        <v>1</v>
      </c>
      <c r="C236" s="141"/>
      <c r="D236" s="367"/>
      <c r="E236" s="141" t="s">
        <v>625</v>
      </c>
      <c r="F236" s="142">
        <v>10336878764</v>
      </c>
      <c r="G236" s="366" t="s">
        <v>588</v>
      </c>
      <c r="H236" s="364">
        <f>F236/$L$7</f>
        <v>0.32513714857351522</v>
      </c>
      <c r="I236" s="134">
        <v>0.32625640291803598</v>
      </c>
      <c r="J236" s="9"/>
    </row>
    <row r="237" spans="1:14">
      <c r="A237" s="141" t="s">
        <v>488</v>
      </c>
      <c r="B237" s="141">
        <v>2</v>
      </c>
      <c r="C237" s="141"/>
      <c r="D237" s="367"/>
      <c r="E237" s="141" t="s">
        <v>627</v>
      </c>
      <c r="F237" s="142">
        <v>4400795477</v>
      </c>
      <c r="G237" s="366" t="s">
        <v>588</v>
      </c>
      <c r="H237" s="364">
        <f t="shared" ref="H237:H240" si="28">F237/$L$7</f>
        <v>0.1384230313148522</v>
      </c>
      <c r="I237" s="134">
        <v>0.13889953970480584</v>
      </c>
      <c r="J237" s="9"/>
    </row>
    <row r="238" spans="1:14">
      <c r="A238" s="141" t="s">
        <v>488</v>
      </c>
      <c r="B238" s="141">
        <v>3</v>
      </c>
      <c r="C238" s="141"/>
      <c r="D238" s="367"/>
      <c r="E238" s="141" t="s">
        <v>622</v>
      </c>
      <c r="F238" s="142">
        <v>1675804933</v>
      </c>
      <c r="G238" s="366" t="s">
        <v>588</v>
      </c>
      <c r="H238" s="364">
        <f t="shared" si="28"/>
        <v>5.2710924634101736E-2</v>
      </c>
      <c r="I238" s="134">
        <v>5.2892377081658913E-2</v>
      </c>
      <c r="J238" s="9"/>
    </row>
    <row r="239" spans="1:14">
      <c r="A239" s="141" t="s">
        <v>488</v>
      </c>
      <c r="B239" s="141">
        <v>4</v>
      </c>
      <c r="C239" s="141"/>
      <c r="D239" s="367"/>
      <c r="E239" s="141" t="s">
        <v>632</v>
      </c>
      <c r="F239" s="142">
        <v>1199758283</v>
      </c>
      <c r="G239" s="366" t="s">
        <v>588</v>
      </c>
      <c r="H239" s="364">
        <f t="shared" si="28"/>
        <v>3.7737308912881871E-2</v>
      </c>
      <c r="I239" s="134">
        <v>3.786721608324544E-2</v>
      </c>
      <c r="J239" s="9"/>
    </row>
    <row r="240" spans="1:14">
      <c r="A240" s="141" t="s">
        <v>488</v>
      </c>
      <c r="B240" s="141">
        <v>5</v>
      </c>
      <c r="C240" s="141"/>
      <c r="D240" s="367"/>
      <c r="E240" s="141" t="s">
        <v>633</v>
      </c>
      <c r="F240" s="142">
        <v>1146457126</v>
      </c>
      <c r="G240" s="366" t="s">
        <v>588</v>
      </c>
      <c r="H240" s="364">
        <f t="shared" si="28"/>
        <v>3.606076935018479E-2</v>
      </c>
      <c r="I240" s="134">
        <v>3.6184905189288484E-2</v>
      </c>
      <c r="J240" s="9"/>
    </row>
    <row r="241" spans="1:10">
      <c r="A241" s="141" t="s">
        <v>488</v>
      </c>
      <c r="B241" s="141">
        <v>1</v>
      </c>
      <c r="C241" s="141"/>
      <c r="D241" s="367"/>
      <c r="E241" s="141" t="s">
        <v>625</v>
      </c>
      <c r="F241" s="142">
        <v>11053064369</v>
      </c>
      <c r="G241" s="366" t="s">
        <v>592</v>
      </c>
      <c r="H241" s="364">
        <f>F241/$M$7</f>
        <v>0.60016799724597414</v>
      </c>
      <c r="I241" s="134">
        <v>0.42848816070525009</v>
      </c>
      <c r="J241" s="9"/>
    </row>
    <row r="242" spans="1:10">
      <c r="A242" s="141" t="s">
        <v>488</v>
      </c>
      <c r="B242" s="141">
        <v>2</v>
      </c>
      <c r="C242" s="141"/>
      <c r="D242" s="367"/>
      <c r="E242" s="141" t="s">
        <v>622</v>
      </c>
      <c r="F242" s="142">
        <v>3939808297</v>
      </c>
      <c r="G242" s="366" t="s">
        <v>592</v>
      </c>
      <c r="H242" s="364">
        <f t="shared" ref="H242:H245" si="29">F242/$M$7</f>
        <v>0.21392681488178911</v>
      </c>
      <c r="I242" s="134">
        <v>0.15273241468198798</v>
      </c>
      <c r="J242" s="9"/>
    </row>
    <row r="243" spans="1:10" ht="60">
      <c r="A243" s="141" t="s">
        <v>488</v>
      </c>
      <c r="B243" s="141">
        <v>3</v>
      </c>
      <c r="C243" s="141"/>
      <c r="D243" s="367"/>
      <c r="E243" s="141" t="s">
        <v>634</v>
      </c>
      <c r="F243" s="142">
        <v>2852181035</v>
      </c>
      <c r="G243" s="366" t="s">
        <v>592</v>
      </c>
      <c r="H243" s="364">
        <f t="shared" si="29"/>
        <v>0.15486997292441984</v>
      </c>
      <c r="I243" s="134">
        <v>0.11056895761081281</v>
      </c>
      <c r="J243" s="9"/>
    </row>
    <row r="244" spans="1:10" ht="30">
      <c r="A244" s="141" t="s">
        <v>488</v>
      </c>
      <c r="B244" s="141">
        <v>4</v>
      </c>
      <c r="C244" s="141"/>
      <c r="D244" s="367"/>
      <c r="E244" s="141" t="s">
        <v>626</v>
      </c>
      <c r="F244" s="142">
        <v>1239212092</v>
      </c>
      <c r="G244" s="366" t="s">
        <v>592</v>
      </c>
      <c r="H244" s="364">
        <f t="shared" si="29"/>
        <v>6.7287714482560421E-2</v>
      </c>
      <c r="I244" s="134">
        <v>4.8039864086381417E-2</v>
      </c>
      <c r="J244" s="9"/>
    </row>
    <row r="245" spans="1:10">
      <c r="A245" s="141" t="s">
        <v>488</v>
      </c>
      <c r="B245" s="141">
        <v>5</v>
      </c>
      <c r="C245" s="141"/>
      <c r="D245" s="367"/>
      <c r="E245" s="141" t="s">
        <v>628</v>
      </c>
      <c r="F245" s="142">
        <v>694363688</v>
      </c>
      <c r="G245" s="366" t="s">
        <v>592</v>
      </c>
      <c r="H245" s="364">
        <f t="shared" si="29"/>
        <v>3.770310658427764E-2</v>
      </c>
      <c r="I245" s="134">
        <v>2.6918021066274868E-2</v>
      </c>
      <c r="J245" s="9"/>
    </row>
    <row r="246" spans="1:10">
      <c r="A246" s="141" t="s">
        <v>71</v>
      </c>
      <c r="B246" s="141">
        <v>1</v>
      </c>
      <c r="C246" s="141"/>
      <c r="D246" s="367"/>
      <c r="E246" s="141" t="s">
        <v>622</v>
      </c>
      <c r="F246" s="142">
        <v>1488668036</v>
      </c>
      <c r="G246" s="366" t="s">
        <v>588</v>
      </c>
      <c r="H246" s="364">
        <f>F246/$L$8</f>
        <v>0.22247759441677681</v>
      </c>
      <c r="I246" s="134">
        <v>0.29371541148453001</v>
      </c>
      <c r="J246" s="9"/>
    </row>
    <row r="247" spans="1:10">
      <c r="A247" s="141" t="s">
        <v>71</v>
      </c>
      <c r="B247" s="141">
        <v>2</v>
      </c>
      <c r="C247" s="141"/>
      <c r="D247" s="367"/>
      <c r="E247" s="141" t="s">
        <v>625</v>
      </c>
      <c r="F247" s="142">
        <v>477382135</v>
      </c>
      <c r="G247" s="366" t="s">
        <v>588</v>
      </c>
      <c r="H247" s="364">
        <f t="shared" ref="H247:H250" si="30">F247/$L$8</f>
        <v>7.1343527531980269E-2</v>
      </c>
      <c r="I247" s="134">
        <v>9.4187882607891543E-2</v>
      </c>
      <c r="J247" s="9"/>
    </row>
    <row r="248" spans="1:10">
      <c r="A248" s="141" t="s">
        <v>71</v>
      </c>
      <c r="B248" s="141">
        <v>3</v>
      </c>
      <c r="C248" s="141"/>
      <c r="D248" s="367"/>
      <c r="E248" s="141" t="s">
        <v>628</v>
      </c>
      <c r="F248" s="142">
        <v>445047493</v>
      </c>
      <c r="G248" s="366" t="s">
        <v>588</v>
      </c>
      <c r="H248" s="364">
        <f t="shared" si="30"/>
        <v>6.6511198769271695E-2</v>
      </c>
      <c r="I248" s="134">
        <v>8.780823150330172E-2</v>
      </c>
      <c r="J248" s="9"/>
    </row>
    <row r="249" spans="1:10" ht="30">
      <c r="A249" s="141" t="s">
        <v>71</v>
      </c>
      <c r="B249" s="141">
        <v>4</v>
      </c>
      <c r="C249" s="141"/>
      <c r="D249" s="367"/>
      <c r="E249" s="141" t="s">
        <v>626</v>
      </c>
      <c r="F249" s="142">
        <v>316452137</v>
      </c>
      <c r="G249" s="366" t="s">
        <v>588</v>
      </c>
      <c r="H249" s="364">
        <f t="shared" si="30"/>
        <v>4.7292954832952622E-2</v>
      </c>
      <c r="I249" s="134">
        <v>6.2436263415622813E-2</v>
      </c>
      <c r="J249" s="9"/>
    </row>
    <row r="250" spans="1:10">
      <c r="A250" s="141" t="s">
        <v>71</v>
      </c>
      <c r="B250" s="141">
        <v>5</v>
      </c>
      <c r="C250" s="141"/>
      <c r="D250" s="367"/>
      <c r="E250" s="141" t="s">
        <v>627</v>
      </c>
      <c r="F250" s="142">
        <v>287808052</v>
      </c>
      <c r="G250" s="366" t="s">
        <v>588</v>
      </c>
      <c r="H250" s="364">
        <f t="shared" si="30"/>
        <v>4.3012170285315787E-2</v>
      </c>
      <c r="I250" s="134">
        <v>5.6784762201840554E-2</v>
      </c>
      <c r="J250" s="9"/>
    </row>
    <row r="251" spans="1:10">
      <c r="A251" s="141" t="s">
        <v>71</v>
      </c>
      <c r="B251" s="141">
        <v>1</v>
      </c>
      <c r="C251" s="141"/>
      <c r="D251" s="367"/>
      <c r="E251" s="141" t="s">
        <v>622</v>
      </c>
      <c r="F251" s="142">
        <v>677278750</v>
      </c>
      <c r="G251" s="366" t="s">
        <v>592</v>
      </c>
      <c r="H251" s="364">
        <f>F251/$M$8</f>
        <v>9.3047627594415774E-2</v>
      </c>
      <c r="I251" s="134">
        <v>0.13304231451938511</v>
      </c>
      <c r="J251" s="9"/>
    </row>
    <row r="252" spans="1:10">
      <c r="A252" s="141" t="s">
        <v>71</v>
      </c>
      <c r="B252" s="141">
        <v>2</v>
      </c>
      <c r="C252" s="141"/>
      <c r="D252" s="367"/>
      <c r="E252" s="141" t="s">
        <v>628</v>
      </c>
      <c r="F252" s="142">
        <v>542927173</v>
      </c>
      <c r="G252" s="366" t="s">
        <v>592</v>
      </c>
      <c r="H252" s="364">
        <f t="shared" ref="H252:H255" si="31">F252/$M$8</f>
        <v>7.4589798372077895E-2</v>
      </c>
      <c r="I252" s="134">
        <v>0.10665075157220956</v>
      </c>
      <c r="J252" s="9"/>
    </row>
    <row r="253" spans="1:10">
      <c r="A253" s="141" t="s">
        <v>71</v>
      </c>
      <c r="B253" s="141">
        <v>3</v>
      </c>
      <c r="C253" s="141"/>
      <c r="D253" s="367"/>
      <c r="E253" s="141" t="s">
        <v>627</v>
      </c>
      <c r="F253" s="142">
        <v>489870936</v>
      </c>
      <c r="G253" s="366" t="s">
        <v>592</v>
      </c>
      <c r="H253" s="364">
        <f t="shared" si="31"/>
        <v>6.7300691808588248E-2</v>
      </c>
      <c r="I253" s="134">
        <v>9.6228566363875404E-2</v>
      </c>
      <c r="J253" s="9"/>
    </row>
    <row r="254" spans="1:10">
      <c r="A254" s="141" t="s">
        <v>71</v>
      </c>
      <c r="B254" s="141">
        <v>4</v>
      </c>
      <c r="C254" s="141"/>
      <c r="D254" s="367"/>
      <c r="E254" s="141" t="s">
        <v>625</v>
      </c>
      <c r="F254" s="142">
        <v>479546780</v>
      </c>
      <c r="G254" s="366" t="s">
        <v>592</v>
      </c>
      <c r="H254" s="364">
        <f t="shared" si="31"/>
        <v>6.588231241500081E-2</v>
      </c>
      <c r="I254" s="134">
        <v>9.4200524572073743E-2</v>
      </c>
      <c r="J254" s="9"/>
    </row>
    <row r="255" spans="1:10" ht="45">
      <c r="A255" s="141" t="s">
        <v>71</v>
      </c>
      <c r="B255" s="141">
        <v>5</v>
      </c>
      <c r="C255" s="141"/>
      <c r="D255" s="367"/>
      <c r="E255" s="141" t="s">
        <v>635</v>
      </c>
      <c r="F255" s="142">
        <v>431196825</v>
      </c>
      <c r="G255" s="366" t="s">
        <v>592</v>
      </c>
      <c r="H255" s="364">
        <f t="shared" si="31"/>
        <v>5.9239776225807277E-2</v>
      </c>
      <c r="I255" s="134">
        <v>8.4702825256824113E-2</v>
      </c>
      <c r="J255" s="9"/>
    </row>
    <row r="256" spans="1:10">
      <c r="A256" s="141" t="s">
        <v>489</v>
      </c>
      <c r="B256" s="141">
        <v>1</v>
      </c>
      <c r="C256" s="141"/>
      <c r="D256" s="367"/>
      <c r="E256" s="141" t="s">
        <v>622</v>
      </c>
      <c r="F256" s="142">
        <v>281077405</v>
      </c>
      <c r="G256" s="366" t="s">
        <v>588</v>
      </c>
      <c r="H256" s="364">
        <f>F256/$L$9</f>
        <v>0.14419850260200157</v>
      </c>
      <c r="I256" s="134">
        <v>0.158297511798528</v>
      </c>
      <c r="J256" s="9"/>
    </row>
    <row r="257" spans="1:10">
      <c r="A257" s="141" t="s">
        <v>489</v>
      </c>
      <c r="B257" s="141">
        <v>2</v>
      </c>
      <c r="C257" s="141"/>
      <c r="D257" s="367"/>
      <c r="E257" s="141" t="s">
        <v>629</v>
      </c>
      <c r="F257" s="142">
        <v>157108901</v>
      </c>
      <c r="G257" s="366" t="s">
        <v>588</v>
      </c>
      <c r="H257" s="364">
        <f t="shared" ref="H257:H260" si="32">F257/$L$9</f>
        <v>8.0600104692321692E-2</v>
      </c>
      <c r="I257" s="134">
        <v>8.8480780266564876E-2</v>
      </c>
      <c r="J257" s="9"/>
    </row>
    <row r="258" spans="1:10">
      <c r="A258" s="141" t="s">
        <v>489</v>
      </c>
      <c r="B258" s="141">
        <v>3</v>
      </c>
      <c r="C258" s="141"/>
      <c r="D258" s="367"/>
      <c r="E258" s="141" t="s">
        <v>628</v>
      </c>
      <c r="F258" s="142">
        <v>156277382</v>
      </c>
      <c r="G258" s="366" t="s">
        <v>588</v>
      </c>
      <c r="H258" s="364">
        <f t="shared" si="32"/>
        <v>8.017351830525471E-2</v>
      </c>
      <c r="I258" s="134">
        <v>8.8012484393713772E-2</v>
      </c>
      <c r="J258" s="9"/>
    </row>
    <row r="259" spans="1:10" ht="30">
      <c r="A259" s="141" t="s">
        <v>489</v>
      </c>
      <c r="B259" s="141">
        <v>4</v>
      </c>
      <c r="C259" s="141"/>
      <c r="D259" s="367"/>
      <c r="E259" s="141" t="s">
        <v>626</v>
      </c>
      <c r="F259" s="142">
        <v>79798666</v>
      </c>
      <c r="G259" s="366" t="s">
        <v>588</v>
      </c>
      <c r="H259" s="364">
        <f t="shared" si="32"/>
        <v>4.0938360544623832E-2</v>
      </c>
      <c r="I259" s="134">
        <v>4.4941108918526533E-2</v>
      </c>
      <c r="J259" s="9"/>
    </row>
    <row r="260" spans="1:10">
      <c r="A260" s="141" t="s">
        <v>489</v>
      </c>
      <c r="B260" s="141">
        <v>5</v>
      </c>
      <c r="C260" s="141"/>
      <c r="D260" s="367"/>
      <c r="E260" s="141" t="s">
        <v>627</v>
      </c>
      <c r="F260" s="142">
        <v>76116418</v>
      </c>
      <c r="G260" s="366" t="s">
        <v>588</v>
      </c>
      <c r="H260" s="364">
        <f t="shared" si="32"/>
        <v>3.9049291418597087E-2</v>
      </c>
      <c r="I260" s="134">
        <v>4.2867336050781767E-2</v>
      </c>
      <c r="J260" s="9"/>
    </row>
    <row r="261" spans="1:10">
      <c r="A261" s="141" t="s">
        <v>489</v>
      </c>
      <c r="B261" s="141">
        <v>1</v>
      </c>
      <c r="C261" s="141"/>
      <c r="D261" s="367"/>
      <c r="E261" s="141" t="s">
        <v>624</v>
      </c>
      <c r="F261" s="142">
        <v>557079620</v>
      </c>
      <c r="G261" s="366" t="s">
        <v>592</v>
      </c>
      <c r="H261" s="364">
        <f>F261/$M$9</f>
        <v>0.13669373851181868</v>
      </c>
      <c r="I261" s="134">
        <v>0.16037069346628102</v>
      </c>
      <c r="J261" s="9"/>
    </row>
    <row r="262" spans="1:10">
      <c r="A262" s="141" t="s">
        <v>489</v>
      </c>
      <c r="B262" s="141">
        <v>2</v>
      </c>
      <c r="C262" s="141"/>
      <c r="D262" s="367"/>
      <c r="E262" s="141" t="s">
        <v>628</v>
      </c>
      <c r="F262" s="142">
        <v>545222302</v>
      </c>
      <c r="G262" s="366" t="s">
        <v>592</v>
      </c>
      <c r="H262" s="364">
        <f t="shared" ref="H262:H265" si="33">F262/$M$9</f>
        <v>0.1337842421526744</v>
      </c>
      <c r="I262" s="134">
        <v>0.15695723829391225</v>
      </c>
      <c r="J262" s="9"/>
    </row>
    <row r="263" spans="1:10">
      <c r="A263" s="141" t="s">
        <v>489</v>
      </c>
      <c r="B263" s="141">
        <v>3</v>
      </c>
      <c r="C263" s="141"/>
      <c r="D263" s="367"/>
      <c r="E263" s="141" t="s">
        <v>632</v>
      </c>
      <c r="F263" s="142">
        <v>382135923</v>
      </c>
      <c r="G263" s="366" t="s">
        <v>592</v>
      </c>
      <c r="H263" s="364">
        <f t="shared" si="33"/>
        <v>9.3766826247448226E-2</v>
      </c>
      <c r="I263" s="134">
        <v>0.11000833771281628</v>
      </c>
      <c r="J263" s="9"/>
    </row>
    <row r="264" spans="1:10">
      <c r="A264" s="141" t="s">
        <v>489</v>
      </c>
      <c r="B264" s="141">
        <v>4</v>
      </c>
      <c r="C264" s="141"/>
      <c r="D264" s="367"/>
      <c r="E264" s="141" t="s">
        <v>627</v>
      </c>
      <c r="F264" s="142">
        <v>244419295</v>
      </c>
      <c r="G264" s="366" t="s">
        <v>592</v>
      </c>
      <c r="H264" s="364">
        <f t="shared" si="33"/>
        <v>5.997452787444113E-2</v>
      </c>
      <c r="I264" s="134">
        <v>7.0362817860200141E-2</v>
      </c>
      <c r="J264" s="9"/>
    </row>
    <row r="265" spans="1:10">
      <c r="A265" s="141" t="s">
        <v>489</v>
      </c>
      <c r="B265" s="141">
        <v>5</v>
      </c>
      <c r="C265" s="141"/>
      <c r="D265" s="367"/>
      <c r="E265" s="141" t="s">
        <v>622</v>
      </c>
      <c r="F265" s="142">
        <v>233404452</v>
      </c>
      <c r="G265" s="366" t="s">
        <v>592</v>
      </c>
      <c r="H265" s="364">
        <f t="shared" si="33"/>
        <v>5.7271754312574454E-2</v>
      </c>
      <c r="I265" s="134">
        <v>6.7191892292446986E-2</v>
      </c>
      <c r="J265" s="9"/>
    </row>
    <row r="266" spans="1:10">
      <c r="A266" s="141" t="s">
        <v>490</v>
      </c>
      <c r="B266" s="141">
        <v>1</v>
      </c>
      <c r="C266" s="141"/>
      <c r="D266" s="367"/>
      <c r="E266" s="141" t="s">
        <v>625</v>
      </c>
      <c r="F266" s="142">
        <v>520670731</v>
      </c>
      <c r="G266" s="366" t="s">
        <v>588</v>
      </c>
      <c r="H266" s="364">
        <f>F266/$L$10</f>
        <v>0.12026622019395919</v>
      </c>
      <c r="I266" s="134">
        <v>0.16442082987200188</v>
      </c>
      <c r="J266" s="9"/>
    </row>
    <row r="267" spans="1:10">
      <c r="A267" s="141" t="s">
        <v>490</v>
      </c>
      <c r="B267" s="141">
        <v>2</v>
      </c>
      <c r="C267" s="141"/>
      <c r="D267" s="367"/>
      <c r="E267" s="141" t="s">
        <v>628</v>
      </c>
      <c r="F267" s="142">
        <v>305100341</v>
      </c>
      <c r="G267" s="366" t="s">
        <v>588</v>
      </c>
      <c r="H267" s="364">
        <f t="shared" ref="H267:H270" si="34">F267/$L$10</f>
        <v>7.0473069844899802E-2</v>
      </c>
      <c r="I267" s="134">
        <v>9.6346593489332819E-2</v>
      </c>
      <c r="J267" s="9"/>
    </row>
    <row r="268" spans="1:10">
      <c r="A268" s="141" t="s">
        <v>490</v>
      </c>
      <c r="B268" s="141">
        <v>3</v>
      </c>
      <c r="C268" s="141"/>
      <c r="D268" s="367"/>
      <c r="E268" s="141" t="s">
        <v>636</v>
      </c>
      <c r="F268" s="142">
        <v>273129680</v>
      </c>
      <c r="G268" s="366" t="s">
        <v>588</v>
      </c>
      <c r="H268" s="364">
        <f t="shared" si="34"/>
        <v>6.3088382504807264E-2</v>
      </c>
      <c r="I268" s="134">
        <v>8.6250687765804745E-2</v>
      </c>
      <c r="J268" s="9"/>
    </row>
    <row r="269" spans="1:10" ht="30">
      <c r="A269" s="141" t="s">
        <v>490</v>
      </c>
      <c r="B269" s="141">
        <v>4</v>
      </c>
      <c r="C269" s="141"/>
      <c r="D269" s="367"/>
      <c r="E269" s="141" t="s">
        <v>626</v>
      </c>
      <c r="F269" s="142">
        <v>263640060</v>
      </c>
      <c r="G269" s="366" t="s">
        <v>588</v>
      </c>
      <c r="H269" s="364">
        <f t="shared" si="34"/>
        <v>6.0896439189143919E-2</v>
      </c>
      <c r="I269" s="134">
        <v>8.3253993112788152E-2</v>
      </c>
      <c r="J269" s="9"/>
    </row>
    <row r="270" spans="1:10">
      <c r="A270" s="141" t="s">
        <v>490</v>
      </c>
      <c r="B270" s="141">
        <v>5</v>
      </c>
      <c r="C270" s="141"/>
      <c r="D270" s="367"/>
      <c r="E270" s="141" t="s">
        <v>624</v>
      </c>
      <c r="F270" s="142">
        <v>248575088</v>
      </c>
      <c r="G270" s="366" t="s">
        <v>588</v>
      </c>
      <c r="H270" s="364">
        <f t="shared" si="34"/>
        <v>5.7416682921131557E-2</v>
      </c>
      <c r="I270" s="134">
        <v>7.8496677114861482E-2</v>
      </c>
      <c r="J270" s="9"/>
    </row>
    <row r="271" spans="1:10">
      <c r="A271" s="141" t="s">
        <v>490</v>
      </c>
      <c r="B271" s="141">
        <v>1</v>
      </c>
      <c r="C271" s="141"/>
      <c r="D271" s="367"/>
      <c r="E271" s="141" t="s">
        <v>625</v>
      </c>
      <c r="F271" s="142">
        <v>630384636</v>
      </c>
      <c r="G271" s="366" t="s">
        <v>592</v>
      </c>
      <c r="H271" s="364">
        <f>F271/$M$10</f>
        <v>0.14127631181837796</v>
      </c>
      <c r="I271" s="134">
        <v>0.18214227052276025</v>
      </c>
      <c r="J271" s="9"/>
    </row>
    <row r="272" spans="1:10">
      <c r="A272" s="141" t="s">
        <v>490</v>
      </c>
      <c r="B272" s="141">
        <v>2</v>
      </c>
      <c r="C272" s="141"/>
      <c r="D272" s="367"/>
      <c r="E272" s="141" t="s">
        <v>627</v>
      </c>
      <c r="F272" s="142">
        <v>385520895</v>
      </c>
      <c r="G272" s="366" t="s">
        <v>592</v>
      </c>
      <c r="H272" s="364">
        <f t="shared" ref="H272:H275" si="35">F272/$M$10</f>
        <v>8.6399583784462913E-2</v>
      </c>
      <c r="I272" s="134">
        <v>0.11139175534929542</v>
      </c>
      <c r="J272" s="9"/>
    </row>
    <row r="273" spans="1:10">
      <c r="A273" s="141" t="s">
        <v>490</v>
      </c>
      <c r="B273" s="141">
        <v>3</v>
      </c>
      <c r="C273" s="141"/>
      <c r="D273" s="367"/>
      <c r="E273" s="141" t="s">
        <v>636</v>
      </c>
      <c r="F273" s="142">
        <v>280137046</v>
      </c>
      <c r="G273" s="366" t="s">
        <v>592</v>
      </c>
      <c r="H273" s="364">
        <f t="shared" si="35"/>
        <v>6.2781873799626187E-2</v>
      </c>
      <c r="I273" s="134">
        <v>8.0942324260547066E-2</v>
      </c>
      <c r="J273" s="9"/>
    </row>
    <row r="274" spans="1:10">
      <c r="A274" s="141" t="s">
        <v>490</v>
      </c>
      <c r="B274" s="141">
        <v>4</v>
      </c>
      <c r="C274" s="141"/>
      <c r="D274" s="367"/>
      <c r="E274" s="141" t="s">
        <v>637</v>
      </c>
      <c r="F274" s="142">
        <v>254596262</v>
      </c>
      <c r="G274" s="366" t="s">
        <v>592</v>
      </c>
      <c r="H274" s="364">
        <f t="shared" si="35"/>
        <v>5.705789583695605E-2</v>
      </c>
      <c r="I274" s="134">
        <v>7.3562613330074161E-2</v>
      </c>
      <c r="J274" s="9"/>
    </row>
    <row r="275" spans="1:10">
      <c r="A275" s="141" t="s">
        <v>490</v>
      </c>
      <c r="B275" s="141">
        <v>5</v>
      </c>
      <c r="C275" s="141"/>
      <c r="D275" s="367"/>
      <c r="E275" s="141" t="s">
        <v>628</v>
      </c>
      <c r="F275" s="142">
        <v>237335802</v>
      </c>
      <c r="G275" s="366" t="s">
        <v>592</v>
      </c>
      <c r="H275" s="364">
        <f t="shared" si="35"/>
        <v>5.3189631939279711E-2</v>
      </c>
      <c r="I275" s="134">
        <v>6.857540521120864E-2</v>
      </c>
      <c r="J275" s="9"/>
    </row>
    <row r="276" spans="1:10">
      <c r="A276" s="141" t="s">
        <v>491</v>
      </c>
      <c r="B276" s="141">
        <v>1</v>
      </c>
      <c r="C276" s="141"/>
      <c r="D276" s="367"/>
      <c r="E276" s="141" t="s">
        <v>625</v>
      </c>
      <c r="F276" s="142">
        <v>1082285013</v>
      </c>
      <c r="G276" s="366" t="s">
        <v>588</v>
      </c>
      <c r="H276" s="364">
        <f>F276/$L$11</f>
        <v>0.10841512291860986</v>
      </c>
      <c r="I276" s="134">
        <v>0.13945851837510401</v>
      </c>
      <c r="J276" s="9"/>
    </row>
    <row r="277" spans="1:10">
      <c r="A277" s="141" t="s">
        <v>491</v>
      </c>
      <c r="B277" s="141">
        <v>2</v>
      </c>
      <c r="C277" s="141"/>
      <c r="D277" s="367"/>
      <c r="E277" s="141" t="s">
        <v>622</v>
      </c>
      <c r="F277" s="142">
        <v>842616936</v>
      </c>
      <c r="G277" s="366" t="s">
        <v>588</v>
      </c>
      <c r="H277" s="364">
        <f t="shared" ref="H277:H280" si="36">F277/$L$11</f>
        <v>8.440698854040439E-2</v>
      </c>
      <c r="I277" s="134">
        <v>0.10857593705987116</v>
      </c>
      <c r="J277" s="9"/>
    </row>
    <row r="278" spans="1:10">
      <c r="A278" s="141" t="s">
        <v>491</v>
      </c>
      <c r="B278" s="141">
        <v>3</v>
      </c>
      <c r="C278" s="141"/>
      <c r="D278" s="367"/>
      <c r="E278" s="141" t="s">
        <v>628</v>
      </c>
      <c r="F278" s="142">
        <v>755357073</v>
      </c>
      <c r="G278" s="366" t="s">
        <v>588</v>
      </c>
      <c r="H278" s="364">
        <f t="shared" si="36"/>
        <v>7.5665955763111317E-2</v>
      </c>
      <c r="I278" s="134">
        <v>9.7332012343716412E-2</v>
      </c>
      <c r="J278" s="9"/>
    </row>
    <row r="279" spans="1:10">
      <c r="A279" s="141" t="s">
        <v>491</v>
      </c>
      <c r="B279" s="141">
        <v>4</v>
      </c>
      <c r="C279" s="141"/>
      <c r="D279" s="367"/>
      <c r="E279" s="141" t="s">
        <v>624</v>
      </c>
      <c r="F279" s="142">
        <v>711243212</v>
      </c>
      <c r="G279" s="366" t="s">
        <v>588</v>
      </c>
      <c r="H279" s="364">
        <f t="shared" si="36"/>
        <v>7.1246962979064091E-2</v>
      </c>
      <c r="I279" s="134">
        <v>9.1647692944510917E-2</v>
      </c>
      <c r="J279" s="9"/>
    </row>
    <row r="280" spans="1:10" ht="30">
      <c r="A280" s="141" t="s">
        <v>491</v>
      </c>
      <c r="B280" s="141">
        <v>5</v>
      </c>
      <c r="C280" s="141"/>
      <c r="D280" s="367"/>
      <c r="E280" s="141" t="s">
        <v>626</v>
      </c>
      <c r="F280" s="142">
        <v>438523460</v>
      </c>
      <c r="G280" s="366" t="s">
        <v>588</v>
      </c>
      <c r="H280" s="364">
        <f t="shared" si="36"/>
        <v>4.3927961902392246E-2</v>
      </c>
      <c r="I280" s="134">
        <v>5.6506217188396185E-2</v>
      </c>
      <c r="J280" s="9"/>
    </row>
    <row r="281" spans="1:10">
      <c r="A281" s="141" t="s">
        <v>491</v>
      </c>
      <c r="B281" s="141">
        <v>1</v>
      </c>
      <c r="C281" s="141"/>
      <c r="D281" s="367"/>
      <c r="E281" s="141" t="s">
        <v>624</v>
      </c>
      <c r="F281" s="142">
        <v>1011913735</v>
      </c>
      <c r="G281" s="366" t="s">
        <v>592</v>
      </c>
      <c r="H281" s="364">
        <f>F281/$M$11</f>
        <v>9.382078127711993E-2</v>
      </c>
      <c r="I281" s="134">
        <v>0.13829098126473416</v>
      </c>
      <c r="J281" s="9"/>
    </row>
    <row r="282" spans="1:10">
      <c r="A282" s="141" t="s">
        <v>491</v>
      </c>
      <c r="B282" s="141">
        <v>2</v>
      </c>
      <c r="C282" s="141"/>
      <c r="D282" s="367"/>
      <c r="E282" s="141" t="s">
        <v>627</v>
      </c>
      <c r="F282" s="142">
        <v>969274067</v>
      </c>
      <c r="G282" s="366" t="s">
        <v>592</v>
      </c>
      <c r="H282" s="364">
        <f t="shared" ref="H282:H285" si="37">F282/$M$11</f>
        <v>8.986739392127284E-2</v>
      </c>
      <c r="I282" s="134">
        <v>0.13246372413345064</v>
      </c>
      <c r="J282" s="9"/>
    </row>
    <row r="283" spans="1:10">
      <c r="A283" s="141" t="s">
        <v>491</v>
      </c>
      <c r="B283" s="141">
        <v>3</v>
      </c>
      <c r="C283" s="141"/>
      <c r="D283" s="367"/>
      <c r="E283" s="141" t="s">
        <v>625</v>
      </c>
      <c r="F283" s="142">
        <v>964431415</v>
      </c>
      <c r="G283" s="366" t="s">
        <v>592</v>
      </c>
      <c r="H283" s="364">
        <f t="shared" si="37"/>
        <v>8.9418401701503031E-2</v>
      </c>
      <c r="I283" s="134">
        <v>0.13180191367091787</v>
      </c>
      <c r="J283" s="9"/>
    </row>
    <row r="284" spans="1:10">
      <c r="A284" s="141" t="s">
        <v>491</v>
      </c>
      <c r="B284" s="141">
        <v>4</v>
      </c>
      <c r="C284" s="141"/>
      <c r="D284" s="367"/>
      <c r="E284" s="141" t="s">
        <v>622</v>
      </c>
      <c r="F284" s="142">
        <v>510862140</v>
      </c>
      <c r="G284" s="366" t="s">
        <v>592</v>
      </c>
      <c r="H284" s="364">
        <f t="shared" si="37"/>
        <v>4.7365188792206109E-2</v>
      </c>
      <c r="I284" s="134">
        <v>6.981585898881193E-2</v>
      </c>
      <c r="J284" s="9"/>
    </row>
    <row r="285" spans="1:10">
      <c r="A285" s="141" t="s">
        <v>491</v>
      </c>
      <c r="B285" s="141">
        <v>5</v>
      </c>
      <c r="C285" s="141"/>
      <c r="D285" s="367"/>
      <c r="E285" s="141" t="s">
        <v>636</v>
      </c>
      <c r="F285" s="142">
        <v>361826076</v>
      </c>
      <c r="G285" s="366" t="s">
        <v>592</v>
      </c>
      <c r="H285" s="364">
        <f t="shared" si="37"/>
        <v>3.3547133478482309E-2</v>
      </c>
      <c r="I285" s="134">
        <v>4.9448170695309594E-2</v>
      </c>
      <c r="J285" s="9"/>
    </row>
    <row r="286" spans="1:10">
      <c r="A286" s="141" t="s">
        <v>492</v>
      </c>
      <c r="B286" s="141">
        <v>1</v>
      </c>
      <c r="C286" s="141"/>
      <c r="D286" s="367"/>
      <c r="E286" s="141" t="s">
        <v>625</v>
      </c>
      <c r="F286" s="142">
        <v>879297667</v>
      </c>
      <c r="G286" s="366" t="s">
        <v>588</v>
      </c>
      <c r="H286" s="364">
        <f>F286/$L$12</f>
        <v>0.12003323195938714</v>
      </c>
      <c r="I286" s="134">
        <v>0.175432695791821</v>
      </c>
      <c r="J286" s="9"/>
    </row>
    <row r="287" spans="1:10" ht="30">
      <c r="A287" s="141" t="s">
        <v>492</v>
      </c>
      <c r="B287" s="141">
        <v>2</v>
      </c>
      <c r="C287" s="141"/>
      <c r="D287" s="367"/>
      <c r="E287" s="141" t="s">
        <v>626</v>
      </c>
      <c r="F287" s="142">
        <v>420188058</v>
      </c>
      <c r="G287" s="366" t="s">
        <v>588</v>
      </c>
      <c r="H287" s="364">
        <f t="shared" ref="H287:H290" si="38">F287/$L$12</f>
        <v>5.7360018711932297E-2</v>
      </c>
      <c r="I287" s="134">
        <v>8.3833639643297306E-2</v>
      </c>
      <c r="J287" s="9"/>
    </row>
    <row r="288" spans="1:10">
      <c r="A288" s="141" t="s">
        <v>492</v>
      </c>
      <c r="B288" s="141">
        <v>3</v>
      </c>
      <c r="C288" s="141"/>
      <c r="D288" s="367"/>
      <c r="E288" s="141" t="s">
        <v>636</v>
      </c>
      <c r="F288" s="142">
        <v>404986003</v>
      </c>
      <c r="G288" s="366" t="s">
        <v>588</v>
      </c>
      <c r="H288" s="364">
        <f t="shared" si="38"/>
        <v>5.5284780868643038E-2</v>
      </c>
      <c r="I288" s="134">
        <v>8.0800608179305566E-2</v>
      </c>
      <c r="J288" s="9"/>
    </row>
    <row r="289" spans="1:10">
      <c r="A289" s="141" t="s">
        <v>492</v>
      </c>
      <c r="B289" s="141">
        <v>4</v>
      </c>
      <c r="C289" s="141"/>
      <c r="D289" s="367"/>
      <c r="E289" s="141" t="s">
        <v>628</v>
      </c>
      <c r="F289" s="142">
        <v>316496377</v>
      </c>
      <c r="G289" s="366" t="s">
        <v>588</v>
      </c>
      <c r="H289" s="364">
        <f t="shared" si="38"/>
        <v>4.3205031083912382E-2</v>
      </c>
      <c r="I289" s="134">
        <v>6.3145638512713681E-2</v>
      </c>
      <c r="J289" s="9"/>
    </row>
    <row r="290" spans="1:10">
      <c r="A290" s="141" t="s">
        <v>492</v>
      </c>
      <c r="B290" s="141">
        <v>5</v>
      </c>
      <c r="C290" s="141"/>
      <c r="D290" s="367"/>
      <c r="E290" s="141" t="s">
        <v>638</v>
      </c>
      <c r="F290" s="142">
        <v>313939365</v>
      </c>
      <c r="G290" s="366" t="s">
        <v>588</v>
      </c>
      <c r="H290" s="364">
        <f t="shared" si="38"/>
        <v>4.285597248175993E-2</v>
      </c>
      <c r="I290" s="134">
        <v>6.2635477363460867E-2</v>
      </c>
      <c r="J290" s="9"/>
    </row>
    <row r="291" spans="1:10">
      <c r="A291" s="141" t="s">
        <v>492</v>
      </c>
      <c r="B291" s="141">
        <v>1</v>
      </c>
      <c r="C291" s="141"/>
      <c r="D291" s="367"/>
      <c r="E291" s="141" t="s">
        <v>625</v>
      </c>
      <c r="F291" s="142">
        <v>846281194</v>
      </c>
      <c r="G291" s="366" t="s">
        <v>592</v>
      </c>
      <c r="H291" s="364">
        <f>F291/$M$12</f>
        <v>8.0289716081339724E-2</v>
      </c>
      <c r="I291" s="134">
        <v>0.10790574524637604</v>
      </c>
      <c r="J291" s="9"/>
    </row>
    <row r="292" spans="1:10">
      <c r="A292" s="141" t="s">
        <v>492</v>
      </c>
      <c r="B292" s="141">
        <v>2</v>
      </c>
      <c r="C292" s="141"/>
      <c r="D292" s="367"/>
      <c r="E292" s="141" t="s">
        <v>622</v>
      </c>
      <c r="F292" s="142">
        <v>559069172</v>
      </c>
      <c r="G292" s="366" t="s">
        <v>592</v>
      </c>
      <c r="H292" s="364">
        <f t="shared" ref="H292:H295" si="39">F292/$M$12</f>
        <v>5.3040886891916078E-2</v>
      </c>
      <c r="I292" s="134">
        <v>7.1284551844755267E-2</v>
      </c>
      <c r="J292" s="9"/>
    </row>
    <row r="293" spans="1:10">
      <c r="A293" s="141" t="s">
        <v>492</v>
      </c>
      <c r="B293" s="141">
        <v>3</v>
      </c>
      <c r="C293" s="141"/>
      <c r="D293" s="367"/>
      <c r="E293" s="141" t="s">
        <v>627</v>
      </c>
      <c r="F293" s="142">
        <v>527182261</v>
      </c>
      <c r="G293" s="366" t="s">
        <v>592</v>
      </c>
      <c r="H293" s="364">
        <f t="shared" si="39"/>
        <v>5.0015661885083482E-2</v>
      </c>
      <c r="I293" s="134">
        <v>6.7218786329162505E-2</v>
      </c>
      <c r="J293" s="9"/>
    </row>
    <row r="294" spans="1:10" ht="45">
      <c r="A294" s="141" t="s">
        <v>492</v>
      </c>
      <c r="B294" s="141">
        <v>4</v>
      </c>
      <c r="C294" s="141"/>
      <c r="D294" s="367"/>
      <c r="E294" s="141" t="s">
        <v>635</v>
      </c>
      <c r="F294" s="142">
        <v>526112839</v>
      </c>
      <c r="G294" s="366" t="s">
        <v>592</v>
      </c>
      <c r="H294" s="364">
        <f t="shared" si="39"/>
        <v>4.9914202004656148E-2</v>
      </c>
      <c r="I294" s="134">
        <v>6.7082428841000172E-2</v>
      </c>
      <c r="J294" s="9"/>
    </row>
    <row r="295" spans="1:10">
      <c r="A295" s="141" t="s">
        <v>492</v>
      </c>
      <c r="B295" s="141">
        <v>5</v>
      </c>
      <c r="C295" s="141"/>
      <c r="D295" s="367"/>
      <c r="E295" s="141" t="s">
        <v>639</v>
      </c>
      <c r="F295" s="142">
        <v>467776945</v>
      </c>
      <c r="G295" s="366" t="s">
        <v>592</v>
      </c>
      <c r="H295" s="364">
        <f t="shared" si="39"/>
        <v>4.4379667620791381E-2</v>
      </c>
      <c r="I295" s="134">
        <v>5.9644265070716032E-2</v>
      </c>
      <c r="J295" s="9"/>
    </row>
    <row r="296" spans="1:10">
      <c r="A296" s="141" t="s">
        <v>493</v>
      </c>
      <c r="B296" s="141">
        <v>1</v>
      </c>
      <c r="C296" s="141"/>
      <c r="D296" s="367"/>
      <c r="E296" s="141" t="s">
        <v>636</v>
      </c>
      <c r="F296" s="142">
        <v>4438195000</v>
      </c>
      <c r="G296" s="366" t="s">
        <v>588</v>
      </c>
      <c r="H296" s="364">
        <f>F296/$L$13</f>
        <v>0.20562648459195568</v>
      </c>
      <c r="I296" s="134">
        <v>0.25288130646810375</v>
      </c>
      <c r="J296" s="9"/>
    </row>
    <row r="297" spans="1:10">
      <c r="A297" s="141" t="s">
        <v>493</v>
      </c>
      <c r="B297" s="141">
        <v>2</v>
      </c>
      <c r="C297" s="141"/>
      <c r="D297" s="367"/>
      <c r="E297" s="141" t="s">
        <v>625</v>
      </c>
      <c r="F297" s="142">
        <v>2226995257</v>
      </c>
      <c r="G297" s="366" t="s">
        <v>588</v>
      </c>
      <c r="H297" s="364">
        <f t="shared" ref="H297:H300" si="40">F297/$L$13</f>
        <v>0.10317915411555123</v>
      </c>
      <c r="I297" s="134">
        <v>0.12689065489200688</v>
      </c>
      <c r="J297" s="9"/>
    </row>
    <row r="298" spans="1:10" ht="30">
      <c r="A298" s="141" t="s">
        <v>493</v>
      </c>
      <c r="B298" s="141">
        <v>3</v>
      </c>
      <c r="C298" s="141"/>
      <c r="D298" s="367"/>
      <c r="E298" s="141" t="s">
        <v>626</v>
      </c>
      <c r="F298" s="142">
        <v>1191708217</v>
      </c>
      <c r="G298" s="366" t="s">
        <v>588</v>
      </c>
      <c r="H298" s="364">
        <f t="shared" si="40"/>
        <v>5.5213160152056746E-2</v>
      </c>
      <c r="I298" s="134">
        <v>6.7901642637093335E-2</v>
      </c>
      <c r="J298" s="9"/>
    </row>
    <row r="299" spans="1:10">
      <c r="A299" s="141" t="s">
        <v>493</v>
      </c>
      <c r="B299" s="141">
        <v>4</v>
      </c>
      <c r="C299" s="141"/>
      <c r="D299" s="367"/>
      <c r="E299" s="141" t="s">
        <v>624</v>
      </c>
      <c r="F299" s="142">
        <v>1071272320</v>
      </c>
      <c r="G299" s="366" t="s">
        <v>588</v>
      </c>
      <c r="H299" s="364">
        <f t="shared" si="40"/>
        <v>4.9633231798573207E-2</v>
      </c>
      <c r="I299" s="134">
        <v>6.103939639081124E-2</v>
      </c>
      <c r="J299" s="9"/>
    </row>
    <row r="300" spans="1:10">
      <c r="A300" s="141" t="s">
        <v>493</v>
      </c>
      <c r="B300" s="141">
        <v>5</v>
      </c>
      <c r="C300" s="141"/>
      <c r="D300" s="367"/>
      <c r="E300" s="141" t="s">
        <v>622</v>
      </c>
      <c r="F300" s="142">
        <v>1059086321</v>
      </c>
      <c r="G300" s="366" t="s">
        <v>588</v>
      </c>
      <c r="H300" s="364">
        <f t="shared" si="40"/>
        <v>4.9068640982799887E-2</v>
      </c>
      <c r="I300" s="134">
        <v>6.034505751031162E-2</v>
      </c>
      <c r="J300" s="9"/>
    </row>
    <row r="301" spans="1:10">
      <c r="A301" s="141" t="s">
        <v>493</v>
      </c>
      <c r="B301" s="141">
        <v>1</v>
      </c>
      <c r="C301" s="141"/>
      <c r="D301" s="367"/>
      <c r="E301" s="141" t="s">
        <v>636</v>
      </c>
      <c r="F301" s="142">
        <v>3164182230</v>
      </c>
      <c r="G301" s="366" t="s">
        <v>592</v>
      </c>
      <c r="H301" s="364">
        <f>F301/$M$13</f>
        <v>0.11208087579252682</v>
      </c>
      <c r="I301" s="134">
        <v>0.14412029180403499</v>
      </c>
      <c r="J301" s="9"/>
    </row>
    <row r="302" spans="1:10">
      <c r="A302" s="141" t="s">
        <v>493</v>
      </c>
      <c r="B302" s="141">
        <v>2</v>
      </c>
      <c r="C302" s="141"/>
      <c r="D302" s="367"/>
      <c r="E302" s="141" t="s">
        <v>625</v>
      </c>
      <c r="F302" s="142">
        <v>2966674704</v>
      </c>
      <c r="G302" s="366" t="s">
        <v>592</v>
      </c>
      <c r="H302" s="364">
        <f t="shared" ref="H302:H305" si="41">F302/$M$13</f>
        <v>0.10508481334080916</v>
      </c>
      <c r="I302" s="134">
        <v>0.13512433638442156</v>
      </c>
      <c r="J302" s="9"/>
    </row>
    <row r="303" spans="1:10">
      <c r="A303" s="141" t="s">
        <v>493</v>
      </c>
      <c r="B303" s="141">
        <v>3</v>
      </c>
      <c r="C303" s="141"/>
      <c r="D303" s="367"/>
      <c r="E303" s="141" t="s">
        <v>627</v>
      </c>
      <c r="F303" s="142">
        <v>2647094404</v>
      </c>
      <c r="G303" s="366" t="s">
        <v>592</v>
      </c>
      <c r="H303" s="364">
        <f t="shared" si="41"/>
        <v>9.3764719456697287E-2</v>
      </c>
      <c r="I303" s="134">
        <v>0.12056828279997897</v>
      </c>
      <c r="J303" s="9"/>
    </row>
    <row r="304" spans="1:10">
      <c r="A304" s="141" t="s">
        <v>493</v>
      </c>
      <c r="B304" s="141">
        <v>4</v>
      </c>
      <c r="C304" s="141"/>
      <c r="D304" s="367"/>
      <c r="E304" s="141" t="s">
        <v>628</v>
      </c>
      <c r="F304" s="142">
        <v>1203915963</v>
      </c>
      <c r="G304" s="366" t="s">
        <v>592</v>
      </c>
      <c r="H304" s="364">
        <f t="shared" si="41"/>
        <v>4.2644811741339973E-2</v>
      </c>
      <c r="I304" s="134">
        <v>5.4835248820386616E-2</v>
      </c>
      <c r="J304" s="9"/>
    </row>
    <row r="305" spans="1:10">
      <c r="A305" s="141" t="s">
        <v>493</v>
      </c>
      <c r="B305" s="141">
        <v>5</v>
      </c>
      <c r="C305" s="141"/>
      <c r="D305" s="367"/>
      <c r="E305" s="141" t="s">
        <v>638</v>
      </c>
      <c r="F305" s="142">
        <v>1067851580</v>
      </c>
      <c r="G305" s="366" t="s">
        <v>592</v>
      </c>
      <c r="H305" s="364">
        <f t="shared" si="41"/>
        <v>3.7825173015662093E-2</v>
      </c>
      <c r="I305" s="134">
        <v>4.8637869163749084E-2</v>
      </c>
      <c r="J305" s="9"/>
    </row>
    <row r="306" spans="1:10">
      <c r="A306" s="141" t="s">
        <v>495</v>
      </c>
      <c r="B306" s="141">
        <v>1</v>
      </c>
      <c r="C306" s="141"/>
      <c r="D306" s="367"/>
      <c r="E306" s="141" t="s">
        <v>625</v>
      </c>
      <c r="F306" s="142">
        <v>4354230452</v>
      </c>
      <c r="G306" s="366" t="s">
        <v>588</v>
      </c>
      <c r="H306" s="364">
        <f>F306/$L$14</f>
        <v>0.4567030954234908</v>
      </c>
      <c r="I306" s="134">
        <v>0.32142476246252222</v>
      </c>
      <c r="J306" s="9"/>
    </row>
    <row r="307" spans="1:10">
      <c r="A307" s="141" t="s">
        <v>495</v>
      </c>
      <c r="B307" s="141">
        <v>2</v>
      </c>
      <c r="C307" s="141"/>
      <c r="D307" s="367"/>
      <c r="E307" s="141" t="s">
        <v>624</v>
      </c>
      <c r="F307" s="142">
        <v>1045682711</v>
      </c>
      <c r="G307" s="366" t="s">
        <v>588</v>
      </c>
      <c r="H307" s="364">
        <f t="shared" ref="H307:H310" si="42">F307/$L$14</f>
        <v>0.10967874489168805</v>
      </c>
      <c r="I307" s="134">
        <v>7.7191209950763826E-2</v>
      </c>
      <c r="J307" s="9"/>
    </row>
    <row r="308" spans="1:10" ht="30">
      <c r="A308" s="141" t="s">
        <v>495</v>
      </c>
      <c r="B308" s="141">
        <v>3</v>
      </c>
      <c r="C308" s="141"/>
      <c r="D308" s="367"/>
      <c r="E308" s="141" t="s">
        <v>626</v>
      </c>
      <c r="F308" s="142">
        <v>1028059001</v>
      </c>
      <c r="G308" s="366" t="s">
        <v>588</v>
      </c>
      <c r="H308" s="364">
        <f t="shared" si="42"/>
        <v>0.10783024307292259</v>
      </c>
      <c r="I308" s="134">
        <v>7.5890246011692461E-2</v>
      </c>
      <c r="J308" s="9"/>
    </row>
    <row r="309" spans="1:10">
      <c r="A309" s="141" t="s">
        <v>495</v>
      </c>
      <c r="B309" s="141">
        <v>4</v>
      </c>
      <c r="C309" s="141"/>
      <c r="D309" s="367"/>
      <c r="E309" s="141" t="s">
        <v>622</v>
      </c>
      <c r="F309" s="142">
        <v>872774317</v>
      </c>
      <c r="G309" s="366" t="s">
        <v>588</v>
      </c>
      <c r="H309" s="364">
        <f t="shared" si="42"/>
        <v>9.1542865398164044E-2</v>
      </c>
      <c r="I309" s="134">
        <v>6.4427292174271691E-2</v>
      </c>
      <c r="J309" s="9"/>
    </row>
    <row r="310" spans="1:10">
      <c r="A310" s="141" t="s">
        <v>495</v>
      </c>
      <c r="B310" s="141">
        <v>5</v>
      </c>
      <c r="C310" s="141"/>
      <c r="D310" s="367"/>
      <c r="E310" s="141" t="s">
        <v>628</v>
      </c>
      <c r="F310" s="142">
        <v>623600606</v>
      </c>
      <c r="G310" s="366" t="s">
        <v>588</v>
      </c>
      <c r="H310" s="364">
        <f t="shared" si="42"/>
        <v>6.5407729381284641E-2</v>
      </c>
      <c r="I310" s="134">
        <v>4.6033548032113875E-2</v>
      </c>
      <c r="J310" s="9"/>
    </row>
    <row r="311" spans="1:10">
      <c r="A311" s="141" t="s">
        <v>495</v>
      </c>
      <c r="B311" s="141">
        <v>1</v>
      </c>
      <c r="C311" s="141"/>
      <c r="D311" s="367"/>
      <c r="E311" s="141" t="s">
        <v>625</v>
      </c>
      <c r="F311" s="142">
        <v>5262599960</v>
      </c>
      <c r="G311" s="366" t="s">
        <v>592</v>
      </c>
      <c r="H311" s="364">
        <f>F311/$M$14</f>
        <v>0.50125397107486613</v>
      </c>
      <c r="I311" s="134">
        <v>0.39449322860568758</v>
      </c>
      <c r="J311" s="9"/>
    </row>
    <row r="312" spans="1:10">
      <c r="A312" s="141" t="s">
        <v>495</v>
      </c>
      <c r="B312" s="141">
        <v>2</v>
      </c>
      <c r="C312" s="141"/>
      <c r="D312" s="367"/>
      <c r="E312" s="141" t="s">
        <v>622</v>
      </c>
      <c r="F312" s="142">
        <v>1575171090</v>
      </c>
      <c r="G312" s="366" t="s">
        <v>592</v>
      </c>
      <c r="H312" s="364">
        <f t="shared" ref="H312:H315" si="43">F312/$M$14</f>
        <v>0.15003244973703556</v>
      </c>
      <c r="I312" s="134">
        <v>0.11807743959706944</v>
      </c>
      <c r="J312" s="9"/>
    </row>
    <row r="313" spans="1:10">
      <c r="A313" s="141" t="s">
        <v>495</v>
      </c>
      <c r="B313" s="141">
        <v>3</v>
      </c>
      <c r="C313" s="141"/>
      <c r="D313" s="367"/>
      <c r="E313" s="141" t="s">
        <v>627</v>
      </c>
      <c r="F313" s="142">
        <v>895082780</v>
      </c>
      <c r="G313" s="366" t="s">
        <v>592</v>
      </c>
      <c r="H313" s="364">
        <f t="shared" si="43"/>
        <v>8.5255159298813721E-2</v>
      </c>
      <c r="I313" s="134">
        <v>6.7096890973174853E-2</v>
      </c>
      <c r="J313" s="9"/>
    </row>
    <row r="314" spans="1:10">
      <c r="A314" s="141" t="s">
        <v>495</v>
      </c>
      <c r="B314" s="141">
        <v>4</v>
      </c>
      <c r="C314" s="141"/>
      <c r="D314" s="367"/>
      <c r="E314" s="141" t="s">
        <v>638</v>
      </c>
      <c r="F314" s="142">
        <v>784485732</v>
      </c>
      <c r="G314" s="366" t="s">
        <v>592</v>
      </c>
      <c r="H314" s="364">
        <f t="shared" si="43"/>
        <v>7.4720972790144044E-2</v>
      </c>
      <c r="I314" s="134">
        <v>5.8806352670548831E-2</v>
      </c>
      <c r="J314" s="9"/>
    </row>
    <row r="315" spans="1:10">
      <c r="A315" s="141" t="s">
        <v>495</v>
      </c>
      <c r="B315" s="141">
        <v>5</v>
      </c>
      <c r="C315" s="141"/>
      <c r="D315" s="367"/>
      <c r="E315" s="141" t="s">
        <v>624</v>
      </c>
      <c r="F315" s="142">
        <v>627032323</v>
      </c>
      <c r="G315" s="366" t="s">
        <v>592</v>
      </c>
      <c r="H315" s="364">
        <f t="shared" si="43"/>
        <v>5.9723795136434443E-2</v>
      </c>
      <c r="I315" s="134">
        <v>4.7003383768580105E-2</v>
      </c>
      <c r="J315" s="9"/>
    </row>
    <row r="316" spans="1:10">
      <c r="A316" s="141" t="s">
        <v>496</v>
      </c>
      <c r="B316" s="141">
        <v>1</v>
      </c>
      <c r="C316" s="141"/>
      <c r="D316" s="367"/>
      <c r="E316" s="141" t="s">
        <v>625</v>
      </c>
      <c r="F316" s="142">
        <v>1442675691</v>
      </c>
      <c r="G316" s="366" t="s">
        <v>588</v>
      </c>
      <c r="H316" s="364">
        <f>F316/$L$15</f>
        <v>7.8630904784987049E-2</v>
      </c>
      <c r="I316" s="134">
        <v>0.14013560093667654</v>
      </c>
      <c r="J316" s="9"/>
    </row>
    <row r="317" spans="1:10">
      <c r="A317" s="141" t="s">
        <v>496</v>
      </c>
      <c r="B317" s="141">
        <v>2</v>
      </c>
      <c r="C317" s="141"/>
      <c r="D317" s="367"/>
      <c r="E317" s="141" t="s">
        <v>624</v>
      </c>
      <c r="F317" s="142">
        <v>1036870035</v>
      </c>
      <c r="G317" s="366" t="s">
        <v>588</v>
      </c>
      <c r="H317" s="364">
        <f t="shared" ref="H317:H320" si="44">F317/$L$15</f>
        <v>5.6513067701291976E-2</v>
      </c>
      <c r="I317" s="134">
        <v>0.10071730351763294</v>
      </c>
      <c r="J317" s="9"/>
    </row>
    <row r="318" spans="1:10">
      <c r="A318" s="141" t="s">
        <v>496</v>
      </c>
      <c r="B318" s="141">
        <v>3</v>
      </c>
      <c r="C318" s="141"/>
      <c r="D318" s="367"/>
      <c r="E318" s="141" t="s">
        <v>628</v>
      </c>
      <c r="F318" s="142">
        <v>984870884</v>
      </c>
      <c r="G318" s="366" t="s">
        <v>588</v>
      </c>
      <c r="H318" s="364">
        <f t="shared" si="44"/>
        <v>5.367893088406521E-2</v>
      </c>
      <c r="I318" s="134">
        <v>9.5666319211845555E-2</v>
      </c>
      <c r="J318" s="9"/>
    </row>
    <row r="319" spans="1:10" ht="30">
      <c r="A319" s="141" t="s">
        <v>496</v>
      </c>
      <c r="B319" s="141">
        <v>4</v>
      </c>
      <c r="C319" s="141"/>
      <c r="D319" s="367"/>
      <c r="E319" s="141" t="s">
        <v>626</v>
      </c>
      <c r="F319" s="142">
        <v>799072368</v>
      </c>
      <c r="G319" s="366" t="s">
        <v>588</v>
      </c>
      <c r="H319" s="364">
        <f t="shared" si="44"/>
        <v>4.3552257570077912E-2</v>
      </c>
      <c r="I319" s="134">
        <v>7.7618613233827016E-2</v>
      </c>
      <c r="J319" s="9"/>
    </row>
    <row r="320" spans="1:10">
      <c r="A320" s="141" t="s">
        <v>496</v>
      </c>
      <c r="B320" s="141">
        <v>5</v>
      </c>
      <c r="C320" s="141"/>
      <c r="D320" s="367"/>
      <c r="E320" s="141" t="s">
        <v>636</v>
      </c>
      <c r="F320" s="142">
        <v>473660876</v>
      </c>
      <c r="G320" s="366" t="s">
        <v>588</v>
      </c>
      <c r="H320" s="364">
        <f t="shared" si="44"/>
        <v>2.5816185490249281E-2</v>
      </c>
      <c r="I320" s="134">
        <v>4.6009475249730696E-2</v>
      </c>
      <c r="J320" s="9"/>
    </row>
    <row r="321" spans="1:10">
      <c r="A321" s="141" t="s">
        <v>496</v>
      </c>
      <c r="B321" s="141">
        <v>1</v>
      </c>
      <c r="C321" s="141"/>
      <c r="D321" s="367"/>
      <c r="E321" s="141" t="s">
        <v>625</v>
      </c>
      <c r="F321" s="142">
        <v>2691772230</v>
      </c>
      <c r="G321" s="366" t="s">
        <v>592</v>
      </c>
      <c r="H321" s="364">
        <f>F321/$M$15</f>
        <v>0.15117067393207603</v>
      </c>
      <c r="I321" s="134">
        <v>0.2054460649395784</v>
      </c>
      <c r="J321" s="9"/>
    </row>
    <row r="322" spans="1:10">
      <c r="A322" s="141" t="s">
        <v>496</v>
      </c>
      <c r="B322" s="141">
        <v>2</v>
      </c>
      <c r="C322" s="141"/>
      <c r="D322" s="367"/>
      <c r="E322" s="141" t="s">
        <v>624</v>
      </c>
      <c r="F322" s="142">
        <v>1395417532</v>
      </c>
      <c r="G322" s="366" t="s">
        <v>592</v>
      </c>
      <c r="H322" s="364">
        <f t="shared" ref="H322:H325" si="45">F322/$M$15</f>
        <v>7.8367035062648763E-2</v>
      </c>
      <c r="I322" s="134">
        <v>0.10650345437923557</v>
      </c>
      <c r="J322" s="9"/>
    </row>
    <row r="323" spans="1:10">
      <c r="A323" s="141" t="s">
        <v>496</v>
      </c>
      <c r="B323" s="141">
        <v>3</v>
      </c>
      <c r="C323" s="141"/>
      <c r="D323" s="367"/>
      <c r="E323" s="141" t="s">
        <v>627</v>
      </c>
      <c r="F323" s="142">
        <v>1165513220</v>
      </c>
      <c r="G323" s="366" t="s">
        <v>592</v>
      </c>
      <c r="H323" s="364">
        <f t="shared" si="45"/>
        <v>6.545554522796454E-2</v>
      </c>
      <c r="I323" s="134">
        <v>8.8956302474395135E-2</v>
      </c>
      <c r="J323" s="9"/>
    </row>
    <row r="324" spans="1:10">
      <c r="A324" s="141" t="s">
        <v>496</v>
      </c>
      <c r="B324" s="141">
        <v>4</v>
      </c>
      <c r="C324" s="141"/>
      <c r="D324" s="367"/>
      <c r="E324" s="141" t="s">
        <v>623</v>
      </c>
      <c r="F324" s="142">
        <v>862863842</v>
      </c>
      <c r="G324" s="366" t="s">
        <v>592</v>
      </c>
      <c r="H324" s="364">
        <f t="shared" si="45"/>
        <v>4.8458672339732237E-2</v>
      </c>
      <c r="I324" s="134">
        <v>6.5856976657176561E-2</v>
      </c>
      <c r="J324" s="9"/>
    </row>
    <row r="325" spans="1:10">
      <c r="A325" s="141" t="s">
        <v>496</v>
      </c>
      <c r="B325" s="141">
        <v>5</v>
      </c>
      <c r="C325" s="141"/>
      <c r="D325" s="367"/>
      <c r="E325" s="141" t="s">
        <v>628</v>
      </c>
      <c r="F325" s="142">
        <v>740546706</v>
      </c>
      <c r="G325" s="366" t="s">
        <v>592</v>
      </c>
      <c r="H325" s="364">
        <f t="shared" si="45"/>
        <v>4.1589308105834409E-2</v>
      </c>
      <c r="I325" s="134">
        <v>5.652127804723911E-2</v>
      </c>
      <c r="J325" s="9"/>
    </row>
    <row r="326" spans="1:10">
      <c r="A326" s="141" t="s">
        <v>497</v>
      </c>
      <c r="B326" s="141">
        <v>1</v>
      </c>
      <c r="C326" s="141"/>
      <c r="D326" s="367"/>
      <c r="E326" s="141" t="s">
        <v>638</v>
      </c>
      <c r="F326" s="142">
        <v>1665596726</v>
      </c>
      <c r="G326" s="366" t="s">
        <v>588</v>
      </c>
      <c r="H326" s="364">
        <f>F326/$L$16</f>
        <v>0.11948504596655893</v>
      </c>
      <c r="I326" s="134">
        <v>0.10677527606004568</v>
      </c>
      <c r="J326" s="9"/>
    </row>
    <row r="327" spans="1:10">
      <c r="A327" s="141" t="s">
        <v>497</v>
      </c>
      <c r="B327" s="141">
        <v>2</v>
      </c>
      <c r="C327" s="141"/>
      <c r="D327" s="367"/>
      <c r="E327" s="141" t="s">
        <v>636</v>
      </c>
      <c r="F327" s="142">
        <v>1303413731</v>
      </c>
      <c r="G327" s="366" t="s">
        <v>588</v>
      </c>
      <c r="H327" s="364">
        <f t="shared" ref="H327:H330" si="46">F327/$L$16</f>
        <v>9.3503095395721297E-2</v>
      </c>
      <c r="I327" s="134">
        <v>8.3557057224894621E-2</v>
      </c>
      <c r="J327" s="9"/>
    </row>
    <row r="328" spans="1:10">
      <c r="A328" s="141" t="s">
        <v>497</v>
      </c>
      <c r="B328" s="141">
        <v>3</v>
      </c>
      <c r="C328" s="141"/>
      <c r="D328" s="367"/>
      <c r="E328" s="141" t="s">
        <v>625</v>
      </c>
      <c r="F328" s="142">
        <v>1278520109</v>
      </c>
      <c r="G328" s="366" t="s">
        <v>588</v>
      </c>
      <c r="H328" s="364">
        <f t="shared" si="46"/>
        <v>9.171729963705208E-2</v>
      </c>
      <c r="I328" s="134">
        <v>8.1961218736686381E-2</v>
      </c>
      <c r="J328" s="9"/>
    </row>
    <row r="329" spans="1:10">
      <c r="A329" s="141" t="s">
        <v>497</v>
      </c>
      <c r="B329" s="141">
        <v>4</v>
      </c>
      <c r="C329" s="141"/>
      <c r="D329" s="367"/>
      <c r="E329" s="141" t="s">
        <v>622</v>
      </c>
      <c r="F329" s="142">
        <v>1222634912</v>
      </c>
      <c r="G329" s="366" t="s">
        <v>588</v>
      </c>
      <c r="H329" s="364">
        <f t="shared" si="46"/>
        <v>8.7708258776104081E-2</v>
      </c>
      <c r="I329" s="134">
        <v>7.8378624436278854E-2</v>
      </c>
      <c r="J329" s="9"/>
    </row>
    <row r="330" spans="1:10" ht="30">
      <c r="A330" s="141" t="s">
        <v>497</v>
      </c>
      <c r="B330" s="141">
        <v>5</v>
      </c>
      <c r="C330" s="141"/>
      <c r="D330" s="367"/>
      <c r="E330" s="141" t="s">
        <v>626</v>
      </c>
      <c r="F330" s="142">
        <v>1140110895</v>
      </c>
      <c r="G330" s="366" t="s">
        <v>588</v>
      </c>
      <c r="H330" s="364">
        <f t="shared" si="46"/>
        <v>8.1788226747540826E-2</v>
      </c>
      <c r="I330" s="134">
        <v>7.3088313426890567E-2</v>
      </c>
      <c r="J330" s="9"/>
    </row>
    <row r="331" spans="1:10" ht="30">
      <c r="A331" s="141" t="s">
        <v>497</v>
      </c>
      <c r="B331" s="141">
        <v>1</v>
      </c>
      <c r="C331" s="141"/>
      <c r="D331" s="367"/>
      <c r="E331" s="141" t="s">
        <v>640</v>
      </c>
      <c r="F331" s="142">
        <v>2920679318</v>
      </c>
      <c r="G331" s="366" t="s">
        <v>592</v>
      </c>
      <c r="H331" s="364">
        <f>F331/$M$16</f>
        <v>0.16344608164480445</v>
      </c>
      <c r="I331" s="134">
        <v>0.15215266290810861</v>
      </c>
      <c r="J331" s="9"/>
    </row>
    <row r="332" spans="1:10" ht="45">
      <c r="A332" s="141" t="s">
        <v>497</v>
      </c>
      <c r="B332" s="141">
        <v>2</v>
      </c>
      <c r="C332" s="141"/>
      <c r="D332" s="367"/>
      <c r="E332" s="141" t="s">
        <v>635</v>
      </c>
      <c r="F332" s="142">
        <v>1397684602</v>
      </c>
      <c r="G332" s="366" t="s">
        <v>592</v>
      </c>
      <c r="H332" s="364">
        <f t="shared" ref="H332:H335" si="47">F332/$M$16</f>
        <v>7.8216759424520305E-2</v>
      </c>
      <c r="I332" s="134">
        <v>7.2812318966117992E-2</v>
      </c>
      <c r="J332" s="9"/>
    </row>
    <row r="333" spans="1:10">
      <c r="A333" s="141" t="s">
        <v>497</v>
      </c>
      <c r="B333" s="141">
        <v>3</v>
      </c>
      <c r="C333" s="141"/>
      <c r="D333" s="367"/>
      <c r="E333" s="141" t="s">
        <v>638</v>
      </c>
      <c r="F333" s="142">
        <v>1295813635</v>
      </c>
      <c r="G333" s="366" t="s">
        <v>592</v>
      </c>
      <c r="H333" s="364">
        <f t="shared" si="47"/>
        <v>7.2515890353786805E-2</v>
      </c>
      <c r="I333" s="134">
        <v>6.7505355340721412E-2</v>
      </c>
      <c r="J333" s="9"/>
    </row>
    <row r="334" spans="1:10">
      <c r="A334" s="141" t="s">
        <v>497</v>
      </c>
      <c r="B334" s="141">
        <v>4</v>
      </c>
      <c r="C334" s="141"/>
      <c r="D334" s="367"/>
      <c r="E334" s="141" t="s">
        <v>636</v>
      </c>
      <c r="F334" s="142">
        <v>1159719338</v>
      </c>
      <c r="G334" s="366" t="s">
        <v>592</v>
      </c>
      <c r="H334" s="364">
        <f t="shared" si="47"/>
        <v>6.4899826706619132E-2</v>
      </c>
      <c r="I334" s="134">
        <v>6.0415528817302659E-2</v>
      </c>
      <c r="J334" s="9"/>
    </row>
    <row r="335" spans="1:10">
      <c r="A335" s="141" t="s">
        <v>497</v>
      </c>
      <c r="B335" s="141">
        <v>5</v>
      </c>
      <c r="C335" s="141"/>
      <c r="D335" s="367"/>
      <c r="E335" s="141" t="s">
        <v>622</v>
      </c>
      <c r="F335" s="142">
        <v>1057210987</v>
      </c>
      <c r="G335" s="366" t="s">
        <v>592</v>
      </c>
      <c r="H335" s="364">
        <f t="shared" si="47"/>
        <v>5.9163288565111244E-2</v>
      </c>
      <c r="I335" s="134">
        <v>5.5075360699958845E-2</v>
      </c>
      <c r="J335" s="9"/>
    </row>
    <row r="336" spans="1:10">
      <c r="A336" s="141" t="s">
        <v>498</v>
      </c>
      <c r="B336" s="141">
        <v>1</v>
      </c>
      <c r="C336" s="141"/>
      <c r="D336" s="367"/>
      <c r="E336" s="141" t="s">
        <v>622</v>
      </c>
      <c r="F336" s="142">
        <v>73232207</v>
      </c>
      <c r="G336" s="366" t="s">
        <v>588</v>
      </c>
      <c r="H336" s="364">
        <f>F336/$L$17</f>
        <v>3.9024933985612902E-3</v>
      </c>
      <c r="I336" s="134">
        <v>8.7916735969690338E-2</v>
      </c>
      <c r="J336" s="9"/>
    </row>
    <row r="337" spans="1:10" ht="45">
      <c r="A337" s="141" t="s">
        <v>498</v>
      </c>
      <c r="B337" s="141">
        <v>2</v>
      </c>
      <c r="C337" s="141"/>
      <c r="D337" s="367"/>
      <c r="E337" s="141" t="s">
        <v>635</v>
      </c>
      <c r="F337" s="142">
        <v>72970350</v>
      </c>
      <c r="G337" s="366" t="s">
        <v>588</v>
      </c>
      <c r="H337" s="364">
        <f t="shared" ref="H337:H340" si="48">F337/$L$17</f>
        <v>3.8885392210794203E-3</v>
      </c>
      <c r="I337" s="134">
        <v>8.7602371379656679E-2</v>
      </c>
      <c r="J337" s="9"/>
    </row>
    <row r="338" spans="1:10">
      <c r="A338" s="141" t="s">
        <v>498</v>
      </c>
      <c r="B338" s="141">
        <v>3</v>
      </c>
      <c r="C338" s="141"/>
      <c r="D338" s="367"/>
      <c r="E338" s="141" t="s">
        <v>624</v>
      </c>
      <c r="F338" s="142">
        <v>72395969</v>
      </c>
      <c r="G338" s="366" t="s">
        <v>588</v>
      </c>
      <c r="H338" s="364">
        <f t="shared" si="48"/>
        <v>3.8579308569103733E-3</v>
      </c>
      <c r="I338" s="134">
        <v>8.691281544802941E-2</v>
      </c>
      <c r="J338" s="9"/>
    </row>
    <row r="339" spans="1:10">
      <c r="A339" s="141" t="s">
        <v>498</v>
      </c>
      <c r="B339" s="141">
        <v>4</v>
      </c>
      <c r="C339" s="141"/>
      <c r="D339" s="367"/>
      <c r="E339" s="141" t="s">
        <v>632</v>
      </c>
      <c r="F339" s="142">
        <v>55144174</v>
      </c>
      <c r="G339" s="366" t="s">
        <v>588</v>
      </c>
      <c r="H339" s="364">
        <f t="shared" si="48"/>
        <v>2.9385946951471114E-3</v>
      </c>
      <c r="I339" s="134">
        <v>6.620168890751392E-2</v>
      </c>
      <c r="J339" s="9"/>
    </row>
    <row r="340" spans="1:10">
      <c r="A340" s="141" t="s">
        <v>498</v>
      </c>
      <c r="B340" s="141">
        <v>5</v>
      </c>
      <c r="C340" s="141"/>
      <c r="D340" s="367"/>
      <c r="E340" s="141" t="s">
        <v>641</v>
      </c>
      <c r="F340" s="142">
        <v>48517020</v>
      </c>
      <c r="G340" s="366" t="s">
        <v>588</v>
      </c>
      <c r="H340" s="364">
        <f t="shared" si="48"/>
        <v>2.5854382658147407E-3</v>
      </c>
      <c r="I340" s="134">
        <v>5.8245657370071965E-2</v>
      </c>
      <c r="J340" s="9"/>
    </row>
    <row r="341" spans="1:10">
      <c r="A341" s="141" t="s">
        <v>498</v>
      </c>
      <c r="B341" s="141">
        <v>1</v>
      </c>
      <c r="C341" s="141"/>
      <c r="D341" s="367"/>
      <c r="E341" s="141" t="s">
        <v>624</v>
      </c>
      <c r="F341" s="142">
        <v>159529386</v>
      </c>
      <c r="G341" s="366" t="s">
        <v>592</v>
      </c>
      <c r="H341" s="364">
        <f>F341/$M$17</f>
        <v>6.8797832530783374E-3</v>
      </c>
      <c r="I341" s="134">
        <v>0.15322682249030367</v>
      </c>
      <c r="J341" s="9"/>
    </row>
    <row r="342" spans="1:10">
      <c r="A342" s="141" t="s">
        <v>498</v>
      </c>
      <c r="B342" s="141">
        <v>2</v>
      </c>
      <c r="C342" s="141"/>
      <c r="D342" s="367"/>
      <c r="E342" s="141" t="s">
        <v>625</v>
      </c>
      <c r="F342" s="142">
        <v>113830174</v>
      </c>
      <c r="G342" s="366" t="s">
        <v>592</v>
      </c>
      <c r="H342" s="364">
        <f t="shared" ref="H342:H345" si="49">F342/$M$17</f>
        <v>4.9089822534651587E-3</v>
      </c>
      <c r="I342" s="134">
        <v>0.10933305958777012</v>
      </c>
      <c r="J342" s="9"/>
    </row>
    <row r="343" spans="1:10">
      <c r="A343" s="141" t="s">
        <v>498</v>
      </c>
      <c r="B343" s="141">
        <v>3</v>
      </c>
      <c r="C343" s="141"/>
      <c r="D343" s="367"/>
      <c r="E343" s="141" t="s">
        <v>628</v>
      </c>
      <c r="F343" s="142">
        <v>86788102</v>
      </c>
      <c r="G343" s="366" t="s">
        <v>592</v>
      </c>
      <c r="H343" s="364">
        <f t="shared" si="49"/>
        <v>3.7427795948895243E-3</v>
      </c>
      <c r="I343" s="134">
        <v>8.335934483835078E-2</v>
      </c>
      <c r="J343" s="9"/>
    </row>
    <row r="344" spans="1:10">
      <c r="A344" s="141" t="s">
        <v>498</v>
      </c>
      <c r="B344" s="141">
        <v>4</v>
      </c>
      <c r="C344" s="141"/>
      <c r="D344" s="367"/>
      <c r="E344" s="141" t="s">
        <v>627</v>
      </c>
      <c r="F344" s="142">
        <v>86131066</v>
      </c>
      <c r="G344" s="366" t="s">
        <v>592</v>
      </c>
      <c r="H344" s="364">
        <f t="shared" si="49"/>
        <v>3.7144445941551169E-3</v>
      </c>
      <c r="I344" s="134">
        <v>8.2728266508106732E-2</v>
      </c>
      <c r="J344" s="9"/>
    </row>
    <row r="345" spans="1:10">
      <c r="A345" s="141" t="s">
        <v>498</v>
      </c>
      <c r="B345" s="141">
        <v>5</v>
      </c>
      <c r="C345" s="141"/>
      <c r="D345" s="367"/>
      <c r="E345" s="141" t="s">
        <v>642</v>
      </c>
      <c r="F345" s="142">
        <v>81270173</v>
      </c>
      <c r="G345" s="366" t="s">
        <v>592</v>
      </c>
      <c r="H345" s="364">
        <f t="shared" si="49"/>
        <v>3.5048161921727656E-3</v>
      </c>
      <c r="I345" s="134">
        <v>7.8059413906521713E-2</v>
      </c>
      <c r="J345" s="9"/>
    </row>
    <row r="346" spans="1:10">
      <c r="A346" s="141" t="s">
        <v>499</v>
      </c>
      <c r="B346" s="141">
        <v>1</v>
      </c>
      <c r="C346" s="141"/>
      <c r="D346" s="367"/>
      <c r="E346" s="141" t="s">
        <v>622</v>
      </c>
      <c r="F346" s="142">
        <v>137033371</v>
      </c>
      <c r="G346" s="366" t="s">
        <v>588</v>
      </c>
      <c r="H346" s="364">
        <f>F346/$L$18</f>
        <v>0.13133111339854642</v>
      </c>
      <c r="I346" s="134">
        <v>0.12592942981204758</v>
      </c>
      <c r="J346" s="9"/>
    </row>
    <row r="347" spans="1:10">
      <c r="A347" s="141" t="s">
        <v>499</v>
      </c>
      <c r="B347" s="141">
        <v>2</v>
      </c>
      <c r="C347" s="141"/>
      <c r="D347" s="367"/>
      <c r="E347" s="141" t="s">
        <v>625</v>
      </c>
      <c r="F347" s="142">
        <v>114027483</v>
      </c>
      <c r="G347" s="366" t="s">
        <v>588</v>
      </c>
      <c r="H347" s="364">
        <f t="shared" ref="H347:H350" si="50">F347/$L$18</f>
        <v>0.10928255060166202</v>
      </c>
      <c r="I347" s="134">
        <v>0.10478773026092271</v>
      </c>
      <c r="J347" s="9"/>
    </row>
    <row r="348" spans="1:10">
      <c r="A348" s="141" t="s">
        <v>499</v>
      </c>
      <c r="B348" s="141">
        <v>3</v>
      </c>
      <c r="C348" s="141"/>
      <c r="D348" s="367"/>
      <c r="E348" s="141" t="s">
        <v>628</v>
      </c>
      <c r="F348" s="142">
        <v>108825620</v>
      </c>
      <c r="G348" s="366" t="s">
        <v>588</v>
      </c>
      <c r="H348" s="364">
        <f t="shared" si="50"/>
        <v>0.10429714847259448</v>
      </c>
      <c r="I348" s="134">
        <v>0.10000737904595926</v>
      </c>
      <c r="J348" s="9"/>
    </row>
    <row r="349" spans="1:10" ht="30">
      <c r="A349" s="141" t="s">
        <v>499</v>
      </c>
      <c r="B349" s="141">
        <v>4</v>
      </c>
      <c r="C349" s="141"/>
      <c r="D349" s="367"/>
      <c r="E349" s="141" t="s">
        <v>626</v>
      </c>
      <c r="F349" s="142">
        <v>103846970</v>
      </c>
      <c r="G349" s="366" t="s">
        <v>588</v>
      </c>
      <c r="H349" s="364">
        <f t="shared" si="50"/>
        <v>9.952567096350165E-2</v>
      </c>
      <c r="I349" s="134">
        <v>9.543215367451488E-2</v>
      </c>
      <c r="J349" s="9"/>
    </row>
    <row r="350" spans="1:10">
      <c r="A350" s="141" t="s">
        <v>499</v>
      </c>
      <c r="B350" s="141">
        <v>5</v>
      </c>
      <c r="C350" s="141"/>
      <c r="D350" s="367"/>
      <c r="E350" s="141" t="s">
        <v>636</v>
      </c>
      <c r="F350" s="142">
        <v>83974531</v>
      </c>
      <c r="G350" s="366" t="s">
        <v>588</v>
      </c>
      <c r="H350" s="364">
        <f t="shared" si="50"/>
        <v>8.0480167515916634E-2</v>
      </c>
      <c r="I350" s="134">
        <v>7.7169996843791527E-2</v>
      </c>
      <c r="J350" s="9"/>
    </row>
    <row r="351" spans="1:10">
      <c r="A351" s="141" t="s">
        <v>499</v>
      </c>
      <c r="B351" s="141">
        <v>1</v>
      </c>
      <c r="C351" s="141"/>
      <c r="D351" s="367"/>
      <c r="E351" s="141" t="s">
        <v>624</v>
      </c>
      <c r="F351" s="142">
        <v>241139437</v>
      </c>
      <c r="G351" s="366" t="s">
        <v>592</v>
      </c>
      <c r="H351" s="364">
        <f>F351/$M$18</f>
        <v>0.16493674989872104</v>
      </c>
      <c r="I351" s="134">
        <v>0.17281941607696125</v>
      </c>
      <c r="J351" s="9"/>
    </row>
    <row r="352" spans="1:10">
      <c r="A352" s="141" t="s">
        <v>499</v>
      </c>
      <c r="B352" s="141">
        <v>2</v>
      </c>
      <c r="C352" s="141"/>
      <c r="D352" s="367"/>
      <c r="E352" s="141" t="s">
        <v>628</v>
      </c>
      <c r="F352" s="142">
        <v>183091442</v>
      </c>
      <c r="G352" s="366" t="s">
        <v>592</v>
      </c>
      <c r="H352" s="364">
        <f t="shared" ref="H352:H355" si="51">F352/$M$18</f>
        <v>0.12523255322085783</v>
      </c>
      <c r="I352" s="134">
        <v>0.1312176742584367</v>
      </c>
      <c r="J352" s="9"/>
    </row>
    <row r="353" spans="1:10">
      <c r="A353" s="141" t="s">
        <v>499</v>
      </c>
      <c r="B353" s="141">
        <v>3</v>
      </c>
      <c r="C353" s="141"/>
      <c r="D353" s="367"/>
      <c r="E353" s="141" t="s">
        <v>625</v>
      </c>
      <c r="F353" s="142">
        <v>162400416</v>
      </c>
      <c r="G353" s="366" t="s">
        <v>592</v>
      </c>
      <c r="H353" s="364">
        <f t="shared" si="51"/>
        <v>0.11108011667639522</v>
      </c>
      <c r="I353" s="134">
        <v>0.1163888636920704</v>
      </c>
      <c r="J353" s="9"/>
    </row>
    <row r="354" spans="1:10">
      <c r="A354" s="141" t="s">
        <v>499</v>
      </c>
      <c r="B354" s="141">
        <v>4</v>
      </c>
      <c r="C354" s="141"/>
      <c r="D354" s="367"/>
      <c r="E354" s="141" t="s">
        <v>627</v>
      </c>
      <c r="F354" s="142">
        <v>153920908</v>
      </c>
      <c r="G354" s="366" t="s">
        <v>592</v>
      </c>
      <c r="H354" s="364">
        <f t="shared" si="51"/>
        <v>0.1052802255111015</v>
      </c>
      <c r="I354" s="134">
        <v>0.11031178381077365</v>
      </c>
      <c r="J354" s="9"/>
    </row>
    <row r="355" spans="1:10">
      <c r="A355" s="141" t="s">
        <v>499</v>
      </c>
      <c r="B355" s="141">
        <v>5</v>
      </c>
      <c r="C355" s="141"/>
      <c r="D355" s="367"/>
      <c r="E355" s="141" t="s">
        <v>638</v>
      </c>
      <c r="F355" s="142">
        <v>69632279</v>
      </c>
      <c r="G355" s="366" t="s">
        <v>592</v>
      </c>
      <c r="H355" s="364">
        <f t="shared" si="51"/>
        <v>4.762772082901133E-2</v>
      </c>
      <c r="I355" s="9">
        <v>4.9903947469563226E-2</v>
      </c>
      <c r="J355" s="9"/>
    </row>
  </sheetData>
  <sortState ref="AF5:AH19">
    <sortCondition ref="AF5:AF19"/>
  </sortState>
  <hyperlinks>
    <hyperlink ref="X2" r:id="rId1"/>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16592"/>
  <sheetViews>
    <sheetView topLeftCell="A94" workbookViewId="0">
      <selection activeCell="A24" sqref="A24:U31"/>
    </sheetView>
  </sheetViews>
  <sheetFormatPr baseColWidth="10" defaultRowHeight="15"/>
  <cols>
    <col min="1" max="1" width="9.85546875" customWidth="1"/>
    <col min="2" max="2" width="21.42578125" style="128" bestFit="1" customWidth="1"/>
  </cols>
  <sheetData>
    <row r="3" spans="1:16">
      <c r="A3" s="87" t="s">
        <v>1844</v>
      </c>
      <c r="B3" s="154"/>
      <c r="C3" s="85"/>
      <c r="D3" s="85"/>
      <c r="E3" s="85"/>
      <c r="F3" s="85"/>
      <c r="G3" s="85"/>
      <c r="H3" s="85"/>
      <c r="I3" s="85"/>
    </row>
    <row r="4" spans="1:16">
      <c r="A4" s="86"/>
      <c r="B4" s="136"/>
      <c r="C4" s="9"/>
      <c r="D4" s="319">
        <v>2014</v>
      </c>
      <c r="E4" s="319">
        <v>2014</v>
      </c>
      <c r="F4" s="319">
        <v>2014</v>
      </c>
      <c r="G4" s="319">
        <v>2014</v>
      </c>
      <c r="H4" s="319">
        <v>2014</v>
      </c>
      <c r="I4" s="319">
        <v>2014</v>
      </c>
      <c r="J4" s="319">
        <v>2014</v>
      </c>
      <c r="K4" s="319">
        <v>2014</v>
      </c>
      <c r="L4" s="319">
        <v>2014</v>
      </c>
      <c r="M4" s="319">
        <v>2014</v>
      </c>
      <c r="N4" s="319">
        <v>2014</v>
      </c>
      <c r="O4" s="319">
        <v>2014</v>
      </c>
    </row>
    <row r="5" spans="1:16" ht="90">
      <c r="A5" s="70" t="s">
        <v>483</v>
      </c>
      <c r="B5" s="155" t="s">
        <v>484</v>
      </c>
      <c r="C5" s="72" t="s">
        <v>1319</v>
      </c>
      <c r="D5" s="733" t="s">
        <v>1315</v>
      </c>
      <c r="E5" s="733" t="s">
        <v>1316</v>
      </c>
      <c r="F5" s="733" t="s">
        <v>1321</v>
      </c>
      <c r="G5" s="733" t="s">
        <v>1322</v>
      </c>
      <c r="H5" s="320" t="s">
        <v>1325</v>
      </c>
      <c r="I5" s="320" t="s">
        <v>1326</v>
      </c>
      <c r="J5" s="733" t="s">
        <v>1317</v>
      </c>
      <c r="K5" s="733" t="s">
        <v>1318</v>
      </c>
      <c r="L5" s="733" t="s">
        <v>1323</v>
      </c>
      <c r="M5" s="733" t="s">
        <v>1324</v>
      </c>
      <c r="N5" s="320" t="s">
        <v>1327</v>
      </c>
      <c r="O5" s="320" t="s">
        <v>1328</v>
      </c>
      <c r="P5" s="72" t="s">
        <v>1320</v>
      </c>
    </row>
    <row r="6" spans="1:16">
      <c r="A6" s="75" t="s">
        <v>88</v>
      </c>
      <c r="B6" s="76" t="s">
        <v>89</v>
      </c>
      <c r="C6" s="77">
        <f>D6+E6</f>
        <v>61246</v>
      </c>
      <c r="D6" s="729">
        <v>36767</v>
      </c>
      <c r="E6" s="729">
        <v>24479</v>
      </c>
      <c r="F6" s="729">
        <v>1173</v>
      </c>
      <c r="G6" s="729">
        <v>15</v>
      </c>
      <c r="H6" s="321">
        <f>D6-F6</f>
        <v>35594</v>
      </c>
      <c r="I6" s="321">
        <f>E6-G6</f>
        <v>24464</v>
      </c>
      <c r="J6" s="729">
        <v>109121</v>
      </c>
      <c r="K6" s="729">
        <v>51681</v>
      </c>
      <c r="L6" s="729">
        <v>41136</v>
      </c>
      <c r="M6" s="729">
        <v>615</v>
      </c>
      <c r="N6" s="321">
        <f>J6-L6</f>
        <v>67985</v>
      </c>
      <c r="O6" s="321">
        <f>K6-M6</f>
        <v>51066</v>
      </c>
      <c r="P6">
        <f>J6+K6</f>
        <v>160802</v>
      </c>
    </row>
    <row r="7" spans="1:16">
      <c r="A7" s="75" t="s">
        <v>5</v>
      </c>
      <c r="B7" s="76" t="s">
        <v>6</v>
      </c>
      <c r="C7" s="77">
        <f t="shared" ref="C7:C53" si="0">D7+E7</f>
        <v>135765</v>
      </c>
      <c r="D7" s="729">
        <v>80545</v>
      </c>
      <c r="E7" s="729">
        <v>55220</v>
      </c>
      <c r="F7" s="729">
        <v>2828</v>
      </c>
      <c r="G7" s="729">
        <v>50</v>
      </c>
      <c r="H7" s="321">
        <f t="shared" ref="H7:H53" si="1">D7-F7</f>
        <v>77717</v>
      </c>
      <c r="I7" s="321">
        <f t="shared" ref="I7:I53" si="2">E7-G7</f>
        <v>55170</v>
      </c>
      <c r="J7" s="729">
        <v>311286</v>
      </c>
      <c r="K7" s="729">
        <v>159883</v>
      </c>
      <c r="L7" s="729">
        <v>113627</v>
      </c>
      <c r="M7" s="729">
        <v>3023</v>
      </c>
      <c r="N7" s="321">
        <f t="shared" ref="N7:N53" si="3">J7-L7</f>
        <v>197659</v>
      </c>
      <c r="O7" s="321">
        <f t="shared" ref="O7:O53" si="4">K7-M7</f>
        <v>156860</v>
      </c>
      <c r="P7">
        <f t="shared" ref="P7:P53" si="5">J7+K7</f>
        <v>471169</v>
      </c>
    </row>
    <row r="8" spans="1:16">
      <c r="A8" s="75" t="s">
        <v>87</v>
      </c>
      <c r="B8" s="76" t="s">
        <v>1406</v>
      </c>
      <c r="C8" s="77">
        <f t="shared" si="0"/>
        <v>17831</v>
      </c>
      <c r="D8" s="729">
        <v>12679</v>
      </c>
      <c r="E8" s="729">
        <v>5152</v>
      </c>
      <c r="F8" s="729">
        <v>672</v>
      </c>
      <c r="G8" s="729">
        <v>1</v>
      </c>
      <c r="H8" s="321">
        <f t="shared" si="1"/>
        <v>12007</v>
      </c>
      <c r="I8" s="321">
        <f t="shared" si="2"/>
        <v>5151</v>
      </c>
      <c r="J8" s="729">
        <v>67652</v>
      </c>
      <c r="K8" s="729">
        <v>28837</v>
      </c>
      <c r="L8" s="729">
        <v>22757</v>
      </c>
      <c r="M8" s="729">
        <v>0</v>
      </c>
      <c r="N8" s="321">
        <f t="shared" si="3"/>
        <v>44895</v>
      </c>
      <c r="O8" s="321">
        <f t="shared" si="4"/>
        <v>28837</v>
      </c>
      <c r="P8">
        <f t="shared" si="5"/>
        <v>96489</v>
      </c>
    </row>
    <row r="9" spans="1:16">
      <c r="A9" s="75" t="s">
        <v>7</v>
      </c>
      <c r="B9" s="76" t="s">
        <v>8</v>
      </c>
      <c r="C9" s="77">
        <f t="shared" si="0"/>
        <v>81761</v>
      </c>
      <c r="D9" s="729">
        <v>50752</v>
      </c>
      <c r="E9" s="729">
        <v>31009</v>
      </c>
      <c r="F9" s="729">
        <v>2415</v>
      </c>
      <c r="G9" s="729">
        <v>31</v>
      </c>
      <c r="H9" s="321">
        <f t="shared" si="1"/>
        <v>48337</v>
      </c>
      <c r="I9" s="321">
        <f t="shared" si="2"/>
        <v>30978</v>
      </c>
      <c r="J9" s="729">
        <v>186051</v>
      </c>
      <c r="K9" s="729">
        <v>115971</v>
      </c>
      <c r="L9" s="729">
        <v>76403</v>
      </c>
      <c r="M9" s="729">
        <v>2853</v>
      </c>
      <c r="N9" s="321">
        <f t="shared" si="3"/>
        <v>109648</v>
      </c>
      <c r="O9" s="321">
        <f t="shared" si="4"/>
        <v>113118</v>
      </c>
      <c r="P9">
        <f t="shared" si="5"/>
        <v>302022</v>
      </c>
    </row>
    <row r="10" spans="1:16">
      <c r="A10" s="75" t="s">
        <v>9</v>
      </c>
      <c r="B10" s="76" t="s">
        <v>10</v>
      </c>
      <c r="C10" s="77">
        <f t="shared" si="0"/>
        <v>72842</v>
      </c>
      <c r="D10" s="729">
        <v>42177</v>
      </c>
      <c r="E10" s="729">
        <v>30665</v>
      </c>
      <c r="F10" s="729">
        <v>1792</v>
      </c>
      <c r="G10" s="729">
        <v>29</v>
      </c>
      <c r="H10" s="321">
        <f t="shared" si="1"/>
        <v>40385</v>
      </c>
      <c r="I10" s="321">
        <f t="shared" si="2"/>
        <v>30636</v>
      </c>
      <c r="J10" s="729">
        <v>256607</v>
      </c>
      <c r="K10" s="729">
        <v>116053</v>
      </c>
      <c r="L10" s="729">
        <v>100730</v>
      </c>
      <c r="M10" s="729">
        <v>1329</v>
      </c>
      <c r="N10" s="321">
        <f t="shared" si="3"/>
        <v>155877</v>
      </c>
      <c r="O10" s="321">
        <f t="shared" si="4"/>
        <v>114724</v>
      </c>
      <c r="P10">
        <f t="shared" si="5"/>
        <v>372660</v>
      </c>
    </row>
    <row r="11" spans="1:16">
      <c r="A11" s="79" t="s">
        <v>11</v>
      </c>
      <c r="B11" s="76" t="s">
        <v>12</v>
      </c>
      <c r="C11" s="77">
        <f t="shared" si="0"/>
        <v>191606</v>
      </c>
      <c r="D11" s="729">
        <v>107003</v>
      </c>
      <c r="E11" s="729">
        <v>84603</v>
      </c>
      <c r="F11" s="729">
        <v>3158</v>
      </c>
      <c r="G11" s="729">
        <v>65</v>
      </c>
      <c r="H11" s="321">
        <f t="shared" si="1"/>
        <v>103845</v>
      </c>
      <c r="I11" s="321">
        <f t="shared" si="2"/>
        <v>84538</v>
      </c>
      <c r="J11" s="729">
        <v>462466</v>
      </c>
      <c r="K11" s="729">
        <v>317451</v>
      </c>
      <c r="L11" s="729">
        <v>152151</v>
      </c>
      <c r="M11" s="729">
        <v>3563</v>
      </c>
      <c r="N11" s="321">
        <f t="shared" si="3"/>
        <v>310315</v>
      </c>
      <c r="O11" s="321">
        <f t="shared" si="4"/>
        <v>313888</v>
      </c>
      <c r="P11">
        <f t="shared" si="5"/>
        <v>779917</v>
      </c>
    </row>
    <row r="12" spans="1:16">
      <c r="A12" s="79" t="s">
        <v>13</v>
      </c>
      <c r="B12" s="76" t="s">
        <v>54</v>
      </c>
      <c r="C12" s="77">
        <f t="shared" si="0"/>
        <v>137110</v>
      </c>
      <c r="D12" s="729">
        <v>87244</v>
      </c>
      <c r="E12" s="729">
        <v>49866</v>
      </c>
      <c r="F12" s="729">
        <v>1972</v>
      </c>
      <c r="G12" s="729">
        <v>47</v>
      </c>
      <c r="H12" s="321">
        <f t="shared" si="1"/>
        <v>85272</v>
      </c>
      <c r="I12" s="321">
        <f t="shared" si="2"/>
        <v>49819</v>
      </c>
      <c r="J12" s="729">
        <v>329189</v>
      </c>
      <c r="K12" s="729">
        <v>143534</v>
      </c>
      <c r="L12" s="729">
        <v>112749</v>
      </c>
      <c r="M12" s="729">
        <v>4037</v>
      </c>
      <c r="N12" s="321">
        <f t="shared" si="3"/>
        <v>216440</v>
      </c>
      <c r="O12" s="321">
        <f t="shared" si="4"/>
        <v>139497</v>
      </c>
      <c r="P12">
        <f t="shared" si="5"/>
        <v>472723</v>
      </c>
    </row>
    <row r="13" spans="1:16">
      <c r="A13" s="79" t="s">
        <v>14</v>
      </c>
      <c r="B13" s="76" t="s">
        <v>15</v>
      </c>
      <c r="C13" s="77">
        <f t="shared" si="0"/>
        <v>83637</v>
      </c>
      <c r="D13" s="729">
        <v>51041</v>
      </c>
      <c r="E13" s="729">
        <v>32596</v>
      </c>
      <c r="F13" s="729">
        <v>1164</v>
      </c>
      <c r="G13" s="729">
        <v>58</v>
      </c>
      <c r="H13" s="321">
        <f t="shared" si="1"/>
        <v>49877</v>
      </c>
      <c r="I13" s="321">
        <f t="shared" si="2"/>
        <v>32538</v>
      </c>
      <c r="J13" s="729">
        <v>174907</v>
      </c>
      <c r="K13" s="729">
        <v>66006</v>
      </c>
      <c r="L13" s="729">
        <v>64906</v>
      </c>
      <c r="M13" s="729">
        <v>4114</v>
      </c>
      <c r="N13" s="321">
        <f t="shared" si="3"/>
        <v>110001</v>
      </c>
      <c r="O13" s="321">
        <f t="shared" si="4"/>
        <v>61892</v>
      </c>
      <c r="P13">
        <f t="shared" si="5"/>
        <v>240913</v>
      </c>
    </row>
    <row r="14" spans="1:16">
      <c r="A14" s="79" t="s">
        <v>16</v>
      </c>
      <c r="B14" s="76" t="s">
        <v>17</v>
      </c>
      <c r="C14" s="77">
        <f t="shared" si="0"/>
        <v>96456</v>
      </c>
      <c r="D14" s="729">
        <v>53754</v>
      </c>
      <c r="E14" s="729">
        <v>42702</v>
      </c>
      <c r="F14" s="729">
        <v>2045</v>
      </c>
      <c r="G14" s="729">
        <v>27</v>
      </c>
      <c r="H14" s="321">
        <f t="shared" si="1"/>
        <v>51709</v>
      </c>
      <c r="I14" s="321">
        <f t="shared" si="2"/>
        <v>42675</v>
      </c>
      <c r="J14" s="729">
        <v>253664</v>
      </c>
      <c r="K14" s="729">
        <v>158182</v>
      </c>
      <c r="L14" s="729">
        <v>85411</v>
      </c>
      <c r="M14" s="729">
        <v>1607</v>
      </c>
      <c r="N14" s="321">
        <f t="shared" si="3"/>
        <v>168253</v>
      </c>
      <c r="O14" s="321">
        <f t="shared" si="4"/>
        <v>156575</v>
      </c>
      <c r="P14">
        <f t="shared" si="5"/>
        <v>411846</v>
      </c>
    </row>
    <row r="15" spans="1:16">
      <c r="A15" s="79" t="s">
        <v>18</v>
      </c>
      <c r="B15" s="76" t="s">
        <v>19</v>
      </c>
      <c r="C15" s="77">
        <f t="shared" si="0"/>
        <v>87402</v>
      </c>
      <c r="D15" s="729">
        <v>57359</v>
      </c>
      <c r="E15" s="729">
        <v>30043</v>
      </c>
      <c r="F15" s="729">
        <v>1173</v>
      </c>
      <c r="G15" s="729">
        <v>34</v>
      </c>
      <c r="H15" s="321">
        <f t="shared" si="1"/>
        <v>56186</v>
      </c>
      <c r="I15" s="321">
        <f t="shared" si="2"/>
        <v>30009</v>
      </c>
      <c r="J15" s="729">
        <v>164163</v>
      </c>
      <c r="K15" s="729">
        <v>47162</v>
      </c>
      <c r="L15" s="729">
        <v>55681</v>
      </c>
      <c r="M15" s="729">
        <v>555</v>
      </c>
      <c r="N15" s="321">
        <f t="shared" si="3"/>
        <v>108482</v>
      </c>
      <c r="O15" s="321">
        <f t="shared" si="4"/>
        <v>46607</v>
      </c>
      <c r="P15">
        <f t="shared" si="5"/>
        <v>211325</v>
      </c>
    </row>
    <row r="16" spans="1:16">
      <c r="A16" s="79" t="s">
        <v>20</v>
      </c>
      <c r="B16" s="76" t="s">
        <v>21</v>
      </c>
      <c r="C16" s="77">
        <f t="shared" si="0"/>
        <v>70857</v>
      </c>
      <c r="D16" s="729">
        <v>38716</v>
      </c>
      <c r="E16" s="729">
        <v>32141</v>
      </c>
      <c r="F16" s="729">
        <v>1884</v>
      </c>
      <c r="G16" s="729">
        <v>31</v>
      </c>
      <c r="H16" s="321">
        <f t="shared" si="1"/>
        <v>36832</v>
      </c>
      <c r="I16" s="321">
        <f t="shared" si="2"/>
        <v>32110</v>
      </c>
      <c r="J16" s="729">
        <v>189885</v>
      </c>
      <c r="K16" s="729">
        <v>108106</v>
      </c>
      <c r="L16" s="729">
        <v>74633</v>
      </c>
      <c r="M16" s="729">
        <v>2317</v>
      </c>
      <c r="N16" s="321">
        <f t="shared" si="3"/>
        <v>115252</v>
      </c>
      <c r="O16" s="321">
        <f t="shared" si="4"/>
        <v>105789</v>
      </c>
      <c r="P16">
        <f t="shared" si="5"/>
        <v>297991</v>
      </c>
    </row>
    <row r="17" spans="1:16">
      <c r="A17" s="79" t="s">
        <v>22</v>
      </c>
      <c r="B17" s="76" t="s">
        <v>23</v>
      </c>
      <c r="C17" s="77">
        <f t="shared" si="0"/>
        <v>60856</v>
      </c>
      <c r="D17" s="729">
        <v>38359</v>
      </c>
      <c r="E17" s="729">
        <v>22497</v>
      </c>
      <c r="F17" s="729">
        <v>2771</v>
      </c>
      <c r="G17" s="729">
        <v>19</v>
      </c>
      <c r="H17" s="321">
        <f t="shared" si="1"/>
        <v>35588</v>
      </c>
      <c r="I17" s="321">
        <f t="shared" si="2"/>
        <v>22478</v>
      </c>
      <c r="J17" s="729">
        <v>193269</v>
      </c>
      <c r="K17" s="729">
        <v>92831</v>
      </c>
      <c r="L17" s="729">
        <v>78658</v>
      </c>
      <c r="M17" s="729">
        <v>395</v>
      </c>
      <c r="N17" s="321">
        <f t="shared" si="3"/>
        <v>114611</v>
      </c>
      <c r="O17" s="321">
        <f t="shared" si="4"/>
        <v>92436</v>
      </c>
      <c r="P17">
        <f t="shared" si="5"/>
        <v>286100</v>
      </c>
    </row>
    <row r="18" spans="1:16">
      <c r="A18" s="79" t="s">
        <v>24</v>
      </c>
      <c r="B18" s="76" t="s">
        <v>25</v>
      </c>
      <c r="C18" s="77">
        <f t="shared" si="0"/>
        <v>58652</v>
      </c>
      <c r="D18" s="729">
        <v>34820</v>
      </c>
      <c r="E18" s="729">
        <v>23832</v>
      </c>
      <c r="F18" s="729">
        <v>1246</v>
      </c>
      <c r="G18" s="729">
        <v>33</v>
      </c>
      <c r="H18" s="321">
        <f t="shared" si="1"/>
        <v>33574</v>
      </c>
      <c r="I18" s="321">
        <f t="shared" si="2"/>
        <v>23799</v>
      </c>
      <c r="J18" s="729">
        <v>168122</v>
      </c>
      <c r="K18" s="729">
        <v>91125</v>
      </c>
      <c r="L18" s="729">
        <v>60821</v>
      </c>
      <c r="M18" s="729">
        <v>2181</v>
      </c>
      <c r="N18" s="321">
        <f t="shared" si="3"/>
        <v>107301</v>
      </c>
      <c r="O18" s="321">
        <f t="shared" si="4"/>
        <v>88944</v>
      </c>
      <c r="P18">
        <f t="shared" si="5"/>
        <v>259247</v>
      </c>
    </row>
    <row r="19" spans="1:16">
      <c r="A19" s="79" t="s">
        <v>51</v>
      </c>
      <c r="B19" s="76" t="s">
        <v>55</v>
      </c>
      <c r="C19" s="77">
        <f t="shared" si="0"/>
        <v>67729</v>
      </c>
      <c r="D19" s="729">
        <v>45299</v>
      </c>
      <c r="E19" s="729">
        <v>22430</v>
      </c>
      <c r="F19" s="729">
        <v>974</v>
      </c>
      <c r="G19" s="729">
        <v>13</v>
      </c>
      <c r="H19" s="321">
        <f t="shared" si="1"/>
        <v>44325</v>
      </c>
      <c r="I19" s="321">
        <f t="shared" si="2"/>
        <v>22417</v>
      </c>
      <c r="J19" s="729">
        <v>133303</v>
      </c>
      <c r="K19" s="729">
        <v>35528</v>
      </c>
      <c r="L19" s="729">
        <v>47880</v>
      </c>
      <c r="M19" s="729">
        <v>359</v>
      </c>
      <c r="N19" s="321">
        <f t="shared" si="3"/>
        <v>85423</v>
      </c>
      <c r="O19" s="321">
        <f t="shared" si="4"/>
        <v>35169</v>
      </c>
      <c r="P19">
        <f t="shared" si="5"/>
        <v>168831</v>
      </c>
    </row>
    <row r="20" spans="1:16">
      <c r="A20" s="79" t="s">
        <v>26</v>
      </c>
      <c r="B20" s="76" t="s">
        <v>27</v>
      </c>
      <c r="C20" s="77">
        <f t="shared" si="0"/>
        <v>147620</v>
      </c>
      <c r="D20" s="729">
        <v>87258</v>
      </c>
      <c r="E20" s="729">
        <v>60362</v>
      </c>
      <c r="F20" s="729">
        <v>3457</v>
      </c>
      <c r="G20" s="729">
        <v>67</v>
      </c>
      <c r="H20" s="321">
        <f t="shared" si="1"/>
        <v>83801</v>
      </c>
      <c r="I20" s="321">
        <f t="shared" si="2"/>
        <v>60295</v>
      </c>
      <c r="J20" s="729">
        <v>337494</v>
      </c>
      <c r="K20" s="729">
        <v>212829</v>
      </c>
      <c r="L20" s="729">
        <v>122865</v>
      </c>
      <c r="M20" s="729">
        <v>4996</v>
      </c>
      <c r="N20" s="321">
        <f t="shared" si="3"/>
        <v>214629</v>
      </c>
      <c r="O20" s="321">
        <f t="shared" si="4"/>
        <v>207833</v>
      </c>
      <c r="P20">
        <f t="shared" si="5"/>
        <v>550323</v>
      </c>
    </row>
    <row r="21" spans="1:16">
      <c r="A21" s="73" t="s">
        <v>28</v>
      </c>
      <c r="B21" s="79" t="s">
        <v>29</v>
      </c>
      <c r="C21" s="77">
        <f t="shared" si="0"/>
        <v>235643</v>
      </c>
      <c r="D21" s="729">
        <v>131802</v>
      </c>
      <c r="E21" s="729">
        <v>103841</v>
      </c>
      <c r="F21" s="729">
        <v>4333</v>
      </c>
      <c r="G21" s="729">
        <v>69</v>
      </c>
      <c r="H21" s="321">
        <f t="shared" si="1"/>
        <v>127469</v>
      </c>
      <c r="I21" s="321">
        <f t="shared" si="2"/>
        <v>103772</v>
      </c>
      <c r="J21" s="729">
        <v>531471</v>
      </c>
      <c r="K21" s="729">
        <v>374016</v>
      </c>
      <c r="L21" s="729">
        <v>174466</v>
      </c>
      <c r="M21" s="729">
        <v>3585</v>
      </c>
      <c r="N21" s="321">
        <f t="shared" si="3"/>
        <v>357005</v>
      </c>
      <c r="O21" s="321">
        <f t="shared" si="4"/>
        <v>370431</v>
      </c>
      <c r="P21">
        <f t="shared" si="5"/>
        <v>905487</v>
      </c>
    </row>
    <row r="22" spans="1:16">
      <c r="A22" s="73" t="s">
        <v>30</v>
      </c>
      <c r="B22" s="79" t="s">
        <v>485</v>
      </c>
      <c r="C22" s="77">
        <f t="shared" si="0"/>
        <v>185518</v>
      </c>
      <c r="D22" s="729">
        <v>115918</v>
      </c>
      <c r="E22" s="729">
        <v>69600</v>
      </c>
      <c r="F22" s="729">
        <v>2786</v>
      </c>
      <c r="G22" s="729">
        <v>63</v>
      </c>
      <c r="H22" s="321">
        <f t="shared" si="1"/>
        <v>113132</v>
      </c>
      <c r="I22" s="321">
        <f t="shared" si="2"/>
        <v>69537</v>
      </c>
      <c r="J22" s="729">
        <v>433034</v>
      </c>
      <c r="K22" s="729">
        <v>208138</v>
      </c>
      <c r="L22" s="729">
        <v>151329</v>
      </c>
      <c r="M22" s="729">
        <v>4181</v>
      </c>
      <c r="N22" s="321">
        <f t="shared" si="3"/>
        <v>281705</v>
      </c>
      <c r="O22" s="321">
        <f t="shared" si="4"/>
        <v>203957</v>
      </c>
      <c r="P22">
        <f t="shared" si="5"/>
        <v>641172</v>
      </c>
    </row>
    <row r="23" spans="1:16">
      <c r="A23" s="73" t="s">
        <v>31</v>
      </c>
      <c r="B23" s="79" t="s">
        <v>32</v>
      </c>
      <c r="C23" s="77">
        <f t="shared" si="0"/>
        <v>131908</v>
      </c>
      <c r="D23" s="729">
        <v>78720</v>
      </c>
      <c r="E23" s="729">
        <v>53188</v>
      </c>
      <c r="F23" s="729">
        <v>2737</v>
      </c>
      <c r="G23" s="729">
        <v>63</v>
      </c>
      <c r="H23" s="321">
        <f t="shared" si="1"/>
        <v>75983</v>
      </c>
      <c r="I23" s="321">
        <f t="shared" si="2"/>
        <v>53125</v>
      </c>
      <c r="J23" s="729">
        <v>316004</v>
      </c>
      <c r="K23" s="729">
        <v>202047</v>
      </c>
      <c r="L23" s="729">
        <v>113990</v>
      </c>
      <c r="M23" s="729">
        <v>4994</v>
      </c>
      <c r="N23" s="321">
        <f t="shared" si="3"/>
        <v>202014</v>
      </c>
      <c r="O23" s="321">
        <f t="shared" si="4"/>
        <v>197053</v>
      </c>
      <c r="P23">
        <f t="shared" si="5"/>
        <v>518051</v>
      </c>
    </row>
    <row r="24" spans="1:16">
      <c r="A24" s="73" t="s">
        <v>33</v>
      </c>
      <c r="B24" s="79" t="s">
        <v>34</v>
      </c>
      <c r="C24" s="77">
        <f t="shared" si="0"/>
        <v>102300</v>
      </c>
      <c r="D24" s="729">
        <v>59018</v>
      </c>
      <c r="E24" s="729">
        <v>43282</v>
      </c>
      <c r="F24" s="729">
        <v>2462</v>
      </c>
      <c r="G24" s="729">
        <v>29</v>
      </c>
      <c r="H24" s="321">
        <f t="shared" si="1"/>
        <v>56556</v>
      </c>
      <c r="I24" s="321">
        <f t="shared" si="2"/>
        <v>43253</v>
      </c>
      <c r="J24" s="729">
        <v>325198</v>
      </c>
      <c r="K24" s="729">
        <v>167834</v>
      </c>
      <c r="L24" s="729">
        <v>123829</v>
      </c>
      <c r="M24" s="729">
        <v>1329</v>
      </c>
      <c r="N24" s="321">
        <f t="shared" si="3"/>
        <v>201369</v>
      </c>
      <c r="O24" s="321">
        <f t="shared" si="4"/>
        <v>166505</v>
      </c>
      <c r="P24">
        <f t="shared" si="5"/>
        <v>493032</v>
      </c>
    </row>
    <row r="25" spans="1:16">
      <c r="A25" s="73" t="s">
        <v>35</v>
      </c>
      <c r="B25" s="79" t="s">
        <v>61</v>
      </c>
      <c r="C25" s="77">
        <f t="shared" si="0"/>
        <v>127102</v>
      </c>
      <c r="D25" s="729">
        <v>76128</v>
      </c>
      <c r="E25" s="729">
        <v>50974</v>
      </c>
      <c r="F25" s="729">
        <v>2360</v>
      </c>
      <c r="G25" s="729">
        <v>48</v>
      </c>
      <c r="H25" s="321">
        <f t="shared" si="1"/>
        <v>73768</v>
      </c>
      <c r="I25" s="321">
        <f t="shared" si="2"/>
        <v>50926</v>
      </c>
      <c r="J25" s="729">
        <v>298861</v>
      </c>
      <c r="K25" s="729">
        <v>151054</v>
      </c>
      <c r="L25" s="729">
        <v>108146</v>
      </c>
      <c r="M25" s="729">
        <v>2998</v>
      </c>
      <c r="N25" s="321">
        <f t="shared" si="3"/>
        <v>190715</v>
      </c>
      <c r="O25" s="321">
        <f t="shared" si="4"/>
        <v>148056</v>
      </c>
      <c r="P25">
        <f t="shared" si="5"/>
        <v>449915</v>
      </c>
    </row>
    <row r="26" spans="1:16">
      <c r="A26" s="73" t="s">
        <v>36</v>
      </c>
      <c r="B26" s="79" t="s">
        <v>37</v>
      </c>
      <c r="C26" s="77">
        <f t="shared" si="0"/>
        <v>148077</v>
      </c>
      <c r="D26" s="729">
        <v>95251</v>
      </c>
      <c r="E26" s="729">
        <v>52826</v>
      </c>
      <c r="F26" s="729">
        <v>1644</v>
      </c>
      <c r="G26" s="729">
        <v>54</v>
      </c>
      <c r="H26" s="321">
        <f t="shared" si="1"/>
        <v>93607</v>
      </c>
      <c r="I26" s="321">
        <f t="shared" si="2"/>
        <v>52772</v>
      </c>
      <c r="J26" s="729">
        <v>257485</v>
      </c>
      <c r="K26" s="729">
        <v>97566</v>
      </c>
      <c r="L26" s="729">
        <v>82422</v>
      </c>
      <c r="M26" s="729">
        <v>2042</v>
      </c>
      <c r="N26" s="321">
        <f t="shared" si="3"/>
        <v>175063</v>
      </c>
      <c r="O26" s="321">
        <f t="shared" si="4"/>
        <v>95524</v>
      </c>
      <c r="P26">
        <f t="shared" si="5"/>
        <v>355051</v>
      </c>
    </row>
    <row r="27" spans="1:16">
      <c r="A27" s="73" t="s">
        <v>38</v>
      </c>
      <c r="B27" s="79" t="s">
        <v>39</v>
      </c>
      <c r="C27" s="77">
        <f t="shared" si="0"/>
        <v>85037</v>
      </c>
      <c r="D27" s="729">
        <v>47793</v>
      </c>
      <c r="E27" s="729">
        <v>37244</v>
      </c>
      <c r="F27" s="729">
        <v>1727</v>
      </c>
      <c r="G27" s="729">
        <v>26</v>
      </c>
      <c r="H27" s="321">
        <f t="shared" si="1"/>
        <v>46066</v>
      </c>
      <c r="I27" s="321">
        <f t="shared" si="2"/>
        <v>37218</v>
      </c>
      <c r="J27" s="729">
        <v>233174</v>
      </c>
      <c r="K27" s="729">
        <v>138120</v>
      </c>
      <c r="L27" s="729">
        <v>79103</v>
      </c>
      <c r="M27" s="729">
        <v>1607</v>
      </c>
      <c r="N27" s="321">
        <f t="shared" si="3"/>
        <v>154071</v>
      </c>
      <c r="O27" s="321">
        <f t="shared" si="4"/>
        <v>136513</v>
      </c>
      <c r="P27">
        <f t="shared" si="5"/>
        <v>371294</v>
      </c>
    </row>
    <row r="28" spans="1:16">
      <c r="A28" s="73" t="s">
        <v>40</v>
      </c>
      <c r="B28" s="79" t="s">
        <v>41</v>
      </c>
      <c r="C28" s="77">
        <f t="shared" si="0"/>
        <v>76045</v>
      </c>
      <c r="D28" s="729">
        <v>44490</v>
      </c>
      <c r="E28" s="729">
        <v>31555</v>
      </c>
      <c r="F28" s="729">
        <v>1960</v>
      </c>
      <c r="G28" s="729">
        <v>40</v>
      </c>
      <c r="H28" s="321">
        <f t="shared" si="1"/>
        <v>42530</v>
      </c>
      <c r="I28" s="321">
        <f t="shared" si="2"/>
        <v>31515</v>
      </c>
      <c r="J28" s="729">
        <v>191457</v>
      </c>
      <c r="K28" s="729">
        <v>118191</v>
      </c>
      <c r="L28" s="729">
        <v>66767</v>
      </c>
      <c r="M28" s="729">
        <v>2292</v>
      </c>
      <c r="N28" s="321">
        <f t="shared" si="3"/>
        <v>124690</v>
      </c>
      <c r="O28" s="321">
        <f t="shared" si="4"/>
        <v>115899</v>
      </c>
      <c r="P28">
        <f t="shared" si="5"/>
        <v>309648</v>
      </c>
    </row>
    <row r="29" spans="1:16">
      <c r="A29" s="73" t="s">
        <v>42</v>
      </c>
      <c r="B29" s="79" t="s">
        <v>43</v>
      </c>
      <c r="C29" s="77">
        <f t="shared" si="0"/>
        <v>65791</v>
      </c>
      <c r="D29" s="729">
        <v>40262</v>
      </c>
      <c r="E29" s="729">
        <v>25529</v>
      </c>
      <c r="F29" s="729">
        <v>1802</v>
      </c>
      <c r="G29" s="729">
        <v>28</v>
      </c>
      <c r="H29" s="321">
        <f t="shared" si="1"/>
        <v>38460</v>
      </c>
      <c r="I29" s="321">
        <f t="shared" si="2"/>
        <v>25501</v>
      </c>
      <c r="J29" s="729">
        <v>161889</v>
      </c>
      <c r="K29" s="729">
        <v>106756</v>
      </c>
      <c r="L29" s="729">
        <v>68329</v>
      </c>
      <c r="M29" s="729">
        <v>2847</v>
      </c>
      <c r="N29" s="321">
        <f t="shared" si="3"/>
        <v>93560</v>
      </c>
      <c r="O29" s="321">
        <f t="shared" si="4"/>
        <v>103909</v>
      </c>
      <c r="P29">
        <f t="shared" si="5"/>
        <v>268645</v>
      </c>
    </row>
    <row r="30" spans="1:16">
      <c r="A30" s="73" t="s">
        <v>44</v>
      </c>
      <c r="B30" s="79" t="s">
        <v>45</v>
      </c>
      <c r="C30" s="77">
        <f t="shared" si="0"/>
        <v>62867</v>
      </c>
      <c r="D30" s="729">
        <v>34831</v>
      </c>
      <c r="E30" s="729">
        <v>28036</v>
      </c>
      <c r="F30" s="729">
        <v>1580</v>
      </c>
      <c r="G30" s="729">
        <v>29</v>
      </c>
      <c r="H30" s="321">
        <f t="shared" si="1"/>
        <v>33251</v>
      </c>
      <c r="I30" s="321">
        <f t="shared" si="2"/>
        <v>28007</v>
      </c>
      <c r="J30" s="729">
        <v>178683</v>
      </c>
      <c r="K30" s="729">
        <v>97478</v>
      </c>
      <c r="L30" s="729">
        <v>70390</v>
      </c>
      <c r="M30" s="729">
        <v>2316</v>
      </c>
      <c r="N30" s="321">
        <f t="shared" si="3"/>
        <v>108293</v>
      </c>
      <c r="O30" s="321">
        <f t="shared" si="4"/>
        <v>95162</v>
      </c>
      <c r="P30">
        <f t="shared" si="5"/>
        <v>276161</v>
      </c>
    </row>
    <row r="31" spans="1:16">
      <c r="A31" s="73" t="s">
        <v>46</v>
      </c>
      <c r="B31" s="79" t="s">
        <v>47</v>
      </c>
      <c r="C31" s="77">
        <f t="shared" si="0"/>
        <v>48234</v>
      </c>
      <c r="D31" s="729">
        <v>30656</v>
      </c>
      <c r="E31" s="729">
        <v>17578</v>
      </c>
      <c r="F31" s="729">
        <v>2017</v>
      </c>
      <c r="G31" s="729">
        <v>15</v>
      </c>
      <c r="H31" s="321">
        <f t="shared" si="1"/>
        <v>28639</v>
      </c>
      <c r="I31" s="321">
        <f t="shared" si="2"/>
        <v>17563</v>
      </c>
      <c r="J31" s="729">
        <v>165117</v>
      </c>
      <c r="K31" s="729">
        <v>70562</v>
      </c>
      <c r="L31" s="729">
        <v>67314</v>
      </c>
      <c r="M31" s="729">
        <v>384</v>
      </c>
      <c r="N31" s="321">
        <f t="shared" si="3"/>
        <v>97803</v>
      </c>
      <c r="O31" s="321">
        <f t="shared" si="4"/>
        <v>70178</v>
      </c>
      <c r="P31">
        <f t="shared" si="5"/>
        <v>235679</v>
      </c>
    </row>
    <row r="32" spans="1:16">
      <c r="A32" s="73" t="s">
        <v>56</v>
      </c>
      <c r="B32" s="79" t="s">
        <v>63</v>
      </c>
      <c r="C32" s="77">
        <f t="shared" si="0"/>
        <v>67357</v>
      </c>
      <c r="D32" s="729">
        <v>44917</v>
      </c>
      <c r="E32" s="729">
        <v>22440</v>
      </c>
      <c r="F32" s="729">
        <v>954</v>
      </c>
      <c r="G32" s="729">
        <v>12</v>
      </c>
      <c r="H32" s="321">
        <f t="shared" si="1"/>
        <v>43963</v>
      </c>
      <c r="I32" s="321">
        <f t="shared" si="2"/>
        <v>22428</v>
      </c>
      <c r="J32" s="729">
        <v>131754</v>
      </c>
      <c r="K32" s="729">
        <v>36795</v>
      </c>
      <c r="L32" s="729">
        <v>47621</v>
      </c>
      <c r="M32" s="729">
        <v>343</v>
      </c>
      <c r="N32" s="321">
        <f t="shared" si="3"/>
        <v>84133</v>
      </c>
      <c r="O32" s="321">
        <f t="shared" si="4"/>
        <v>36452</v>
      </c>
      <c r="P32">
        <f t="shared" si="5"/>
        <v>168549</v>
      </c>
    </row>
    <row r="33" spans="1:16">
      <c r="A33" s="73" t="s">
        <v>57</v>
      </c>
      <c r="B33" s="79" t="s">
        <v>64</v>
      </c>
      <c r="C33" s="77">
        <f t="shared" si="0"/>
        <v>27887</v>
      </c>
      <c r="D33" s="729">
        <v>19078</v>
      </c>
      <c r="E33" s="729">
        <v>8809</v>
      </c>
      <c r="F33" s="729">
        <v>1112</v>
      </c>
      <c r="G33" s="729">
        <v>1</v>
      </c>
      <c r="H33" s="321">
        <f t="shared" si="1"/>
        <v>17966</v>
      </c>
      <c r="I33" s="321">
        <f t="shared" si="2"/>
        <v>8808</v>
      </c>
      <c r="J33" s="729">
        <v>102398</v>
      </c>
      <c r="K33" s="729">
        <v>46400</v>
      </c>
      <c r="L33" s="729">
        <v>36636</v>
      </c>
      <c r="M33" s="729">
        <v>0</v>
      </c>
      <c r="N33" s="321">
        <f t="shared" si="3"/>
        <v>65762</v>
      </c>
      <c r="O33" s="321">
        <f t="shared" si="4"/>
        <v>46400</v>
      </c>
      <c r="P33">
        <f t="shared" si="5"/>
        <v>148798</v>
      </c>
    </row>
    <row r="34" spans="1:16">
      <c r="A34" s="73" t="s">
        <v>48</v>
      </c>
      <c r="B34" s="79" t="s">
        <v>49</v>
      </c>
      <c r="C34" s="77">
        <f t="shared" si="0"/>
        <v>72905</v>
      </c>
      <c r="D34" s="729">
        <v>43911</v>
      </c>
      <c r="E34" s="729">
        <v>28994</v>
      </c>
      <c r="F34" s="729">
        <v>1058</v>
      </c>
      <c r="G34" s="729">
        <v>56</v>
      </c>
      <c r="H34" s="321">
        <f t="shared" si="1"/>
        <v>42853</v>
      </c>
      <c r="I34" s="321">
        <f t="shared" si="2"/>
        <v>28938</v>
      </c>
      <c r="J34" s="729">
        <v>160790</v>
      </c>
      <c r="K34" s="729">
        <v>61296</v>
      </c>
      <c r="L34" s="729">
        <v>60460</v>
      </c>
      <c r="M34" s="729">
        <v>4110</v>
      </c>
      <c r="N34" s="321">
        <f t="shared" si="3"/>
        <v>100330</v>
      </c>
      <c r="O34" s="321">
        <f t="shared" si="4"/>
        <v>57186</v>
      </c>
      <c r="P34">
        <f t="shared" si="5"/>
        <v>222086</v>
      </c>
    </row>
    <row r="35" spans="1:16">
      <c r="A35" s="73" t="s">
        <v>58</v>
      </c>
      <c r="B35" s="79" t="s">
        <v>65</v>
      </c>
      <c r="C35" s="77">
        <f t="shared" si="0"/>
        <v>62868</v>
      </c>
      <c r="D35" s="729">
        <v>37998</v>
      </c>
      <c r="E35" s="729">
        <v>24870</v>
      </c>
      <c r="F35" s="729">
        <v>1168</v>
      </c>
      <c r="G35" s="729">
        <v>17</v>
      </c>
      <c r="H35" s="321">
        <f t="shared" si="1"/>
        <v>36830</v>
      </c>
      <c r="I35" s="321">
        <f t="shared" si="2"/>
        <v>24853</v>
      </c>
      <c r="J35" s="729">
        <v>113379</v>
      </c>
      <c r="K35" s="729">
        <v>54477</v>
      </c>
      <c r="L35" s="729">
        <v>42391</v>
      </c>
      <c r="M35" s="729">
        <v>626</v>
      </c>
      <c r="N35" s="321">
        <f t="shared" si="3"/>
        <v>70988</v>
      </c>
      <c r="O35" s="321">
        <f t="shared" si="4"/>
        <v>53851</v>
      </c>
      <c r="P35">
        <f t="shared" si="5"/>
        <v>167856</v>
      </c>
    </row>
    <row r="36" spans="1:16">
      <c r="A36" s="73" t="s">
        <v>486</v>
      </c>
      <c r="B36" s="79" t="s">
        <v>465</v>
      </c>
      <c r="C36" s="77">
        <f t="shared" si="0"/>
        <v>157691</v>
      </c>
      <c r="D36" s="729">
        <v>102188</v>
      </c>
      <c r="E36" s="729">
        <v>55503</v>
      </c>
      <c r="F36" s="729">
        <v>1904</v>
      </c>
      <c r="G36" s="729">
        <v>54</v>
      </c>
      <c r="H36" s="321">
        <f t="shared" si="1"/>
        <v>100284</v>
      </c>
      <c r="I36" s="321">
        <f t="shared" si="2"/>
        <v>55449</v>
      </c>
      <c r="J36" s="729">
        <v>271733</v>
      </c>
      <c r="K36" s="729">
        <v>98765</v>
      </c>
      <c r="L36" s="729">
        <v>88060</v>
      </c>
      <c r="M36" s="729">
        <v>2042</v>
      </c>
      <c r="N36" s="321">
        <f t="shared" si="3"/>
        <v>183673</v>
      </c>
      <c r="O36" s="321">
        <f t="shared" si="4"/>
        <v>96723</v>
      </c>
      <c r="P36">
        <f t="shared" si="5"/>
        <v>370498</v>
      </c>
    </row>
    <row r="37" spans="1:16">
      <c r="A37" s="73" t="s">
        <v>487</v>
      </c>
      <c r="B37" s="79" t="s">
        <v>466</v>
      </c>
      <c r="C37" s="77">
        <f t="shared" si="0"/>
        <v>216593</v>
      </c>
      <c r="D37" s="729">
        <v>134195</v>
      </c>
      <c r="E37" s="729">
        <v>82398</v>
      </c>
      <c r="F37" s="729">
        <v>3384</v>
      </c>
      <c r="G37" s="729">
        <v>68</v>
      </c>
      <c r="H37" s="321">
        <f t="shared" si="1"/>
        <v>130811</v>
      </c>
      <c r="I37" s="321">
        <f t="shared" si="2"/>
        <v>82330</v>
      </c>
      <c r="J37" s="729">
        <v>482382</v>
      </c>
      <c r="K37" s="729">
        <v>240618</v>
      </c>
      <c r="L37" s="729">
        <v>168895</v>
      </c>
      <c r="M37" s="729">
        <v>4247</v>
      </c>
      <c r="N37" s="321">
        <f t="shared" si="3"/>
        <v>313487</v>
      </c>
      <c r="O37" s="321">
        <f t="shared" si="4"/>
        <v>236371</v>
      </c>
      <c r="P37">
        <f t="shared" si="5"/>
        <v>723000</v>
      </c>
    </row>
    <row r="38" spans="1:16">
      <c r="A38" s="73" t="s">
        <v>488</v>
      </c>
      <c r="B38" s="79" t="s">
        <v>467</v>
      </c>
      <c r="C38" s="77">
        <f t="shared" si="0"/>
        <v>134661</v>
      </c>
      <c r="D38" s="729">
        <v>80926</v>
      </c>
      <c r="E38" s="729">
        <v>53735</v>
      </c>
      <c r="F38" s="729">
        <v>3041</v>
      </c>
      <c r="G38" s="729">
        <v>66</v>
      </c>
      <c r="H38" s="321">
        <f t="shared" si="1"/>
        <v>77885</v>
      </c>
      <c r="I38" s="321">
        <f t="shared" si="2"/>
        <v>53669</v>
      </c>
      <c r="J38" s="729">
        <v>324624</v>
      </c>
      <c r="K38" s="729">
        <v>203281</v>
      </c>
      <c r="L38" s="729">
        <v>117593</v>
      </c>
      <c r="M38" s="729">
        <v>5061</v>
      </c>
      <c r="N38" s="321">
        <f t="shared" si="3"/>
        <v>207031</v>
      </c>
      <c r="O38" s="321">
        <f t="shared" si="4"/>
        <v>198220</v>
      </c>
      <c r="P38">
        <f t="shared" si="5"/>
        <v>527905</v>
      </c>
    </row>
    <row r="39" spans="1:16">
      <c r="A39" s="73" t="s">
        <v>71</v>
      </c>
      <c r="B39" s="79" t="s">
        <v>116</v>
      </c>
      <c r="C39" s="77">
        <f t="shared" si="0"/>
        <v>166460</v>
      </c>
      <c r="D39" s="729">
        <v>98519</v>
      </c>
      <c r="E39" s="729">
        <v>67941</v>
      </c>
      <c r="F39" s="729">
        <v>3568</v>
      </c>
      <c r="G39" s="729">
        <v>59</v>
      </c>
      <c r="H39" s="321">
        <f t="shared" si="1"/>
        <v>94951</v>
      </c>
      <c r="I39" s="321">
        <f t="shared" si="2"/>
        <v>67882</v>
      </c>
      <c r="J39" s="729">
        <v>357959</v>
      </c>
      <c r="K39" s="729">
        <v>182273</v>
      </c>
      <c r="L39" s="729">
        <v>130873</v>
      </c>
      <c r="M39" s="729">
        <v>3195</v>
      </c>
      <c r="N39" s="321">
        <f t="shared" si="3"/>
        <v>227086</v>
      </c>
      <c r="O39" s="321">
        <f t="shared" si="4"/>
        <v>179078</v>
      </c>
      <c r="P39">
        <f t="shared" si="5"/>
        <v>540232</v>
      </c>
    </row>
    <row r="40" spans="1:16">
      <c r="A40" s="73" t="s">
        <v>489</v>
      </c>
      <c r="B40" s="79" t="s">
        <v>468</v>
      </c>
      <c r="C40" s="77">
        <f t="shared" si="0"/>
        <v>136026</v>
      </c>
      <c r="D40" s="729">
        <v>84233</v>
      </c>
      <c r="E40" s="729">
        <v>51793</v>
      </c>
      <c r="F40" s="729">
        <v>2279</v>
      </c>
      <c r="G40" s="729">
        <v>72</v>
      </c>
      <c r="H40" s="321">
        <f t="shared" si="1"/>
        <v>81954</v>
      </c>
      <c r="I40" s="321">
        <f t="shared" si="2"/>
        <v>51721</v>
      </c>
      <c r="J40" s="729">
        <v>254460</v>
      </c>
      <c r="K40" s="729">
        <v>89898</v>
      </c>
      <c r="L40" s="729">
        <v>95304</v>
      </c>
      <c r="M40" s="729">
        <v>4230</v>
      </c>
      <c r="N40" s="321">
        <f t="shared" si="3"/>
        <v>159156</v>
      </c>
      <c r="O40" s="321">
        <f t="shared" si="4"/>
        <v>85668</v>
      </c>
      <c r="P40">
        <f t="shared" si="5"/>
        <v>344358</v>
      </c>
    </row>
    <row r="41" spans="1:16">
      <c r="A41" s="73" t="s">
        <v>490</v>
      </c>
      <c r="B41" s="79" t="s">
        <v>469</v>
      </c>
      <c r="C41" s="77">
        <f t="shared" si="0"/>
        <v>93500</v>
      </c>
      <c r="D41" s="729">
        <v>51779</v>
      </c>
      <c r="E41" s="729">
        <v>41721</v>
      </c>
      <c r="F41" s="729">
        <v>2582</v>
      </c>
      <c r="G41" s="729">
        <v>39</v>
      </c>
      <c r="H41" s="321">
        <f t="shared" si="1"/>
        <v>49197</v>
      </c>
      <c r="I41" s="321">
        <f t="shared" si="2"/>
        <v>41682</v>
      </c>
      <c r="J41" s="729">
        <v>241311</v>
      </c>
      <c r="K41" s="729">
        <v>138525</v>
      </c>
      <c r="L41" s="729">
        <v>93588</v>
      </c>
      <c r="M41" s="729">
        <v>2545</v>
      </c>
      <c r="N41" s="321">
        <f t="shared" si="3"/>
        <v>147723</v>
      </c>
      <c r="O41" s="321">
        <f t="shared" si="4"/>
        <v>135980</v>
      </c>
      <c r="P41">
        <f t="shared" si="5"/>
        <v>379836</v>
      </c>
    </row>
    <row r="42" spans="1:16">
      <c r="A42" s="73" t="s">
        <v>491</v>
      </c>
      <c r="B42" s="79" t="s">
        <v>470</v>
      </c>
      <c r="C42" s="77">
        <f t="shared" si="0"/>
        <v>118282</v>
      </c>
      <c r="D42" s="729">
        <v>72912</v>
      </c>
      <c r="E42" s="729">
        <v>45370</v>
      </c>
      <c r="F42" s="729">
        <v>3504</v>
      </c>
      <c r="G42" s="729">
        <v>36</v>
      </c>
      <c r="H42" s="321">
        <f t="shared" si="1"/>
        <v>69408</v>
      </c>
      <c r="I42" s="321">
        <f t="shared" si="2"/>
        <v>45334</v>
      </c>
      <c r="J42" s="729">
        <v>252699</v>
      </c>
      <c r="K42" s="729">
        <v>166107</v>
      </c>
      <c r="L42" s="729">
        <v>98763</v>
      </c>
      <c r="M42" s="729">
        <v>2885</v>
      </c>
      <c r="N42" s="321">
        <f t="shared" si="3"/>
        <v>153936</v>
      </c>
      <c r="O42" s="321">
        <f t="shared" si="4"/>
        <v>163222</v>
      </c>
      <c r="P42">
        <f t="shared" si="5"/>
        <v>418806</v>
      </c>
    </row>
    <row r="43" spans="1:16">
      <c r="A43" s="73" t="s">
        <v>492</v>
      </c>
      <c r="B43" s="79" t="s">
        <v>471</v>
      </c>
      <c r="C43" s="77">
        <f t="shared" si="0"/>
        <v>123935</v>
      </c>
      <c r="D43" s="729">
        <v>71181</v>
      </c>
      <c r="E43" s="729">
        <v>52754</v>
      </c>
      <c r="F43" s="729">
        <v>2703</v>
      </c>
      <c r="G43" s="729">
        <v>35</v>
      </c>
      <c r="H43" s="321">
        <f t="shared" si="1"/>
        <v>68478</v>
      </c>
      <c r="I43" s="321">
        <f t="shared" si="2"/>
        <v>52719</v>
      </c>
      <c r="J43" s="729">
        <v>312441</v>
      </c>
      <c r="K43" s="729">
        <v>187997</v>
      </c>
      <c r="L43" s="729">
        <v>104143</v>
      </c>
      <c r="M43" s="729">
        <v>1638</v>
      </c>
      <c r="N43" s="321">
        <f t="shared" si="3"/>
        <v>208298</v>
      </c>
      <c r="O43" s="321">
        <f t="shared" si="4"/>
        <v>186359</v>
      </c>
      <c r="P43">
        <f t="shared" si="5"/>
        <v>500438</v>
      </c>
    </row>
    <row r="44" spans="1:16">
      <c r="A44" s="73" t="s">
        <v>493</v>
      </c>
      <c r="B44" s="79" t="s">
        <v>472</v>
      </c>
      <c r="C44" s="77">
        <f t="shared" si="0"/>
        <v>186660</v>
      </c>
      <c r="D44" s="729">
        <v>113655</v>
      </c>
      <c r="E44" s="729">
        <v>73005</v>
      </c>
      <c r="F44" s="729">
        <v>6321</v>
      </c>
      <c r="G44" s="729">
        <v>34</v>
      </c>
      <c r="H44" s="321">
        <f t="shared" si="1"/>
        <v>107334</v>
      </c>
      <c r="I44" s="321">
        <f t="shared" si="2"/>
        <v>72971</v>
      </c>
      <c r="J44" s="729">
        <v>583955</v>
      </c>
      <c r="K44" s="729">
        <v>305363</v>
      </c>
      <c r="L44" s="729">
        <v>232884</v>
      </c>
      <c r="M44" s="729">
        <v>1338</v>
      </c>
      <c r="N44" s="321">
        <f t="shared" si="3"/>
        <v>351071</v>
      </c>
      <c r="O44" s="321">
        <f t="shared" si="4"/>
        <v>304025</v>
      </c>
      <c r="P44">
        <f t="shared" si="5"/>
        <v>889318</v>
      </c>
    </row>
    <row r="45" spans="1:16">
      <c r="A45" s="73" t="s">
        <v>494</v>
      </c>
      <c r="B45" s="79" t="s">
        <v>478</v>
      </c>
      <c r="C45" s="77">
        <f t="shared" si="0"/>
        <v>92482</v>
      </c>
      <c r="D45" s="729">
        <v>60578</v>
      </c>
      <c r="E45" s="729">
        <v>31904</v>
      </c>
      <c r="F45" s="729">
        <v>4722</v>
      </c>
      <c r="G45" s="729">
        <v>19</v>
      </c>
      <c r="H45" s="321">
        <f t="shared" si="1"/>
        <v>55856</v>
      </c>
      <c r="I45" s="321">
        <f t="shared" si="2"/>
        <v>31885</v>
      </c>
      <c r="J45" s="729">
        <v>281869</v>
      </c>
      <c r="K45" s="729">
        <v>131827</v>
      </c>
      <c r="L45" s="729">
        <v>111063</v>
      </c>
      <c r="M45" s="729">
        <v>936</v>
      </c>
      <c r="N45" s="321">
        <f t="shared" si="3"/>
        <v>170806</v>
      </c>
      <c r="O45" s="321">
        <f t="shared" si="4"/>
        <v>130891</v>
      </c>
      <c r="P45">
        <f t="shared" si="5"/>
        <v>413696</v>
      </c>
    </row>
    <row r="46" spans="1:16">
      <c r="A46" s="73" t="s">
        <v>495</v>
      </c>
      <c r="B46" s="79" t="s">
        <v>473</v>
      </c>
      <c r="C46" s="77">
        <f t="shared" si="0"/>
        <v>104256</v>
      </c>
      <c r="D46" s="729">
        <v>61637</v>
      </c>
      <c r="E46" s="729">
        <v>42619</v>
      </c>
      <c r="F46" s="729">
        <v>3299</v>
      </c>
      <c r="G46" s="729">
        <v>54</v>
      </c>
      <c r="H46" s="321">
        <f t="shared" si="1"/>
        <v>58338</v>
      </c>
      <c r="I46" s="321">
        <f t="shared" si="2"/>
        <v>42565</v>
      </c>
      <c r="J46" s="729">
        <v>247584</v>
      </c>
      <c r="K46" s="729">
        <v>161652</v>
      </c>
      <c r="L46" s="729">
        <v>84970</v>
      </c>
      <c r="M46" s="729">
        <v>2396</v>
      </c>
      <c r="N46" s="321">
        <f t="shared" si="3"/>
        <v>162614</v>
      </c>
      <c r="O46" s="321">
        <f t="shared" si="4"/>
        <v>159256</v>
      </c>
      <c r="P46">
        <f t="shared" si="5"/>
        <v>409236</v>
      </c>
    </row>
    <row r="47" spans="1:16">
      <c r="A47" s="73" t="s">
        <v>496</v>
      </c>
      <c r="B47" s="79" t="s">
        <v>474</v>
      </c>
      <c r="C47" s="77">
        <f t="shared" si="0"/>
        <v>197424</v>
      </c>
      <c r="D47" s="729">
        <v>108729</v>
      </c>
      <c r="E47" s="729">
        <v>88695</v>
      </c>
      <c r="F47" s="729">
        <v>3245</v>
      </c>
      <c r="G47" s="729">
        <v>67</v>
      </c>
      <c r="H47" s="321">
        <f t="shared" si="1"/>
        <v>105484</v>
      </c>
      <c r="I47" s="321">
        <f t="shared" si="2"/>
        <v>88628</v>
      </c>
      <c r="J47" s="729">
        <v>471904</v>
      </c>
      <c r="K47" s="729">
        <v>316042</v>
      </c>
      <c r="L47" s="729">
        <v>156277</v>
      </c>
      <c r="M47" s="729">
        <v>3571</v>
      </c>
      <c r="N47" s="321">
        <f t="shared" si="3"/>
        <v>315627</v>
      </c>
      <c r="O47" s="321">
        <f t="shared" si="4"/>
        <v>312471</v>
      </c>
      <c r="P47">
        <f t="shared" si="5"/>
        <v>787946</v>
      </c>
    </row>
    <row r="48" spans="1:16">
      <c r="A48" s="73" t="s">
        <v>497</v>
      </c>
      <c r="B48" s="79" t="s">
        <v>475</v>
      </c>
      <c r="C48" s="77">
        <f t="shared" si="0"/>
        <v>90252</v>
      </c>
      <c r="D48" s="729">
        <v>57653</v>
      </c>
      <c r="E48" s="729">
        <v>32599</v>
      </c>
      <c r="F48" s="729">
        <v>4331</v>
      </c>
      <c r="G48" s="729">
        <v>27</v>
      </c>
      <c r="H48" s="321">
        <f t="shared" si="1"/>
        <v>53322</v>
      </c>
      <c r="I48" s="321">
        <f t="shared" si="2"/>
        <v>32572</v>
      </c>
      <c r="J48" s="729">
        <v>284321</v>
      </c>
      <c r="K48" s="729">
        <v>153505</v>
      </c>
      <c r="L48" s="729">
        <v>114099</v>
      </c>
      <c r="M48" s="729">
        <v>598</v>
      </c>
      <c r="N48" s="321">
        <f t="shared" si="3"/>
        <v>170222</v>
      </c>
      <c r="O48" s="321">
        <f t="shared" si="4"/>
        <v>152907</v>
      </c>
      <c r="P48">
        <f t="shared" si="5"/>
        <v>437826</v>
      </c>
    </row>
    <row r="49" spans="1:23">
      <c r="A49" s="73" t="s">
        <v>498</v>
      </c>
      <c r="B49" s="79" t="s">
        <v>476</v>
      </c>
      <c r="C49" s="77">
        <f t="shared" si="0"/>
        <v>126926</v>
      </c>
      <c r="D49" s="729">
        <v>83051</v>
      </c>
      <c r="E49" s="729">
        <v>43875</v>
      </c>
      <c r="F49" s="729">
        <v>1727</v>
      </c>
      <c r="G49" s="729">
        <v>19</v>
      </c>
      <c r="H49" s="321">
        <f t="shared" si="1"/>
        <v>81324</v>
      </c>
      <c r="I49" s="321">
        <f t="shared" si="2"/>
        <v>43856</v>
      </c>
      <c r="J49" s="729">
        <v>212525</v>
      </c>
      <c r="K49" s="729">
        <v>56749</v>
      </c>
      <c r="L49" s="729">
        <v>71826</v>
      </c>
      <c r="M49" s="729">
        <v>405</v>
      </c>
      <c r="N49" s="321">
        <f t="shared" si="3"/>
        <v>140699</v>
      </c>
      <c r="O49" s="321">
        <f t="shared" si="4"/>
        <v>56344</v>
      </c>
      <c r="P49">
        <f t="shared" si="5"/>
        <v>269274</v>
      </c>
    </row>
    <row r="50" spans="1:23">
      <c r="A50" s="73" t="s">
        <v>499</v>
      </c>
      <c r="B50" s="79" t="s">
        <v>477</v>
      </c>
      <c r="C50" s="77">
        <f t="shared" si="0"/>
        <v>68812</v>
      </c>
      <c r="D50" s="729">
        <v>41913</v>
      </c>
      <c r="E50" s="729">
        <v>26899</v>
      </c>
      <c r="F50" s="729">
        <v>1347</v>
      </c>
      <c r="G50" s="729">
        <v>17</v>
      </c>
      <c r="H50" s="321">
        <f t="shared" si="1"/>
        <v>40566</v>
      </c>
      <c r="I50" s="321">
        <f t="shared" si="2"/>
        <v>26882</v>
      </c>
      <c r="J50" s="729">
        <v>122566</v>
      </c>
      <c r="K50" s="729">
        <v>55341</v>
      </c>
      <c r="L50" s="729">
        <v>45971</v>
      </c>
      <c r="M50" s="729">
        <v>618</v>
      </c>
      <c r="N50" s="321">
        <f t="shared" si="3"/>
        <v>76595</v>
      </c>
      <c r="O50" s="321">
        <f t="shared" si="4"/>
        <v>54723</v>
      </c>
      <c r="P50">
        <f t="shared" si="5"/>
        <v>177907</v>
      </c>
    </row>
    <row r="51" spans="1:23" ht="15.75" customHeight="1">
      <c r="A51" s="73" t="s">
        <v>69</v>
      </c>
      <c r="B51" s="79" t="s">
        <v>70</v>
      </c>
      <c r="C51" s="77">
        <f t="shared" si="0"/>
        <v>83245</v>
      </c>
      <c r="D51" s="729">
        <v>50428</v>
      </c>
      <c r="E51" s="729">
        <v>32817</v>
      </c>
      <c r="F51" s="729">
        <v>1435</v>
      </c>
      <c r="G51" s="729">
        <v>38</v>
      </c>
      <c r="H51" s="321">
        <f t="shared" si="1"/>
        <v>48993</v>
      </c>
      <c r="I51" s="321">
        <f t="shared" si="2"/>
        <v>32779</v>
      </c>
      <c r="J51" s="729">
        <v>245355</v>
      </c>
      <c r="K51" s="729">
        <v>110530</v>
      </c>
      <c r="L51" s="729">
        <v>92603</v>
      </c>
      <c r="M51" s="729">
        <v>2683</v>
      </c>
      <c r="N51" s="321">
        <f t="shared" si="3"/>
        <v>152752</v>
      </c>
      <c r="O51" s="321">
        <f t="shared" si="4"/>
        <v>107847</v>
      </c>
      <c r="P51">
        <f t="shared" si="5"/>
        <v>355885</v>
      </c>
    </row>
    <row r="52" spans="1:23">
      <c r="A52" s="79" t="s">
        <v>73</v>
      </c>
      <c r="B52" s="79" t="s">
        <v>74</v>
      </c>
      <c r="C52" s="77">
        <f t="shared" si="0"/>
        <v>370580</v>
      </c>
      <c r="D52" s="729">
        <v>216859</v>
      </c>
      <c r="E52" s="729">
        <v>153721</v>
      </c>
      <c r="F52" s="729">
        <v>10811</v>
      </c>
      <c r="G52" s="729">
        <v>107</v>
      </c>
      <c r="H52" s="321">
        <f t="shared" si="1"/>
        <v>206048</v>
      </c>
      <c r="I52" s="321">
        <f t="shared" si="2"/>
        <v>153614</v>
      </c>
      <c r="J52" s="729">
        <v>723578</v>
      </c>
      <c r="K52" s="729">
        <v>350054</v>
      </c>
      <c r="L52" s="729">
        <v>268268</v>
      </c>
      <c r="M52" s="729">
        <v>3944</v>
      </c>
      <c r="N52" s="321">
        <f t="shared" si="3"/>
        <v>455310</v>
      </c>
      <c r="O52" s="321">
        <f t="shared" si="4"/>
        <v>346110</v>
      </c>
      <c r="P52">
        <f t="shared" si="5"/>
        <v>1073632</v>
      </c>
    </row>
    <row r="53" spans="1:23">
      <c r="A53" s="73" t="s">
        <v>75</v>
      </c>
      <c r="B53" s="79" t="s">
        <v>1479</v>
      </c>
      <c r="C53" s="77">
        <f t="shared" si="0"/>
        <v>6369534</v>
      </c>
      <c r="D53" s="729">
        <v>3756933</v>
      </c>
      <c r="E53" s="729">
        <v>2612601</v>
      </c>
      <c r="F53" s="729">
        <v>190870</v>
      </c>
      <c r="G53" s="729">
        <v>2370</v>
      </c>
      <c r="H53" s="321">
        <f t="shared" si="1"/>
        <v>3566063</v>
      </c>
      <c r="I53" s="321">
        <f t="shared" si="2"/>
        <v>2610231</v>
      </c>
      <c r="J53" s="729">
        <v>14449626</v>
      </c>
      <c r="K53" s="729">
        <v>7705544</v>
      </c>
      <c r="L53" s="729">
        <v>5206945</v>
      </c>
      <c r="M53" s="729">
        <v>86333</v>
      </c>
      <c r="N53" s="321">
        <f t="shared" si="3"/>
        <v>9242681</v>
      </c>
      <c r="O53" s="321">
        <f t="shared" si="4"/>
        <v>7619211</v>
      </c>
      <c r="P53">
        <f t="shared" si="5"/>
        <v>22155170</v>
      </c>
    </row>
    <row r="55" spans="1:23">
      <c r="A55" s="87" t="s">
        <v>1853</v>
      </c>
      <c r="B55" s="154"/>
      <c r="C55" s="85"/>
      <c r="D55" s="85"/>
      <c r="E55" s="85"/>
      <c r="F55" s="85"/>
      <c r="G55" s="85"/>
      <c r="H55" s="85"/>
      <c r="I55" s="85"/>
      <c r="J55" s="85"/>
      <c r="K55" s="85"/>
    </row>
    <row r="57" spans="1:23" s="59" customFormat="1" ht="75">
      <c r="A57" s="59" t="s">
        <v>483</v>
      </c>
      <c r="B57" s="59" t="s">
        <v>484</v>
      </c>
      <c r="C57" s="710" t="s">
        <v>1854</v>
      </c>
      <c r="D57" s="59" t="s">
        <v>724</v>
      </c>
      <c r="E57" s="59" t="s">
        <v>1136</v>
      </c>
      <c r="F57" s="59" t="s">
        <v>510</v>
      </c>
      <c r="G57" s="59" t="s">
        <v>1137</v>
      </c>
      <c r="H57" s="59" t="s">
        <v>688</v>
      </c>
      <c r="I57" s="59" t="s">
        <v>513</v>
      </c>
      <c r="J57" s="59" t="s">
        <v>514</v>
      </c>
      <c r="K57" s="59" t="s">
        <v>515</v>
      </c>
      <c r="L57" s="59" t="s">
        <v>516</v>
      </c>
      <c r="M57" s="59" t="s">
        <v>689</v>
      </c>
      <c r="N57" s="59" t="s">
        <v>690</v>
      </c>
      <c r="O57" s="59" t="s">
        <v>519</v>
      </c>
      <c r="R57" s="156" t="s">
        <v>681</v>
      </c>
      <c r="S57" s="156" t="s">
        <v>682</v>
      </c>
      <c r="T57" s="156" t="s">
        <v>683</v>
      </c>
      <c r="U57" s="156" t="s">
        <v>684</v>
      </c>
      <c r="V57" s="156" t="s">
        <v>685</v>
      </c>
      <c r="W57" s="156" t="s">
        <v>686</v>
      </c>
    </row>
    <row r="58" spans="1:23">
      <c r="A58">
        <v>59</v>
      </c>
      <c r="B58" s="128" t="s">
        <v>89</v>
      </c>
      <c r="C58" s="171">
        <v>160802</v>
      </c>
      <c r="D58">
        <v>5672</v>
      </c>
      <c r="E58">
        <v>18378</v>
      </c>
      <c r="F58">
        <v>12237</v>
      </c>
      <c r="G58">
        <v>26954</v>
      </c>
      <c r="H58">
        <v>10681</v>
      </c>
      <c r="I58">
        <v>7181</v>
      </c>
      <c r="J58">
        <v>1660</v>
      </c>
      <c r="K58">
        <v>4258</v>
      </c>
      <c r="L58">
        <v>1609</v>
      </c>
      <c r="M58">
        <v>12451</v>
      </c>
      <c r="N58">
        <v>53943</v>
      </c>
      <c r="O58">
        <v>5778</v>
      </c>
      <c r="R58" s="157">
        <v>2580</v>
      </c>
      <c r="S58" s="157">
        <v>5722</v>
      </c>
      <c r="T58" s="157">
        <v>0</v>
      </c>
      <c r="U58" s="157">
        <v>375</v>
      </c>
      <c r="V58" s="157">
        <v>512</v>
      </c>
      <c r="W58" s="157">
        <v>9189</v>
      </c>
    </row>
    <row r="59" spans="1:23">
      <c r="A59">
        <v>7204</v>
      </c>
      <c r="B59" s="128" t="s">
        <v>6</v>
      </c>
      <c r="C59" s="171">
        <v>471169</v>
      </c>
      <c r="D59">
        <v>10547</v>
      </c>
      <c r="E59">
        <v>49842</v>
      </c>
      <c r="F59">
        <v>29995</v>
      </c>
      <c r="G59">
        <v>63237</v>
      </c>
      <c r="H59">
        <v>31263</v>
      </c>
      <c r="I59">
        <v>18825</v>
      </c>
      <c r="J59">
        <v>17031</v>
      </c>
      <c r="K59">
        <v>19351</v>
      </c>
      <c r="L59">
        <v>5388</v>
      </c>
      <c r="M59">
        <v>55408</v>
      </c>
      <c r="N59">
        <v>155287</v>
      </c>
      <c r="O59">
        <v>14995</v>
      </c>
      <c r="R59" s="157">
        <v>9954</v>
      </c>
      <c r="S59" s="157">
        <v>7124</v>
      </c>
      <c r="T59" s="157">
        <v>0</v>
      </c>
      <c r="U59" s="157">
        <v>6166</v>
      </c>
      <c r="V59" s="157">
        <v>8515</v>
      </c>
      <c r="W59" s="157">
        <v>18083</v>
      </c>
    </row>
    <row r="60" spans="1:23">
      <c r="A60">
        <v>3122</v>
      </c>
      <c r="B60" s="128" t="s">
        <v>1406</v>
      </c>
      <c r="C60" s="171">
        <v>96489</v>
      </c>
      <c r="D60">
        <v>86</v>
      </c>
      <c r="E60">
        <v>10618</v>
      </c>
      <c r="F60">
        <v>7744</v>
      </c>
      <c r="G60">
        <v>14493</v>
      </c>
      <c r="H60">
        <v>8510</v>
      </c>
      <c r="I60">
        <v>3424</v>
      </c>
      <c r="J60">
        <v>1155</v>
      </c>
      <c r="K60">
        <v>1713</v>
      </c>
      <c r="L60">
        <v>812</v>
      </c>
      <c r="M60">
        <v>10048</v>
      </c>
      <c r="N60">
        <v>35310</v>
      </c>
      <c r="O60">
        <v>2576</v>
      </c>
      <c r="R60" s="157">
        <v>1901</v>
      </c>
      <c r="S60" s="157">
        <v>2167</v>
      </c>
      <c r="T60" s="157">
        <v>5</v>
      </c>
      <c r="U60" s="157">
        <v>771</v>
      </c>
      <c r="V60" s="157">
        <v>1168</v>
      </c>
      <c r="W60" s="157">
        <v>4606</v>
      </c>
    </row>
    <row r="61" spans="1:23">
      <c r="A61">
        <v>8210</v>
      </c>
      <c r="B61" s="128" t="s">
        <v>8</v>
      </c>
      <c r="C61" s="171">
        <v>302022</v>
      </c>
      <c r="D61">
        <v>1123</v>
      </c>
      <c r="E61">
        <v>54165</v>
      </c>
      <c r="F61">
        <v>17316</v>
      </c>
      <c r="G61">
        <v>33963</v>
      </c>
      <c r="H61">
        <v>12964</v>
      </c>
      <c r="I61">
        <v>11461</v>
      </c>
      <c r="J61">
        <v>11899</v>
      </c>
      <c r="K61">
        <v>8157</v>
      </c>
      <c r="L61">
        <v>2905</v>
      </c>
      <c r="M61">
        <v>37998</v>
      </c>
      <c r="N61">
        <v>100657</v>
      </c>
      <c r="O61">
        <v>9414</v>
      </c>
      <c r="R61" s="157">
        <v>5141</v>
      </c>
      <c r="S61" s="157">
        <v>3263</v>
      </c>
      <c r="T61" s="157">
        <v>137</v>
      </c>
      <c r="U61" s="157">
        <v>24399</v>
      </c>
      <c r="V61" s="157">
        <v>209</v>
      </c>
      <c r="W61" s="157">
        <v>21016</v>
      </c>
    </row>
    <row r="62" spans="1:23">
      <c r="A62">
        <v>3111</v>
      </c>
      <c r="B62" s="128" t="s">
        <v>10</v>
      </c>
      <c r="C62" s="171">
        <v>372660</v>
      </c>
      <c r="D62">
        <v>1407</v>
      </c>
      <c r="E62">
        <v>28002</v>
      </c>
      <c r="F62">
        <v>19345</v>
      </c>
      <c r="G62">
        <v>51185</v>
      </c>
      <c r="H62">
        <v>23047</v>
      </c>
      <c r="I62">
        <v>12868</v>
      </c>
      <c r="J62">
        <v>16692</v>
      </c>
      <c r="K62">
        <v>19373</v>
      </c>
      <c r="L62">
        <v>3793</v>
      </c>
      <c r="M62">
        <v>47733</v>
      </c>
      <c r="N62">
        <v>138273</v>
      </c>
      <c r="O62">
        <v>10942</v>
      </c>
      <c r="R62" s="157">
        <v>5420</v>
      </c>
      <c r="S62" s="157">
        <v>4984</v>
      </c>
      <c r="T62" s="157">
        <v>108</v>
      </c>
      <c r="U62" s="157">
        <v>3200</v>
      </c>
      <c r="V62" s="157">
        <v>478</v>
      </c>
      <c r="W62" s="157">
        <v>13812</v>
      </c>
    </row>
    <row r="63" spans="1:23">
      <c r="A63">
        <v>8214</v>
      </c>
      <c r="B63" s="128" t="s">
        <v>12</v>
      </c>
      <c r="C63" s="171">
        <v>779917</v>
      </c>
      <c r="D63">
        <v>1362</v>
      </c>
      <c r="E63">
        <v>112158</v>
      </c>
      <c r="F63">
        <v>47201</v>
      </c>
      <c r="G63">
        <v>101422</v>
      </c>
      <c r="H63">
        <v>51598</v>
      </c>
      <c r="I63">
        <v>31032</v>
      </c>
      <c r="J63">
        <v>35024</v>
      </c>
      <c r="K63">
        <v>29704</v>
      </c>
      <c r="L63">
        <v>9249</v>
      </c>
      <c r="M63">
        <v>111234</v>
      </c>
      <c r="N63">
        <v>224421</v>
      </c>
      <c r="O63">
        <v>25512</v>
      </c>
      <c r="R63" s="157">
        <v>14120</v>
      </c>
      <c r="S63" s="157">
        <v>8899</v>
      </c>
      <c r="T63" s="157">
        <v>1009</v>
      </c>
      <c r="U63" s="157">
        <v>18857</v>
      </c>
      <c r="V63" s="157">
        <v>9257</v>
      </c>
      <c r="W63" s="157">
        <v>60016</v>
      </c>
    </row>
    <row r="64" spans="1:23">
      <c r="A64">
        <v>9310</v>
      </c>
      <c r="B64" s="128" t="s">
        <v>54</v>
      </c>
      <c r="C64" s="171">
        <v>472723</v>
      </c>
      <c r="D64">
        <v>765</v>
      </c>
      <c r="E64">
        <v>44935</v>
      </c>
      <c r="F64">
        <v>24665</v>
      </c>
      <c r="G64">
        <v>60374</v>
      </c>
      <c r="H64">
        <v>39305</v>
      </c>
      <c r="I64">
        <v>20418</v>
      </c>
      <c r="J64">
        <v>10403</v>
      </c>
      <c r="K64">
        <v>16831</v>
      </c>
      <c r="L64">
        <v>6150</v>
      </c>
      <c r="M64">
        <v>60146</v>
      </c>
      <c r="N64">
        <v>171078</v>
      </c>
      <c r="O64">
        <v>17653</v>
      </c>
      <c r="R64" s="157">
        <v>9248</v>
      </c>
      <c r="S64" s="157">
        <v>6343</v>
      </c>
      <c r="T64" s="157">
        <v>536</v>
      </c>
      <c r="U64" s="157">
        <v>3566</v>
      </c>
      <c r="V64" s="157">
        <v>10063</v>
      </c>
      <c r="W64" s="157">
        <v>15179</v>
      </c>
    </row>
    <row r="65" spans="1:23">
      <c r="A65">
        <v>9111</v>
      </c>
      <c r="B65" s="128" t="s">
        <v>15</v>
      </c>
      <c r="C65" s="171">
        <v>240913</v>
      </c>
      <c r="D65">
        <v>1627</v>
      </c>
      <c r="E65">
        <v>14346</v>
      </c>
      <c r="F65">
        <v>13488</v>
      </c>
      <c r="G65">
        <v>33792</v>
      </c>
      <c r="H65">
        <v>11323</v>
      </c>
      <c r="I65">
        <v>11940</v>
      </c>
      <c r="J65">
        <v>10627</v>
      </c>
      <c r="K65">
        <v>7954</v>
      </c>
      <c r="L65">
        <v>3146</v>
      </c>
      <c r="M65">
        <v>30399</v>
      </c>
      <c r="N65">
        <v>91942</v>
      </c>
      <c r="O65">
        <v>10329</v>
      </c>
      <c r="R65" s="157">
        <v>4293</v>
      </c>
      <c r="S65" s="157">
        <v>2282</v>
      </c>
      <c r="T65" s="157">
        <v>0</v>
      </c>
      <c r="U65" s="157">
        <v>2226</v>
      </c>
      <c r="V65" s="157">
        <v>149</v>
      </c>
      <c r="W65" s="157">
        <v>5396</v>
      </c>
    </row>
    <row r="66" spans="1:23">
      <c r="A66">
        <v>5203</v>
      </c>
      <c r="B66" s="128" t="s">
        <v>17</v>
      </c>
      <c r="C66" s="171">
        <v>411846</v>
      </c>
      <c r="D66">
        <v>4384</v>
      </c>
      <c r="E66">
        <v>54564</v>
      </c>
      <c r="F66">
        <v>28608</v>
      </c>
      <c r="G66">
        <v>55321</v>
      </c>
      <c r="H66">
        <v>25256</v>
      </c>
      <c r="I66">
        <v>12388</v>
      </c>
      <c r="J66">
        <v>21796</v>
      </c>
      <c r="K66">
        <v>18222</v>
      </c>
      <c r="L66">
        <v>3645</v>
      </c>
      <c r="M66">
        <v>50478</v>
      </c>
      <c r="N66">
        <v>123064</v>
      </c>
      <c r="O66">
        <v>14120</v>
      </c>
      <c r="R66" s="157">
        <v>7512</v>
      </c>
      <c r="S66" s="157">
        <v>11400</v>
      </c>
      <c r="T66" s="157">
        <v>179</v>
      </c>
      <c r="U66" s="157">
        <v>6913</v>
      </c>
      <c r="V66" s="157">
        <v>4899</v>
      </c>
      <c r="W66" s="157">
        <v>23661</v>
      </c>
    </row>
    <row r="67" spans="1:23">
      <c r="A67">
        <v>9307</v>
      </c>
      <c r="B67" s="128" t="s">
        <v>19</v>
      </c>
      <c r="C67" s="171">
        <v>211325</v>
      </c>
      <c r="D67">
        <v>485</v>
      </c>
      <c r="E67">
        <v>15094</v>
      </c>
      <c r="F67">
        <v>13372</v>
      </c>
      <c r="G67">
        <v>30012</v>
      </c>
      <c r="H67">
        <v>13081</v>
      </c>
      <c r="I67">
        <v>15018</v>
      </c>
      <c r="J67">
        <v>3456</v>
      </c>
      <c r="K67">
        <v>6706</v>
      </c>
      <c r="L67">
        <v>3407</v>
      </c>
      <c r="M67">
        <v>22609</v>
      </c>
      <c r="N67">
        <v>79210</v>
      </c>
      <c r="O67">
        <v>8875</v>
      </c>
      <c r="R67" s="157">
        <v>3437</v>
      </c>
      <c r="S67" s="157">
        <v>2401</v>
      </c>
      <c r="T67" s="157">
        <v>0</v>
      </c>
      <c r="U67" s="157">
        <v>1512</v>
      </c>
      <c r="V67" s="157">
        <v>78</v>
      </c>
      <c r="W67" s="157">
        <v>7666</v>
      </c>
    </row>
    <row r="68" spans="1:23">
      <c r="A68">
        <v>5312</v>
      </c>
      <c r="B68" s="128" t="s">
        <v>21</v>
      </c>
      <c r="C68" s="171">
        <v>297991</v>
      </c>
      <c r="D68">
        <v>2922</v>
      </c>
      <c r="E68">
        <v>39316</v>
      </c>
      <c r="F68">
        <v>19374</v>
      </c>
      <c r="G68">
        <v>36586</v>
      </c>
      <c r="H68">
        <v>20188</v>
      </c>
      <c r="I68">
        <v>8935</v>
      </c>
      <c r="J68">
        <v>16463</v>
      </c>
      <c r="K68">
        <v>10336</v>
      </c>
      <c r="L68">
        <v>2374</v>
      </c>
      <c r="M68">
        <v>32343</v>
      </c>
      <c r="N68">
        <v>99405</v>
      </c>
      <c r="O68">
        <v>9749</v>
      </c>
      <c r="R68" s="157">
        <v>3784</v>
      </c>
      <c r="S68" s="157">
        <v>13155</v>
      </c>
      <c r="T68" s="157">
        <v>0</v>
      </c>
      <c r="U68" s="157">
        <v>5661</v>
      </c>
      <c r="V68" s="157">
        <v>5651</v>
      </c>
      <c r="W68" s="157">
        <v>11065</v>
      </c>
    </row>
    <row r="69" spans="1:23">
      <c r="A69">
        <v>2307</v>
      </c>
      <c r="B69" s="128" t="s">
        <v>23</v>
      </c>
      <c r="C69" s="171">
        <v>286100</v>
      </c>
      <c r="D69">
        <v>1689</v>
      </c>
      <c r="E69">
        <v>45851</v>
      </c>
      <c r="F69">
        <v>19847</v>
      </c>
      <c r="G69">
        <v>34780</v>
      </c>
      <c r="H69">
        <v>19859</v>
      </c>
      <c r="I69">
        <v>8529</v>
      </c>
      <c r="J69">
        <v>4492</v>
      </c>
      <c r="K69">
        <v>10580</v>
      </c>
      <c r="L69">
        <v>3372</v>
      </c>
      <c r="M69">
        <v>26087</v>
      </c>
      <c r="N69">
        <v>101806</v>
      </c>
      <c r="O69">
        <v>9208</v>
      </c>
      <c r="R69" s="157">
        <v>4906</v>
      </c>
      <c r="S69" s="157">
        <v>5736</v>
      </c>
      <c r="T69" s="157">
        <v>243</v>
      </c>
      <c r="U69" s="157">
        <v>5184</v>
      </c>
      <c r="V69" s="157">
        <v>5921</v>
      </c>
      <c r="W69" s="157">
        <v>23861</v>
      </c>
    </row>
    <row r="70" spans="1:23">
      <c r="A70">
        <v>4205</v>
      </c>
      <c r="B70" s="128" t="s">
        <v>25</v>
      </c>
      <c r="C70" s="171">
        <v>259247</v>
      </c>
      <c r="D70">
        <v>820</v>
      </c>
      <c r="E70">
        <v>27470</v>
      </c>
      <c r="F70">
        <v>13036</v>
      </c>
      <c r="G70">
        <v>40180</v>
      </c>
      <c r="H70">
        <v>17139</v>
      </c>
      <c r="I70">
        <v>11782</v>
      </c>
      <c r="J70">
        <v>8394</v>
      </c>
      <c r="K70">
        <v>12609</v>
      </c>
      <c r="L70">
        <v>2757</v>
      </c>
      <c r="M70">
        <v>32241</v>
      </c>
      <c r="N70">
        <v>84262</v>
      </c>
      <c r="O70">
        <v>8557</v>
      </c>
      <c r="R70" s="157">
        <v>4086</v>
      </c>
      <c r="S70" s="157">
        <v>6755</v>
      </c>
      <c r="T70" s="157">
        <v>17</v>
      </c>
      <c r="U70" s="157">
        <v>4459</v>
      </c>
      <c r="V70" s="157">
        <v>1380</v>
      </c>
      <c r="W70" s="157">
        <v>10773</v>
      </c>
    </row>
    <row r="71" spans="1:23">
      <c r="A71">
        <v>9315</v>
      </c>
      <c r="B71" s="128" t="s">
        <v>55</v>
      </c>
      <c r="C71" s="171">
        <v>168831</v>
      </c>
      <c r="D71">
        <v>1798</v>
      </c>
      <c r="E71">
        <v>12314</v>
      </c>
      <c r="F71">
        <v>10765</v>
      </c>
      <c r="G71">
        <v>26114</v>
      </c>
      <c r="H71">
        <v>7877</v>
      </c>
      <c r="I71">
        <v>8432</v>
      </c>
      <c r="J71">
        <v>2440</v>
      </c>
      <c r="K71">
        <v>4582</v>
      </c>
      <c r="L71">
        <v>2617</v>
      </c>
      <c r="M71">
        <v>14686</v>
      </c>
      <c r="N71">
        <v>70289</v>
      </c>
      <c r="O71">
        <v>6917</v>
      </c>
      <c r="R71" s="157">
        <v>2998</v>
      </c>
      <c r="S71" s="157">
        <v>2295</v>
      </c>
      <c r="T71" s="157">
        <v>0</v>
      </c>
      <c r="U71" s="157">
        <v>873</v>
      </c>
      <c r="V71" s="157">
        <v>2879</v>
      </c>
      <c r="W71" s="157">
        <v>3269</v>
      </c>
    </row>
    <row r="72" spans="1:23">
      <c r="A72">
        <v>61</v>
      </c>
      <c r="B72" s="128" t="s">
        <v>27</v>
      </c>
      <c r="C72" s="171">
        <v>550323</v>
      </c>
      <c r="D72">
        <v>2333</v>
      </c>
      <c r="E72">
        <v>79167</v>
      </c>
      <c r="F72">
        <v>33804</v>
      </c>
      <c r="G72">
        <v>65663</v>
      </c>
      <c r="H72">
        <v>32099</v>
      </c>
      <c r="I72">
        <v>19204</v>
      </c>
      <c r="J72">
        <v>26227</v>
      </c>
      <c r="K72">
        <v>16061</v>
      </c>
      <c r="L72">
        <v>5370</v>
      </c>
      <c r="M72">
        <v>79659</v>
      </c>
      <c r="N72">
        <v>171517</v>
      </c>
      <c r="O72">
        <v>19219</v>
      </c>
      <c r="R72" s="157">
        <v>8083</v>
      </c>
      <c r="S72" s="157">
        <v>7082</v>
      </c>
      <c r="T72" s="157">
        <v>51</v>
      </c>
      <c r="U72" s="157">
        <v>7954</v>
      </c>
      <c r="V72" s="157">
        <v>34623</v>
      </c>
      <c r="W72" s="157">
        <v>21374</v>
      </c>
    </row>
    <row r="73" spans="1:23">
      <c r="A73">
        <v>2</v>
      </c>
      <c r="B73" s="128" t="s">
        <v>29</v>
      </c>
      <c r="C73" s="171">
        <v>905487</v>
      </c>
      <c r="D73">
        <v>2727</v>
      </c>
      <c r="E73">
        <v>138658</v>
      </c>
      <c r="F73">
        <v>56173</v>
      </c>
      <c r="G73">
        <v>123416</v>
      </c>
      <c r="H73">
        <v>63694</v>
      </c>
      <c r="I73">
        <v>35374</v>
      </c>
      <c r="J73">
        <v>36137</v>
      </c>
      <c r="K73">
        <v>32362</v>
      </c>
      <c r="L73">
        <v>10266</v>
      </c>
      <c r="M73">
        <v>122721</v>
      </c>
      <c r="N73">
        <v>255061</v>
      </c>
      <c r="O73">
        <v>28898</v>
      </c>
      <c r="R73" s="157">
        <v>18514</v>
      </c>
      <c r="S73" s="157">
        <v>11436</v>
      </c>
      <c r="T73" s="157">
        <v>1009</v>
      </c>
      <c r="U73" s="157">
        <v>24127</v>
      </c>
      <c r="V73" s="157">
        <v>10055</v>
      </c>
      <c r="W73" s="157">
        <v>73517</v>
      </c>
    </row>
    <row r="74" spans="1:23">
      <c r="A74">
        <v>3</v>
      </c>
      <c r="B74" s="128" t="s">
        <v>59</v>
      </c>
      <c r="C74" s="171">
        <v>641172</v>
      </c>
      <c r="D74">
        <v>1787</v>
      </c>
      <c r="E74">
        <v>66902</v>
      </c>
      <c r="F74">
        <v>35556</v>
      </c>
      <c r="G74">
        <v>80487</v>
      </c>
      <c r="H74">
        <v>49192</v>
      </c>
      <c r="I74">
        <v>26835</v>
      </c>
      <c r="J74">
        <v>18402</v>
      </c>
      <c r="K74">
        <v>23086</v>
      </c>
      <c r="L74">
        <v>7939</v>
      </c>
      <c r="M74">
        <v>84143</v>
      </c>
      <c r="N74">
        <v>223107</v>
      </c>
      <c r="O74">
        <v>23736</v>
      </c>
      <c r="R74" s="157">
        <v>12692</v>
      </c>
      <c r="S74" s="157">
        <v>8208</v>
      </c>
      <c r="T74" s="157">
        <v>1523</v>
      </c>
      <c r="U74" s="157">
        <v>8165</v>
      </c>
      <c r="V74" s="157">
        <v>10819</v>
      </c>
      <c r="W74" s="157">
        <v>25495</v>
      </c>
    </row>
    <row r="75" spans="1:23">
      <c r="A75">
        <v>4</v>
      </c>
      <c r="B75" s="128" t="s">
        <v>32</v>
      </c>
      <c r="C75" s="171">
        <v>518051</v>
      </c>
      <c r="D75">
        <v>1561</v>
      </c>
      <c r="E75">
        <v>72322</v>
      </c>
      <c r="F75">
        <v>31406</v>
      </c>
      <c r="G75">
        <v>60768</v>
      </c>
      <c r="H75">
        <v>30838</v>
      </c>
      <c r="I75">
        <v>18209</v>
      </c>
      <c r="J75">
        <v>26154</v>
      </c>
      <c r="K75">
        <v>15485</v>
      </c>
      <c r="L75">
        <v>5240</v>
      </c>
      <c r="M75">
        <v>78220</v>
      </c>
      <c r="N75">
        <v>159429</v>
      </c>
      <c r="O75">
        <v>18419</v>
      </c>
      <c r="R75" s="157">
        <v>7503</v>
      </c>
      <c r="S75" s="157">
        <v>4698</v>
      </c>
      <c r="T75" s="157">
        <v>50</v>
      </c>
      <c r="U75" s="157">
        <v>7596</v>
      </c>
      <c r="V75" s="157">
        <v>34234</v>
      </c>
      <c r="W75" s="157">
        <v>18241</v>
      </c>
    </row>
    <row r="76" spans="1:23">
      <c r="A76">
        <v>5</v>
      </c>
      <c r="B76" s="128" t="s">
        <v>34</v>
      </c>
      <c r="C76" s="171">
        <v>493032</v>
      </c>
      <c r="D76">
        <v>2130</v>
      </c>
      <c r="E76">
        <v>42882</v>
      </c>
      <c r="F76">
        <v>25705</v>
      </c>
      <c r="G76">
        <v>76600</v>
      </c>
      <c r="H76">
        <v>28735</v>
      </c>
      <c r="I76">
        <v>15798</v>
      </c>
      <c r="J76">
        <v>20770</v>
      </c>
      <c r="K76">
        <v>25568</v>
      </c>
      <c r="L76">
        <v>4933</v>
      </c>
      <c r="M76">
        <v>64482</v>
      </c>
      <c r="N76">
        <v>170710</v>
      </c>
      <c r="O76">
        <v>14719</v>
      </c>
      <c r="R76" s="157">
        <v>7339</v>
      </c>
      <c r="S76" s="157">
        <v>6710</v>
      </c>
      <c r="T76" s="157">
        <v>151</v>
      </c>
      <c r="U76" s="157">
        <v>3811</v>
      </c>
      <c r="V76" s="157">
        <v>735</v>
      </c>
      <c r="W76" s="157">
        <v>24136</v>
      </c>
    </row>
    <row r="77" spans="1:23">
      <c r="A77">
        <v>6</v>
      </c>
      <c r="B77" s="128" t="s">
        <v>61</v>
      </c>
      <c r="C77" s="171">
        <v>449915</v>
      </c>
      <c r="D77">
        <v>8156</v>
      </c>
      <c r="E77">
        <v>45958</v>
      </c>
      <c r="F77">
        <v>28555</v>
      </c>
      <c r="G77">
        <v>60583</v>
      </c>
      <c r="H77">
        <v>30618</v>
      </c>
      <c r="I77">
        <v>18412</v>
      </c>
      <c r="J77">
        <v>16922</v>
      </c>
      <c r="K77">
        <v>18962</v>
      </c>
      <c r="L77">
        <v>5318</v>
      </c>
      <c r="M77">
        <v>54300</v>
      </c>
      <c r="N77">
        <v>147521</v>
      </c>
      <c r="O77">
        <v>14610</v>
      </c>
      <c r="R77" s="157">
        <v>8131</v>
      </c>
      <c r="S77" s="157">
        <v>6338</v>
      </c>
      <c r="T77" s="157">
        <v>0</v>
      </c>
      <c r="U77" s="157">
        <v>5925</v>
      </c>
      <c r="V77" s="157">
        <v>8512</v>
      </c>
      <c r="W77" s="157">
        <v>17052</v>
      </c>
    </row>
    <row r="78" spans="1:23">
      <c r="A78">
        <v>7</v>
      </c>
      <c r="B78" s="128" t="s">
        <v>37</v>
      </c>
      <c r="C78" s="171">
        <v>355051</v>
      </c>
      <c r="D78">
        <v>786</v>
      </c>
      <c r="E78">
        <v>28484</v>
      </c>
      <c r="F78">
        <v>20919</v>
      </c>
      <c r="G78">
        <v>52551</v>
      </c>
      <c r="H78">
        <v>17634</v>
      </c>
      <c r="I78">
        <v>26747</v>
      </c>
      <c r="J78">
        <v>14542</v>
      </c>
      <c r="K78">
        <v>10181</v>
      </c>
      <c r="L78">
        <v>5810</v>
      </c>
      <c r="M78">
        <v>44198</v>
      </c>
      <c r="N78">
        <v>118709</v>
      </c>
      <c r="O78">
        <v>14490</v>
      </c>
      <c r="R78" s="157">
        <v>4766</v>
      </c>
      <c r="S78" s="157">
        <v>3887</v>
      </c>
      <c r="T78" s="157">
        <v>0</v>
      </c>
      <c r="U78" s="157">
        <v>3896</v>
      </c>
      <c r="V78" s="157">
        <v>2229</v>
      </c>
      <c r="W78" s="157">
        <v>13706</v>
      </c>
    </row>
    <row r="79" spans="1:23">
      <c r="A79">
        <v>8</v>
      </c>
      <c r="B79" s="128" t="s">
        <v>39</v>
      </c>
      <c r="C79" s="171">
        <v>371294</v>
      </c>
      <c r="D79">
        <v>3188</v>
      </c>
      <c r="E79">
        <v>42250</v>
      </c>
      <c r="F79">
        <v>24344</v>
      </c>
      <c r="G79">
        <v>49726</v>
      </c>
      <c r="H79">
        <v>23632</v>
      </c>
      <c r="I79">
        <v>11519</v>
      </c>
      <c r="J79">
        <v>21697</v>
      </c>
      <c r="K79">
        <v>17486</v>
      </c>
      <c r="L79">
        <v>3533</v>
      </c>
      <c r="M79">
        <v>47611</v>
      </c>
      <c r="N79">
        <v>113149</v>
      </c>
      <c r="O79">
        <v>13159</v>
      </c>
      <c r="R79" s="157">
        <v>7288</v>
      </c>
      <c r="S79" s="157">
        <v>7301</v>
      </c>
      <c r="T79" s="157">
        <v>179</v>
      </c>
      <c r="U79" s="157">
        <v>4724</v>
      </c>
      <c r="V79" s="157">
        <v>4258</v>
      </c>
      <c r="W79" s="157">
        <v>18500</v>
      </c>
    </row>
    <row r="80" spans="1:23">
      <c r="A80">
        <v>9</v>
      </c>
      <c r="B80" s="128" t="s">
        <v>41</v>
      </c>
      <c r="C80" s="171">
        <v>309648</v>
      </c>
      <c r="D80">
        <v>2199</v>
      </c>
      <c r="E80">
        <v>45528</v>
      </c>
      <c r="F80">
        <v>17731</v>
      </c>
      <c r="G80">
        <v>48421</v>
      </c>
      <c r="H80">
        <v>19701</v>
      </c>
      <c r="I80">
        <v>14292</v>
      </c>
      <c r="J80">
        <v>8674</v>
      </c>
      <c r="K80">
        <v>13356</v>
      </c>
      <c r="L80">
        <v>3034</v>
      </c>
      <c r="M80">
        <v>34470</v>
      </c>
      <c r="N80">
        <v>92536</v>
      </c>
      <c r="O80">
        <v>9706</v>
      </c>
      <c r="R80" s="157">
        <v>4617</v>
      </c>
      <c r="S80" s="157">
        <v>10873</v>
      </c>
      <c r="T80" s="157">
        <v>17</v>
      </c>
      <c r="U80" s="157">
        <v>10101</v>
      </c>
      <c r="V80" s="157">
        <v>4194</v>
      </c>
      <c r="W80" s="157">
        <v>15726</v>
      </c>
    </row>
    <row r="81" spans="1:23">
      <c r="A81">
        <v>10</v>
      </c>
      <c r="B81" s="128" t="s">
        <v>43</v>
      </c>
      <c r="C81" s="171">
        <v>268645</v>
      </c>
      <c r="D81">
        <v>630</v>
      </c>
      <c r="E81">
        <v>48279</v>
      </c>
      <c r="F81">
        <v>14695</v>
      </c>
      <c r="G81">
        <v>29702</v>
      </c>
      <c r="H81">
        <v>10430</v>
      </c>
      <c r="I81">
        <v>8540</v>
      </c>
      <c r="J81">
        <v>11802</v>
      </c>
      <c r="K81">
        <v>7477</v>
      </c>
      <c r="L81">
        <v>2656</v>
      </c>
      <c r="M81">
        <v>36283</v>
      </c>
      <c r="N81">
        <v>89828</v>
      </c>
      <c r="O81">
        <v>8323</v>
      </c>
      <c r="R81" s="157">
        <v>4798</v>
      </c>
      <c r="S81" s="157">
        <v>2346</v>
      </c>
      <c r="T81" s="157">
        <v>137</v>
      </c>
      <c r="U81" s="157">
        <v>23321</v>
      </c>
      <c r="V81" s="157">
        <v>200</v>
      </c>
      <c r="W81" s="157">
        <v>17477</v>
      </c>
    </row>
    <row r="82" spans="1:23">
      <c r="A82">
        <v>11</v>
      </c>
      <c r="B82" s="128" t="s">
        <v>45</v>
      </c>
      <c r="C82" s="171">
        <v>276161</v>
      </c>
      <c r="D82">
        <v>2303</v>
      </c>
      <c r="E82">
        <v>33267</v>
      </c>
      <c r="F82">
        <v>17479</v>
      </c>
      <c r="G82">
        <v>33824</v>
      </c>
      <c r="H82">
        <v>18292</v>
      </c>
      <c r="I82">
        <v>8528</v>
      </c>
      <c r="J82">
        <v>16442</v>
      </c>
      <c r="K82">
        <v>9995</v>
      </c>
      <c r="L82">
        <v>2336</v>
      </c>
      <c r="M82">
        <v>30640</v>
      </c>
      <c r="N82">
        <v>93771</v>
      </c>
      <c r="O82">
        <v>9284</v>
      </c>
      <c r="R82" s="157">
        <v>3448</v>
      </c>
      <c r="S82" s="157">
        <v>10657</v>
      </c>
      <c r="T82" s="157">
        <v>0</v>
      </c>
      <c r="U82" s="157">
        <v>4792</v>
      </c>
      <c r="V82" s="157">
        <v>5456</v>
      </c>
      <c r="W82" s="157">
        <v>8914</v>
      </c>
    </row>
    <row r="83" spans="1:23">
      <c r="A83">
        <v>12</v>
      </c>
      <c r="B83" s="128" t="s">
        <v>47</v>
      </c>
      <c r="C83" s="171">
        <v>235679</v>
      </c>
      <c r="D83">
        <v>1050</v>
      </c>
      <c r="E83">
        <v>30021</v>
      </c>
      <c r="F83">
        <v>16120</v>
      </c>
      <c r="G83">
        <v>29491</v>
      </c>
      <c r="H83">
        <v>17296</v>
      </c>
      <c r="I83">
        <v>7227</v>
      </c>
      <c r="J83">
        <v>3961</v>
      </c>
      <c r="K83">
        <v>9761</v>
      </c>
      <c r="L83">
        <v>2961</v>
      </c>
      <c r="M83">
        <v>22554</v>
      </c>
      <c r="N83">
        <v>87370</v>
      </c>
      <c r="O83">
        <v>7867</v>
      </c>
      <c r="R83" s="157">
        <v>4420</v>
      </c>
      <c r="S83" s="157">
        <v>4196</v>
      </c>
      <c r="T83" s="157">
        <v>210</v>
      </c>
      <c r="U83" s="157">
        <v>3887</v>
      </c>
      <c r="V83" s="157">
        <v>5032</v>
      </c>
      <c r="W83" s="157">
        <v>12276</v>
      </c>
    </row>
    <row r="84" spans="1:23">
      <c r="A84">
        <v>13</v>
      </c>
      <c r="B84" s="128" t="s">
        <v>63</v>
      </c>
      <c r="C84" s="171">
        <v>168549</v>
      </c>
      <c r="D84">
        <v>1580</v>
      </c>
      <c r="E84">
        <v>13197</v>
      </c>
      <c r="F84">
        <v>10326</v>
      </c>
      <c r="G84">
        <v>25304</v>
      </c>
      <c r="H84">
        <v>7109</v>
      </c>
      <c r="I84">
        <v>8791</v>
      </c>
      <c r="J84">
        <v>2934</v>
      </c>
      <c r="K84">
        <v>4620</v>
      </c>
      <c r="L84">
        <v>2557</v>
      </c>
      <c r="M84">
        <v>15769</v>
      </c>
      <c r="N84">
        <v>69541</v>
      </c>
      <c r="O84">
        <v>6821</v>
      </c>
      <c r="R84" s="157">
        <v>2779</v>
      </c>
      <c r="S84" s="157">
        <v>2240</v>
      </c>
      <c r="T84" s="157">
        <v>0</v>
      </c>
      <c r="U84" s="157">
        <v>1065</v>
      </c>
      <c r="V84" s="157">
        <v>2927</v>
      </c>
      <c r="W84" s="157">
        <v>4186</v>
      </c>
    </row>
    <row r="85" spans="1:23">
      <c r="A85">
        <v>14</v>
      </c>
      <c r="B85" s="128" t="s">
        <v>64</v>
      </c>
      <c r="C85" s="171">
        <v>148798</v>
      </c>
      <c r="D85">
        <v>599</v>
      </c>
      <c r="E85">
        <v>21569</v>
      </c>
      <c r="F85">
        <v>10441</v>
      </c>
      <c r="G85">
        <v>20010</v>
      </c>
      <c r="H85">
        <v>12242</v>
      </c>
      <c r="I85">
        <v>4554</v>
      </c>
      <c r="J85">
        <v>1519</v>
      </c>
      <c r="K85">
        <v>2662</v>
      </c>
      <c r="L85">
        <v>1614</v>
      </c>
      <c r="M85">
        <v>13330</v>
      </c>
      <c r="N85">
        <v>56311</v>
      </c>
      <c r="O85">
        <v>3947</v>
      </c>
      <c r="R85" s="157">
        <v>2943</v>
      </c>
      <c r="S85" s="157">
        <v>3189</v>
      </c>
      <c r="T85" s="157">
        <v>23</v>
      </c>
      <c r="U85" s="157">
        <v>1257</v>
      </c>
      <c r="V85" s="157">
        <v>6919</v>
      </c>
      <c r="W85" s="157">
        <v>7238</v>
      </c>
    </row>
    <row r="86" spans="1:23">
      <c r="A86">
        <v>15</v>
      </c>
      <c r="B86" s="128" t="s">
        <v>49</v>
      </c>
      <c r="C86" s="171">
        <v>222086</v>
      </c>
      <c r="D86">
        <v>1302</v>
      </c>
      <c r="E86">
        <v>12439</v>
      </c>
      <c r="F86">
        <v>12349</v>
      </c>
      <c r="G86">
        <v>30199</v>
      </c>
      <c r="H86">
        <v>10113</v>
      </c>
      <c r="I86">
        <v>10301</v>
      </c>
      <c r="J86">
        <v>10431</v>
      </c>
      <c r="K86">
        <v>7440</v>
      </c>
      <c r="L86">
        <v>2887</v>
      </c>
      <c r="M86">
        <v>29262</v>
      </c>
      <c r="N86">
        <v>85995</v>
      </c>
      <c r="O86">
        <v>9368</v>
      </c>
      <c r="R86" s="157">
        <v>3795</v>
      </c>
      <c r="S86" s="157">
        <v>1895</v>
      </c>
      <c r="T86" s="157">
        <v>0</v>
      </c>
      <c r="U86" s="157">
        <v>2127</v>
      </c>
      <c r="V86" s="157">
        <v>75</v>
      </c>
      <c r="W86" s="157">
        <v>4547</v>
      </c>
    </row>
    <row r="87" spans="1:23">
      <c r="A87">
        <v>16</v>
      </c>
      <c r="B87" s="128" t="s">
        <v>65</v>
      </c>
      <c r="C87" s="171">
        <v>167856</v>
      </c>
      <c r="D87">
        <v>5037</v>
      </c>
      <c r="E87">
        <v>17299</v>
      </c>
      <c r="F87">
        <v>11448</v>
      </c>
      <c r="G87">
        <v>29754</v>
      </c>
      <c r="H87">
        <v>13085</v>
      </c>
      <c r="I87">
        <v>7280</v>
      </c>
      <c r="J87">
        <v>1922</v>
      </c>
      <c r="K87">
        <v>4198</v>
      </c>
      <c r="L87">
        <v>1726</v>
      </c>
      <c r="M87">
        <v>13989</v>
      </c>
      <c r="N87">
        <v>56123</v>
      </c>
      <c r="O87">
        <v>5995</v>
      </c>
      <c r="R87" s="157">
        <v>2488</v>
      </c>
      <c r="S87" s="157">
        <v>5552</v>
      </c>
      <c r="T87" s="157">
        <v>0</v>
      </c>
      <c r="U87" s="157">
        <v>531</v>
      </c>
      <c r="V87" s="157">
        <v>427</v>
      </c>
      <c r="W87" s="157">
        <v>8301</v>
      </c>
    </row>
    <row r="88" spans="1:23">
      <c r="A88">
        <v>6</v>
      </c>
      <c r="B88" s="128" t="s">
        <v>465</v>
      </c>
      <c r="C88" s="171">
        <v>370498</v>
      </c>
      <c r="D88">
        <v>782</v>
      </c>
      <c r="E88">
        <v>29063</v>
      </c>
      <c r="F88">
        <v>21836</v>
      </c>
      <c r="G88">
        <v>54450</v>
      </c>
      <c r="H88">
        <v>18590</v>
      </c>
      <c r="I88">
        <v>28948</v>
      </c>
      <c r="J88">
        <v>14607</v>
      </c>
      <c r="K88">
        <v>10510</v>
      </c>
      <c r="L88">
        <v>6194</v>
      </c>
      <c r="M88">
        <v>45168</v>
      </c>
      <c r="N88">
        <v>125241</v>
      </c>
      <c r="O88">
        <v>15109</v>
      </c>
      <c r="R88" s="157">
        <v>4929</v>
      </c>
      <c r="S88" s="157">
        <v>4147</v>
      </c>
      <c r="T88" s="157">
        <v>0</v>
      </c>
      <c r="U88" s="157">
        <v>3911</v>
      </c>
      <c r="V88" s="157">
        <v>2230</v>
      </c>
      <c r="W88" s="157">
        <v>13846</v>
      </c>
    </row>
    <row r="89" spans="1:23">
      <c r="A89">
        <v>13</v>
      </c>
      <c r="B89" s="128" t="s">
        <v>466</v>
      </c>
      <c r="C89" s="171">
        <v>723000</v>
      </c>
      <c r="D89">
        <v>4585</v>
      </c>
      <c r="E89">
        <v>75665</v>
      </c>
      <c r="F89">
        <v>41519</v>
      </c>
      <c r="G89">
        <v>93485</v>
      </c>
      <c r="H89">
        <v>55837</v>
      </c>
      <c r="I89">
        <v>30933</v>
      </c>
      <c r="J89">
        <v>19622</v>
      </c>
      <c r="K89">
        <v>24568</v>
      </c>
      <c r="L89">
        <v>8518</v>
      </c>
      <c r="M89">
        <v>94787</v>
      </c>
      <c r="N89">
        <v>247016</v>
      </c>
      <c r="O89">
        <v>26465</v>
      </c>
      <c r="R89" s="157">
        <v>13977</v>
      </c>
      <c r="S89" s="157">
        <v>10047</v>
      </c>
      <c r="T89" s="157">
        <v>1536</v>
      </c>
      <c r="U89" s="157">
        <v>8875</v>
      </c>
      <c r="V89" s="157">
        <v>10863</v>
      </c>
      <c r="W89" s="157">
        <v>30367</v>
      </c>
    </row>
    <row r="90" spans="1:23">
      <c r="A90">
        <v>31</v>
      </c>
      <c r="B90" s="128" t="s">
        <v>467</v>
      </c>
      <c r="C90" s="171">
        <v>527905</v>
      </c>
      <c r="D90">
        <v>1549</v>
      </c>
      <c r="E90">
        <v>74012</v>
      </c>
      <c r="F90">
        <v>31921</v>
      </c>
      <c r="G90">
        <v>62193</v>
      </c>
      <c r="H90">
        <v>30983</v>
      </c>
      <c r="I90">
        <v>18880</v>
      </c>
      <c r="J90">
        <v>26207</v>
      </c>
      <c r="K90">
        <v>15722</v>
      </c>
      <c r="L90">
        <v>5249</v>
      </c>
      <c r="M90">
        <v>78189</v>
      </c>
      <c r="N90">
        <v>164354</v>
      </c>
      <c r="O90">
        <v>18646</v>
      </c>
      <c r="R90" s="157">
        <v>7866</v>
      </c>
      <c r="S90" s="157">
        <v>5592</v>
      </c>
      <c r="T90" s="157">
        <v>51</v>
      </c>
      <c r="U90" s="157">
        <v>8086</v>
      </c>
      <c r="V90" s="157">
        <v>34420</v>
      </c>
      <c r="W90" s="157">
        <v>17997</v>
      </c>
    </row>
    <row r="91" spans="1:23">
      <c r="A91">
        <v>33</v>
      </c>
      <c r="B91" s="128" t="s">
        <v>116</v>
      </c>
      <c r="C91" s="171">
        <v>540232</v>
      </c>
      <c r="D91">
        <v>19361</v>
      </c>
      <c r="E91">
        <v>56782</v>
      </c>
      <c r="F91">
        <v>33727</v>
      </c>
      <c r="G91">
        <v>75122</v>
      </c>
      <c r="H91">
        <v>33725</v>
      </c>
      <c r="I91">
        <v>21909</v>
      </c>
      <c r="J91">
        <v>17586</v>
      </c>
      <c r="K91">
        <v>20797</v>
      </c>
      <c r="L91">
        <v>5879</v>
      </c>
      <c r="M91">
        <v>59530</v>
      </c>
      <c r="N91">
        <v>178689</v>
      </c>
      <c r="O91">
        <v>17125</v>
      </c>
      <c r="R91" s="157">
        <v>11171</v>
      </c>
      <c r="S91" s="157">
        <v>8362</v>
      </c>
      <c r="T91" s="157">
        <v>0</v>
      </c>
      <c r="U91" s="157">
        <v>6571</v>
      </c>
      <c r="V91" s="157">
        <v>8859</v>
      </c>
      <c r="W91" s="157">
        <v>21819</v>
      </c>
    </row>
    <row r="92" spans="1:23">
      <c r="A92">
        <v>34</v>
      </c>
      <c r="B92" s="128" t="s">
        <v>468</v>
      </c>
      <c r="C92" s="171">
        <v>344358</v>
      </c>
      <c r="D92">
        <v>4064</v>
      </c>
      <c r="E92">
        <v>23517</v>
      </c>
      <c r="F92">
        <v>20566</v>
      </c>
      <c r="G92">
        <v>51431</v>
      </c>
      <c r="H92">
        <v>16776</v>
      </c>
      <c r="I92">
        <v>16924</v>
      </c>
      <c r="J92">
        <v>11138</v>
      </c>
      <c r="K92">
        <v>10567</v>
      </c>
      <c r="L92">
        <v>4297</v>
      </c>
      <c r="M92">
        <v>37072</v>
      </c>
      <c r="N92">
        <v>133813</v>
      </c>
      <c r="O92">
        <v>14193</v>
      </c>
      <c r="R92" s="157">
        <v>6115</v>
      </c>
      <c r="S92" s="157">
        <v>4560</v>
      </c>
      <c r="T92" s="157">
        <v>0</v>
      </c>
      <c r="U92" s="157">
        <v>3680</v>
      </c>
      <c r="V92" s="157">
        <v>289</v>
      </c>
      <c r="W92" s="157">
        <v>8873</v>
      </c>
    </row>
    <row r="93" spans="1:23">
      <c r="A93">
        <v>35</v>
      </c>
      <c r="B93" s="128" t="s">
        <v>469</v>
      </c>
      <c r="C93" s="171">
        <v>379836</v>
      </c>
      <c r="D93">
        <v>4118</v>
      </c>
      <c r="E93">
        <v>57513</v>
      </c>
      <c r="F93">
        <v>24585</v>
      </c>
      <c r="G93">
        <v>49029</v>
      </c>
      <c r="H93">
        <v>24226</v>
      </c>
      <c r="I93">
        <v>12746</v>
      </c>
      <c r="J93">
        <v>16845</v>
      </c>
      <c r="K93">
        <v>11884</v>
      </c>
      <c r="L93">
        <v>2956</v>
      </c>
      <c r="M93">
        <v>37878</v>
      </c>
      <c r="N93">
        <v>126120</v>
      </c>
      <c r="O93">
        <v>11936</v>
      </c>
      <c r="R93" s="157">
        <v>4900</v>
      </c>
      <c r="S93" s="157">
        <v>18029</v>
      </c>
      <c r="T93" s="157">
        <v>0</v>
      </c>
      <c r="U93" s="157">
        <v>8119</v>
      </c>
      <c r="V93" s="157">
        <v>6299</v>
      </c>
      <c r="W93" s="157">
        <v>20166</v>
      </c>
    </row>
    <row r="94" spans="1:23">
      <c r="A94">
        <v>38</v>
      </c>
      <c r="B94" s="128" t="s">
        <v>470</v>
      </c>
      <c r="C94" s="171">
        <v>418806</v>
      </c>
      <c r="D94">
        <v>1690</v>
      </c>
      <c r="E94">
        <v>80788</v>
      </c>
      <c r="F94">
        <v>27273</v>
      </c>
      <c r="G94">
        <v>53276</v>
      </c>
      <c r="H94">
        <v>22648</v>
      </c>
      <c r="I94">
        <v>15151</v>
      </c>
      <c r="J94">
        <v>12898</v>
      </c>
      <c r="K94">
        <v>10523</v>
      </c>
      <c r="L94">
        <v>3779</v>
      </c>
      <c r="M94">
        <v>47643</v>
      </c>
      <c r="N94">
        <v>130945</v>
      </c>
      <c r="O94">
        <v>12192</v>
      </c>
      <c r="R94" s="157">
        <v>8702</v>
      </c>
      <c r="S94" s="157">
        <v>6897</v>
      </c>
      <c r="T94" s="157">
        <v>137</v>
      </c>
      <c r="U94" s="157">
        <v>28573</v>
      </c>
      <c r="V94" s="157">
        <v>895</v>
      </c>
      <c r="W94" s="157">
        <v>35584</v>
      </c>
    </row>
    <row r="95" spans="1:23">
      <c r="A95">
        <v>44</v>
      </c>
      <c r="B95" s="128" t="s">
        <v>471</v>
      </c>
      <c r="C95" s="171">
        <v>500438</v>
      </c>
      <c r="D95">
        <v>5064</v>
      </c>
      <c r="E95">
        <v>72642</v>
      </c>
      <c r="F95">
        <v>34905</v>
      </c>
      <c r="G95">
        <v>67881</v>
      </c>
      <c r="H95">
        <v>30722</v>
      </c>
      <c r="I95">
        <v>16807</v>
      </c>
      <c r="J95">
        <v>22460</v>
      </c>
      <c r="K95">
        <v>19795</v>
      </c>
      <c r="L95">
        <v>4436</v>
      </c>
      <c r="M95">
        <v>57398</v>
      </c>
      <c r="N95">
        <v>151240</v>
      </c>
      <c r="O95">
        <v>17088</v>
      </c>
      <c r="R95" s="157">
        <v>8911</v>
      </c>
      <c r="S95" s="157">
        <v>12354</v>
      </c>
      <c r="T95" s="157">
        <v>884</v>
      </c>
      <c r="U95" s="157">
        <v>8713</v>
      </c>
      <c r="V95" s="157">
        <v>12112</v>
      </c>
      <c r="W95" s="157">
        <v>29668</v>
      </c>
    </row>
    <row r="96" spans="1:23">
      <c r="A96">
        <v>59</v>
      </c>
      <c r="B96" s="128" t="s">
        <v>472</v>
      </c>
      <c r="C96" s="171">
        <v>889318</v>
      </c>
      <c r="D96">
        <v>6034</v>
      </c>
      <c r="E96">
        <v>130632</v>
      </c>
      <c r="F96">
        <v>49952</v>
      </c>
      <c r="G96">
        <v>124455</v>
      </c>
      <c r="H96">
        <v>50086</v>
      </c>
      <c r="I96">
        <v>26333</v>
      </c>
      <c r="J96">
        <v>23058</v>
      </c>
      <c r="K96">
        <v>32489</v>
      </c>
      <c r="L96">
        <v>8074</v>
      </c>
      <c r="M96">
        <v>90284</v>
      </c>
      <c r="N96">
        <v>323194</v>
      </c>
      <c r="O96">
        <v>24727</v>
      </c>
      <c r="R96" s="157">
        <v>16005</v>
      </c>
      <c r="S96" s="157">
        <v>16506</v>
      </c>
      <c r="T96" s="157">
        <v>437</v>
      </c>
      <c r="U96" s="157">
        <v>9548</v>
      </c>
      <c r="V96" s="157">
        <v>21681</v>
      </c>
      <c r="W96" s="157">
        <v>66455</v>
      </c>
    </row>
    <row r="97" spans="1:23">
      <c r="A97">
        <v>62</v>
      </c>
      <c r="B97" s="128" t="s">
        <v>478</v>
      </c>
      <c r="C97" s="171">
        <v>413696</v>
      </c>
      <c r="D97">
        <v>5072</v>
      </c>
      <c r="E97">
        <v>68214</v>
      </c>
      <c r="F97">
        <v>28092</v>
      </c>
      <c r="G97">
        <v>56762</v>
      </c>
      <c r="H97">
        <v>27312</v>
      </c>
      <c r="I97">
        <v>13719</v>
      </c>
      <c r="J97">
        <v>2831</v>
      </c>
      <c r="K97">
        <v>9422</v>
      </c>
      <c r="L97">
        <v>3627</v>
      </c>
      <c r="M97">
        <v>30708</v>
      </c>
      <c r="N97">
        <v>157145</v>
      </c>
      <c r="O97">
        <v>10792</v>
      </c>
      <c r="R97" s="157">
        <v>7249</v>
      </c>
      <c r="S97" s="157">
        <v>17423</v>
      </c>
      <c r="T97" s="157">
        <v>5</v>
      </c>
      <c r="U97" s="157">
        <v>5519</v>
      </c>
      <c r="V97" s="157">
        <v>6860</v>
      </c>
      <c r="W97" s="157">
        <v>31158</v>
      </c>
    </row>
    <row r="98" spans="1:23">
      <c r="A98">
        <v>67</v>
      </c>
      <c r="B98" s="128" t="s">
        <v>473</v>
      </c>
      <c r="C98" s="171">
        <v>409236</v>
      </c>
      <c r="D98">
        <v>3360</v>
      </c>
      <c r="E98">
        <v>77456</v>
      </c>
      <c r="F98">
        <v>25620</v>
      </c>
      <c r="G98">
        <v>62950</v>
      </c>
      <c r="H98">
        <v>23680</v>
      </c>
      <c r="I98">
        <v>17938</v>
      </c>
      <c r="J98">
        <v>9208</v>
      </c>
      <c r="K98">
        <v>15084</v>
      </c>
      <c r="L98">
        <v>3345</v>
      </c>
      <c r="M98">
        <v>39600</v>
      </c>
      <c r="N98">
        <v>118683</v>
      </c>
      <c r="O98">
        <v>12312</v>
      </c>
      <c r="R98" s="157">
        <v>5712</v>
      </c>
      <c r="S98" s="157">
        <v>16098</v>
      </c>
      <c r="T98" s="157">
        <v>17</v>
      </c>
      <c r="U98" s="157">
        <v>17491</v>
      </c>
      <c r="V98" s="157">
        <v>8566</v>
      </c>
      <c r="W98" s="157">
        <v>29572</v>
      </c>
    </row>
    <row r="99" spans="1:23">
      <c r="A99">
        <v>69</v>
      </c>
      <c r="B99" s="128" t="s">
        <v>474</v>
      </c>
      <c r="C99" s="171">
        <v>787946</v>
      </c>
      <c r="D99">
        <v>2273</v>
      </c>
      <c r="E99">
        <v>107216</v>
      </c>
      <c r="F99">
        <v>47009</v>
      </c>
      <c r="G99">
        <v>103197</v>
      </c>
      <c r="H99">
        <v>52107</v>
      </c>
      <c r="I99">
        <v>31755</v>
      </c>
      <c r="J99">
        <v>35077</v>
      </c>
      <c r="K99">
        <v>30053</v>
      </c>
      <c r="L99">
        <v>9527</v>
      </c>
      <c r="M99">
        <v>113340</v>
      </c>
      <c r="N99">
        <v>230548</v>
      </c>
      <c r="O99">
        <v>25844</v>
      </c>
      <c r="R99" s="157">
        <v>14128</v>
      </c>
      <c r="S99" s="157">
        <v>9237</v>
      </c>
      <c r="T99" s="157">
        <v>1009</v>
      </c>
      <c r="U99" s="157">
        <v>16572</v>
      </c>
      <c r="V99" s="157">
        <v>9177</v>
      </c>
      <c r="W99" s="157">
        <v>57093</v>
      </c>
    </row>
    <row r="100" spans="1:23">
      <c r="A100">
        <v>76</v>
      </c>
      <c r="B100" s="128" t="s">
        <v>475</v>
      </c>
      <c r="C100" s="171">
        <v>437826</v>
      </c>
      <c r="D100">
        <v>3193</v>
      </c>
      <c r="E100">
        <v>78172</v>
      </c>
      <c r="F100">
        <v>30003</v>
      </c>
      <c r="G100">
        <v>51651</v>
      </c>
      <c r="H100">
        <v>35972</v>
      </c>
      <c r="I100">
        <v>12761</v>
      </c>
      <c r="J100">
        <v>5094</v>
      </c>
      <c r="K100">
        <v>14464</v>
      </c>
      <c r="L100">
        <v>4793</v>
      </c>
      <c r="M100">
        <v>38371</v>
      </c>
      <c r="N100">
        <v>149457</v>
      </c>
      <c r="O100">
        <v>13895</v>
      </c>
      <c r="R100" s="157">
        <v>10661</v>
      </c>
      <c r="S100" s="157">
        <v>10458</v>
      </c>
      <c r="T100" s="157">
        <v>2550</v>
      </c>
      <c r="U100" s="157">
        <v>7520</v>
      </c>
      <c r="V100" s="157">
        <v>10574</v>
      </c>
      <c r="W100" s="157">
        <v>36409</v>
      </c>
    </row>
    <row r="101" spans="1:23">
      <c r="A101">
        <v>83</v>
      </c>
      <c r="B101" s="128" t="s">
        <v>476</v>
      </c>
      <c r="C101" s="171">
        <v>269274</v>
      </c>
      <c r="D101">
        <v>3656</v>
      </c>
      <c r="E101">
        <v>19822</v>
      </c>
      <c r="F101">
        <v>19723</v>
      </c>
      <c r="G101">
        <v>44914</v>
      </c>
      <c r="H101">
        <v>12081</v>
      </c>
      <c r="I101">
        <v>16488</v>
      </c>
      <c r="J101">
        <v>3109</v>
      </c>
      <c r="K101">
        <v>8215</v>
      </c>
      <c r="L101">
        <v>4361</v>
      </c>
      <c r="M101">
        <v>22467</v>
      </c>
      <c r="N101">
        <v>103261</v>
      </c>
      <c r="O101">
        <v>11177</v>
      </c>
      <c r="R101" s="157">
        <v>4669</v>
      </c>
      <c r="S101" s="157">
        <v>4484</v>
      </c>
      <c r="T101" s="157">
        <v>0</v>
      </c>
      <c r="U101" s="157">
        <v>1191</v>
      </c>
      <c r="V101" s="157">
        <v>3297</v>
      </c>
      <c r="W101" s="157">
        <v>6181</v>
      </c>
    </row>
    <row r="102" spans="1:23">
      <c r="A102">
        <v>84</v>
      </c>
      <c r="B102" s="128" t="s">
        <v>477</v>
      </c>
      <c r="C102" s="171">
        <v>177907</v>
      </c>
      <c r="D102">
        <v>5067</v>
      </c>
      <c r="E102">
        <v>19682</v>
      </c>
      <c r="F102">
        <v>12166</v>
      </c>
      <c r="G102">
        <v>31264</v>
      </c>
      <c r="H102">
        <v>11610</v>
      </c>
      <c r="I102">
        <v>7668</v>
      </c>
      <c r="J102">
        <v>1945</v>
      </c>
      <c r="K102">
        <v>4619</v>
      </c>
      <c r="L102">
        <v>1794</v>
      </c>
      <c r="M102">
        <v>14929</v>
      </c>
      <c r="N102">
        <v>60809</v>
      </c>
      <c r="O102">
        <v>6354</v>
      </c>
      <c r="R102" s="157">
        <v>3316</v>
      </c>
      <c r="S102" s="157">
        <v>5785</v>
      </c>
      <c r="T102" s="157">
        <v>0</v>
      </c>
      <c r="U102" s="157">
        <v>1339</v>
      </c>
      <c r="V102" s="157">
        <v>582</v>
      </c>
      <c r="W102" s="157">
        <v>8660</v>
      </c>
    </row>
    <row r="103" spans="1:23">
      <c r="A103">
        <v>72</v>
      </c>
      <c r="B103" s="128" t="s">
        <v>74</v>
      </c>
      <c r="C103" s="171">
        <v>1073632</v>
      </c>
      <c r="D103">
        <v>30417</v>
      </c>
      <c r="E103">
        <v>141986</v>
      </c>
      <c r="F103">
        <v>71507</v>
      </c>
      <c r="G103">
        <v>156193</v>
      </c>
      <c r="H103">
        <v>61114</v>
      </c>
      <c r="I103">
        <v>43041</v>
      </c>
      <c r="J103">
        <v>22842</v>
      </c>
      <c r="K103">
        <v>34141</v>
      </c>
      <c r="L103">
        <v>10249</v>
      </c>
      <c r="M103">
        <v>99289</v>
      </c>
      <c r="N103">
        <v>368496</v>
      </c>
      <c r="O103">
        <v>34357</v>
      </c>
      <c r="R103" s="157">
        <v>21175</v>
      </c>
      <c r="S103" s="157">
        <v>31076</v>
      </c>
      <c r="T103" s="157">
        <v>17</v>
      </c>
      <c r="U103" s="157">
        <v>11746</v>
      </c>
      <c r="V103" s="157">
        <v>17815</v>
      </c>
      <c r="W103" s="157">
        <v>60157</v>
      </c>
    </row>
    <row r="104" spans="1:23">
      <c r="A104">
        <v>243300316</v>
      </c>
      <c r="B104" s="128" t="s">
        <v>680</v>
      </c>
      <c r="C104" s="171">
        <v>355885</v>
      </c>
      <c r="D104">
        <v>931</v>
      </c>
      <c r="E104">
        <v>33370</v>
      </c>
      <c r="F104">
        <v>19386</v>
      </c>
      <c r="G104">
        <v>44795</v>
      </c>
      <c r="H104">
        <v>23012</v>
      </c>
      <c r="I104">
        <v>15095</v>
      </c>
      <c r="J104">
        <v>15931</v>
      </c>
      <c r="K104">
        <v>17314</v>
      </c>
      <c r="L104">
        <v>4719</v>
      </c>
      <c r="M104">
        <v>44093</v>
      </c>
      <c r="N104">
        <v>125019</v>
      </c>
      <c r="O104">
        <v>12220</v>
      </c>
      <c r="R104" s="157">
        <v>6322</v>
      </c>
      <c r="S104" s="157">
        <v>3576</v>
      </c>
      <c r="T104" s="157">
        <v>0</v>
      </c>
      <c r="U104" s="157">
        <v>4703</v>
      </c>
      <c r="V104" s="157">
        <v>7833</v>
      </c>
      <c r="W104" s="157">
        <v>10936</v>
      </c>
    </row>
    <row r="105" spans="1:23">
      <c r="B105" s="128" t="s">
        <v>1479</v>
      </c>
      <c r="C105" s="171">
        <v>22155170</v>
      </c>
      <c r="D105">
        <v>248122</v>
      </c>
      <c r="E105">
        <v>3149298</v>
      </c>
      <c r="F105">
        <v>1367626</v>
      </c>
      <c r="G105">
        <v>3000308</v>
      </c>
      <c r="H105">
        <v>1330440</v>
      </c>
      <c r="I105">
        <v>930287</v>
      </c>
      <c r="J105">
        <v>696882</v>
      </c>
      <c r="K105">
        <v>834505</v>
      </c>
      <c r="L105">
        <v>230023</v>
      </c>
      <c r="M105">
        <v>2444633</v>
      </c>
      <c r="N105">
        <v>7143822</v>
      </c>
      <c r="O105">
        <v>779224</v>
      </c>
      <c r="R105" s="157">
        <v>386596</v>
      </c>
      <c r="S105" s="157">
        <v>545693</v>
      </c>
      <c r="T105" s="157">
        <v>8769</v>
      </c>
      <c r="U105" s="157">
        <v>423458</v>
      </c>
      <c r="V105" s="157">
        <v>359779</v>
      </c>
      <c r="W105" s="157">
        <v>1425003</v>
      </c>
    </row>
    <row r="107" spans="1:23" ht="60">
      <c r="A107" s="59" t="s">
        <v>483</v>
      </c>
      <c r="B107" s="59" t="s">
        <v>484</v>
      </c>
      <c r="C107" s="59" t="s">
        <v>1854</v>
      </c>
      <c r="D107" s="59" t="s">
        <v>724</v>
      </c>
      <c r="E107" s="59" t="s">
        <v>1136</v>
      </c>
      <c r="F107" s="59" t="s">
        <v>510</v>
      </c>
      <c r="G107" s="59" t="s">
        <v>1137</v>
      </c>
      <c r="H107" s="59" t="s">
        <v>688</v>
      </c>
      <c r="I107" s="59" t="s">
        <v>513</v>
      </c>
      <c r="J107" s="59" t="s">
        <v>514</v>
      </c>
      <c r="K107" s="59" t="s">
        <v>515</v>
      </c>
      <c r="L107" s="59" t="s">
        <v>516</v>
      </c>
      <c r="M107" s="59" t="s">
        <v>689</v>
      </c>
      <c r="N107" s="59" t="s">
        <v>690</v>
      </c>
      <c r="O107" s="59" t="s">
        <v>519</v>
      </c>
    </row>
    <row r="108" spans="1:23">
      <c r="A108">
        <v>59</v>
      </c>
      <c r="B108" s="128" t="s">
        <v>89</v>
      </c>
      <c r="D108" s="158">
        <f>D58/$C58</f>
        <v>3.5273193119488566E-2</v>
      </c>
      <c r="E108" s="158">
        <f t="shared" ref="E108:L108" si="6">E58/$C58</f>
        <v>0.11428962326339225</v>
      </c>
      <c r="F108" s="158">
        <f t="shared" si="6"/>
        <v>7.6099799753734404E-2</v>
      </c>
      <c r="G108" s="158">
        <f t="shared" si="6"/>
        <v>0.16762229325505901</v>
      </c>
      <c r="H108" s="158">
        <f t="shared" si="6"/>
        <v>6.6423303192746364E-2</v>
      </c>
      <c r="I108" s="158">
        <f t="shared" si="6"/>
        <v>4.4657404758647282E-2</v>
      </c>
      <c r="J108" s="158">
        <f t="shared" si="6"/>
        <v>1.0323254685886992E-2</v>
      </c>
      <c r="K108" s="158">
        <f t="shared" si="6"/>
        <v>2.6479770152112538E-2</v>
      </c>
      <c r="L108" s="158">
        <f t="shared" si="6"/>
        <v>1.0006094451561547E-2</v>
      </c>
      <c r="M108" s="158">
        <f t="shared" ref="M108:O127" si="7">M58/$C58</f>
        <v>7.7430628972276469E-2</v>
      </c>
      <c r="N108" s="158">
        <f t="shared" si="7"/>
        <v>0.33546224549445902</v>
      </c>
      <c r="O108" s="158">
        <f t="shared" si="7"/>
        <v>3.5932388900635562E-2</v>
      </c>
    </row>
    <row r="109" spans="1:23">
      <c r="A109">
        <v>7204</v>
      </c>
      <c r="B109" s="128" t="s">
        <v>6</v>
      </c>
      <c r="D109" s="158">
        <f t="shared" ref="D109:L109" si="8">D59/$C59</f>
        <v>2.2384749421120658E-2</v>
      </c>
      <c r="E109" s="158">
        <f t="shared" si="8"/>
        <v>0.10578369969161808</v>
      </c>
      <c r="F109" s="158">
        <f t="shared" si="8"/>
        <v>6.3660809603348273E-2</v>
      </c>
      <c r="G109" s="158">
        <f t="shared" si="8"/>
        <v>0.13421298939446355</v>
      </c>
      <c r="H109" s="158">
        <f t="shared" si="8"/>
        <v>6.635198835237463E-2</v>
      </c>
      <c r="I109" s="158">
        <f t="shared" si="8"/>
        <v>3.9953816995600307E-2</v>
      </c>
      <c r="J109" s="158">
        <f t="shared" si="8"/>
        <v>3.6146265989485726E-2</v>
      </c>
      <c r="K109" s="158">
        <f t="shared" si="8"/>
        <v>4.1070189252688523E-2</v>
      </c>
      <c r="L109" s="158">
        <f t="shared" si="8"/>
        <v>1.1435387302645122E-2</v>
      </c>
      <c r="M109" s="158">
        <f t="shared" si="7"/>
        <v>0.117596870761871</v>
      </c>
      <c r="N109" s="158">
        <f t="shared" si="7"/>
        <v>0.32957813438490224</v>
      </c>
      <c r="O109" s="158">
        <f t="shared" si="7"/>
        <v>3.182509884988189E-2</v>
      </c>
    </row>
    <row r="110" spans="1:23">
      <c r="A110">
        <v>3122</v>
      </c>
      <c r="B110" s="128" t="s">
        <v>1406</v>
      </c>
      <c r="D110" s="158">
        <f t="shared" ref="D110:L110" si="9">D60/$C60</f>
        <v>8.9129330804547664E-4</v>
      </c>
      <c r="E110" s="158">
        <f t="shared" si="9"/>
        <v>0.11004363191659153</v>
      </c>
      <c r="F110" s="158">
        <f t="shared" si="9"/>
        <v>8.0257853226792686E-2</v>
      </c>
      <c r="G110" s="158">
        <f t="shared" si="9"/>
        <v>0.15020365015701273</v>
      </c>
      <c r="H110" s="158">
        <f t="shared" si="9"/>
        <v>8.8196581993802398E-2</v>
      </c>
      <c r="I110" s="158">
        <f t="shared" si="9"/>
        <v>3.5485910311019907E-2</v>
      </c>
      <c r="J110" s="158">
        <f t="shared" si="9"/>
        <v>1.197027640456425E-2</v>
      </c>
      <c r="K110" s="158">
        <f t="shared" si="9"/>
        <v>1.7753319031184902E-2</v>
      </c>
      <c r="L110" s="158">
        <f t="shared" si="9"/>
        <v>8.4154670480572919E-3</v>
      </c>
      <c r="M110" s="158">
        <f t="shared" si="7"/>
        <v>0.10413622278187151</v>
      </c>
      <c r="N110" s="158">
        <f t="shared" si="7"/>
        <v>0.3659484500823928</v>
      </c>
      <c r="O110" s="158">
        <f t="shared" si="7"/>
        <v>2.669734373866451E-2</v>
      </c>
    </row>
    <row r="111" spans="1:23">
      <c r="A111">
        <v>8210</v>
      </c>
      <c r="B111" s="128" t="s">
        <v>8</v>
      </c>
      <c r="D111" s="158">
        <f t="shared" ref="D111:L111" si="10">D61/$C61</f>
        <v>3.7182721788478986E-3</v>
      </c>
      <c r="E111" s="158">
        <f t="shared" si="10"/>
        <v>0.17934124004211613</v>
      </c>
      <c r="F111" s="158">
        <f t="shared" si="10"/>
        <v>5.7333571726562962E-2</v>
      </c>
      <c r="G111" s="158">
        <f t="shared" si="10"/>
        <v>0.11245207302779267</v>
      </c>
      <c r="H111" s="158">
        <f t="shared" si="10"/>
        <v>4.2924025402123027E-2</v>
      </c>
      <c r="I111" s="158">
        <f t="shared" si="10"/>
        <v>3.794756673354921E-2</v>
      </c>
      <c r="J111" s="158">
        <f t="shared" si="10"/>
        <v>3.939779221381224E-2</v>
      </c>
      <c r="K111" s="158">
        <f t="shared" si="10"/>
        <v>2.7007966307090212E-2</v>
      </c>
      <c r="L111" s="158">
        <f t="shared" si="10"/>
        <v>9.6185046122467897E-3</v>
      </c>
      <c r="M111" s="158">
        <f t="shared" si="7"/>
        <v>0.12581202693843496</v>
      </c>
      <c r="N111" s="158">
        <f t="shared" si="7"/>
        <v>0.33327704604300351</v>
      </c>
      <c r="O111" s="158">
        <f t="shared" si="7"/>
        <v>3.1169914774420406E-2</v>
      </c>
    </row>
    <row r="112" spans="1:23">
      <c r="A112">
        <v>3111</v>
      </c>
      <c r="B112" s="128" t="s">
        <v>10</v>
      </c>
      <c r="D112" s="158">
        <f t="shared" ref="D112:L112" si="11">D62/$C62</f>
        <v>3.7755594912252453E-3</v>
      </c>
      <c r="E112" s="158">
        <f t="shared" si="11"/>
        <v>7.5140879085493481E-2</v>
      </c>
      <c r="F112" s="158">
        <f t="shared" si="11"/>
        <v>5.1910588740406806E-2</v>
      </c>
      <c r="G112" s="158">
        <f t="shared" si="11"/>
        <v>0.13735039982826169</v>
      </c>
      <c r="H112" s="158">
        <f t="shared" si="11"/>
        <v>6.1844576826061287E-2</v>
      </c>
      <c r="I112" s="158">
        <f t="shared" si="11"/>
        <v>3.453013470723984E-2</v>
      </c>
      <c r="J112" s="158">
        <f t="shared" si="11"/>
        <v>4.4791498953469649E-2</v>
      </c>
      <c r="K112" s="158">
        <f t="shared" si="11"/>
        <v>5.1985724252669993E-2</v>
      </c>
      <c r="L112" s="158">
        <f t="shared" si="11"/>
        <v>1.0178178500509848E-2</v>
      </c>
      <c r="M112" s="158">
        <f t="shared" si="7"/>
        <v>0.1280872645306714</v>
      </c>
      <c r="N112" s="158">
        <f t="shared" si="7"/>
        <v>0.37104331025599741</v>
      </c>
      <c r="O112" s="158">
        <f t="shared" si="7"/>
        <v>2.9361884827993345E-2</v>
      </c>
    </row>
    <row r="113" spans="1:15">
      <c r="A113">
        <v>8214</v>
      </c>
      <c r="B113" s="128" t="s">
        <v>12</v>
      </c>
      <c r="D113" s="158">
        <f t="shared" ref="D113:L113" si="12">D63/$C63</f>
        <v>1.7463396746064004E-3</v>
      </c>
      <c r="E113" s="158">
        <f t="shared" si="12"/>
        <v>0.14380761029699315</v>
      </c>
      <c r="F113" s="158">
        <f t="shared" si="12"/>
        <v>6.0520542570555586E-2</v>
      </c>
      <c r="G113" s="158">
        <f t="shared" si="12"/>
        <v>0.130042042935338</v>
      </c>
      <c r="H113" s="158">
        <f t="shared" si="12"/>
        <v>6.6158321975287107E-2</v>
      </c>
      <c r="I113" s="158">
        <f t="shared" si="12"/>
        <v>3.978884932627446E-2</v>
      </c>
      <c r="J113" s="158">
        <f t="shared" si="12"/>
        <v>4.490734270441598E-2</v>
      </c>
      <c r="K113" s="158">
        <f t="shared" si="12"/>
        <v>3.8086104034147222E-2</v>
      </c>
      <c r="L113" s="158">
        <f t="shared" si="12"/>
        <v>1.1858954222051833E-2</v>
      </c>
      <c r="M113" s="158">
        <f t="shared" si="7"/>
        <v>0.14262286884373593</v>
      </c>
      <c r="N113" s="158">
        <f t="shared" si="7"/>
        <v>0.28774985030458367</v>
      </c>
      <c r="O113" s="158">
        <f t="shared" si="7"/>
        <v>3.271117311201064E-2</v>
      </c>
    </row>
    <row r="114" spans="1:15">
      <c r="A114">
        <v>9310</v>
      </c>
      <c r="B114" s="128" t="s">
        <v>54</v>
      </c>
      <c r="D114" s="158">
        <f t="shared" ref="D114:L114" si="13">D64/$C64</f>
        <v>1.6182838575656358E-3</v>
      </c>
      <c r="E114" s="158">
        <f t="shared" si="13"/>
        <v>9.5055666849296519E-2</v>
      </c>
      <c r="F114" s="158">
        <f t="shared" si="13"/>
        <v>5.2176433133145628E-2</v>
      </c>
      <c r="G114" s="158">
        <f t="shared" si="13"/>
        <v>0.12771538511982705</v>
      </c>
      <c r="H114" s="158">
        <f t="shared" si="13"/>
        <v>8.3145943819107601E-2</v>
      </c>
      <c r="I114" s="158">
        <f t="shared" si="13"/>
        <v>4.3192313468987123E-2</v>
      </c>
      <c r="J114" s="158">
        <f t="shared" si="13"/>
        <v>2.2006545059157265E-2</v>
      </c>
      <c r="K114" s="158">
        <f t="shared" si="13"/>
        <v>3.5604360270179367E-2</v>
      </c>
      <c r="L114" s="158">
        <f t="shared" si="13"/>
        <v>1.3009732972586483E-2</v>
      </c>
      <c r="M114" s="158">
        <f t="shared" si="7"/>
        <v>0.12723307306816042</v>
      </c>
      <c r="N114" s="158">
        <f t="shared" si="7"/>
        <v>0.36189904024132524</v>
      </c>
      <c r="O114" s="158">
        <f t="shared" si="7"/>
        <v>3.7343222140661658E-2</v>
      </c>
    </row>
    <row r="115" spans="1:15">
      <c r="A115">
        <v>9111</v>
      </c>
      <c r="B115" s="128" t="s">
        <v>15</v>
      </c>
      <c r="D115" s="158">
        <f t="shared" ref="D115:L115" si="14">D65/$C65</f>
        <v>6.7534753209664896E-3</v>
      </c>
      <c r="E115" s="158">
        <f t="shared" si="14"/>
        <v>5.9548467704108952E-2</v>
      </c>
      <c r="F115" s="158">
        <f t="shared" si="14"/>
        <v>5.5987016059739408E-2</v>
      </c>
      <c r="G115" s="158">
        <f t="shared" si="14"/>
        <v>0.14026640322440051</v>
      </c>
      <c r="H115" s="158">
        <f t="shared" si="14"/>
        <v>4.7000369427967773E-2</v>
      </c>
      <c r="I115" s="158">
        <f t="shared" si="14"/>
        <v>4.9561459946121628E-2</v>
      </c>
      <c r="J115" s="158">
        <f t="shared" si="14"/>
        <v>4.4111359702465207E-2</v>
      </c>
      <c r="K115" s="158">
        <f t="shared" si="14"/>
        <v>3.3016068041160085E-2</v>
      </c>
      <c r="L115" s="158">
        <f t="shared" si="14"/>
        <v>1.3058656029354996E-2</v>
      </c>
      <c r="M115" s="158">
        <f t="shared" si="7"/>
        <v>0.12618248081257549</v>
      </c>
      <c r="N115" s="158">
        <f t="shared" si="7"/>
        <v>0.3816398450893061</v>
      </c>
      <c r="O115" s="158">
        <f t="shared" si="7"/>
        <v>4.2874398641833358E-2</v>
      </c>
    </row>
    <row r="116" spans="1:15">
      <c r="A116">
        <v>5203</v>
      </c>
      <c r="B116" s="128" t="s">
        <v>17</v>
      </c>
      <c r="D116" s="158">
        <f t="shared" ref="D116:L116" si="15">D66/$C66</f>
        <v>1.0644755563972942E-2</v>
      </c>
      <c r="E116" s="158">
        <f t="shared" si="15"/>
        <v>0.13248641482495885</v>
      </c>
      <c r="F116" s="158">
        <f t="shared" si="15"/>
        <v>6.9462857475852624E-2</v>
      </c>
      <c r="G116" s="158">
        <f t="shared" si="15"/>
        <v>0.13432448050970508</v>
      </c>
      <c r="H116" s="158">
        <f t="shared" si="15"/>
        <v>6.1323892911428056E-2</v>
      </c>
      <c r="I116" s="158">
        <f t="shared" si="15"/>
        <v>3.0079204362795802E-2</v>
      </c>
      <c r="J116" s="158">
        <f t="shared" si="15"/>
        <v>5.292269440519029E-2</v>
      </c>
      <c r="K116" s="158">
        <f t="shared" si="15"/>
        <v>4.4244693404816363E-2</v>
      </c>
      <c r="L116" s="158">
        <f t="shared" si="15"/>
        <v>8.8503955361955676E-3</v>
      </c>
      <c r="M116" s="158">
        <f t="shared" si="7"/>
        <v>0.12256523069302604</v>
      </c>
      <c r="N116" s="158">
        <f t="shared" si="7"/>
        <v>0.29881072051203605</v>
      </c>
      <c r="O116" s="158">
        <f t="shared" si="7"/>
        <v>3.4284659800022335E-2</v>
      </c>
    </row>
    <row r="117" spans="1:15">
      <c r="A117">
        <v>9307</v>
      </c>
      <c r="B117" s="128" t="s">
        <v>19</v>
      </c>
      <c r="D117" s="158">
        <f t="shared" ref="D117:L117" si="16">D67/$C67</f>
        <v>2.2950431799361173E-3</v>
      </c>
      <c r="E117" s="158">
        <f t="shared" si="16"/>
        <v>7.1425529397846924E-2</v>
      </c>
      <c r="F117" s="158">
        <f t="shared" si="16"/>
        <v>6.3276943097125282E-2</v>
      </c>
      <c r="G117" s="158">
        <f t="shared" si="16"/>
        <v>0.14201821838400569</v>
      </c>
      <c r="H117" s="158">
        <f t="shared" si="16"/>
        <v>6.1899917189163607E-2</v>
      </c>
      <c r="I117" s="158">
        <f t="shared" si="16"/>
        <v>7.1065893765527036E-2</v>
      </c>
      <c r="J117" s="158">
        <f t="shared" si="16"/>
        <v>1.6353957174967466E-2</v>
      </c>
      <c r="K117" s="158">
        <f t="shared" si="16"/>
        <v>3.1733112504436292E-2</v>
      </c>
      <c r="L117" s="158">
        <f t="shared" si="16"/>
        <v>1.6122086833077014E-2</v>
      </c>
      <c r="M117" s="158">
        <f t="shared" si="7"/>
        <v>0.10698686856737254</v>
      </c>
      <c r="N117" s="158">
        <f t="shared" si="7"/>
        <v>0.37482550573760792</v>
      </c>
      <c r="O117" s="158">
        <f t="shared" si="7"/>
        <v>4.1996924168934108E-2</v>
      </c>
    </row>
    <row r="118" spans="1:15">
      <c r="A118">
        <v>5312</v>
      </c>
      <c r="B118" s="128" t="s">
        <v>21</v>
      </c>
      <c r="D118" s="158">
        <f t="shared" ref="D118:L118" si="17">D68/$C68</f>
        <v>9.8056652717699536E-3</v>
      </c>
      <c r="E118" s="158">
        <f t="shared" si="17"/>
        <v>0.13193687057662815</v>
      </c>
      <c r="F118" s="158">
        <f t="shared" si="17"/>
        <v>6.5015386370729317E-2</v>
      </c>
      <c r="G118" s="158">
        <f t="shared" si="17"/>
        <v>0.12277552006604227</v>
      </c>
      <c r="H118" s="158">
        <f t="shared" si="17"/>
        <v>6.7747012493665923E-2</v>
      </c>
      <c r="I118" s="158">
        <f t="shared" si="17"/>
        <v>2.9984127037393747E-2</v>
      </c>
      <c r="J118" s="158">
        <f t="shared" si="17"/>
        <v>5.5246634965485535E-2</v>
      </c>
      <c r="K118" s="158">
        <f t="shared" si="17"/>
        <v>3.4685611310408704E-2</v>
      </c>
      <c r="L118" s="158">
        <f t="shared" si="17"/>
        <v>7.9666835575571068E-3</v>
      </c>
      <c r="M118" s="158">
        <f t="shared" si="7"/>
        <v>0.10853683500508404</v>
      </c>
      <c r="N118" s="158">
        <f t="shared" si="7"/>
        <v>0.33358390018490491</v>
      </c>
      <c r="O118" s="158">
        <f t="shared" si="7"/>
        <v>3.2715753160330346E-2</v>
      </c>
    </row>
    <row r="119" spans="1:15">
      <c r="A119">
        <v>2307</v>
      </c>
      <c r="B119" s="128" t="s">
        <v>23</v>
      </c>
      <c r="D119" s="158">
        <f t="shared" ref="D119:L119" si="18">D69/$C69</f>
        <v>5.9035302341838517E-3</v>
      </c>
      <c r="E119" s="158">
        <f t="shared" si="18"/>
        <v>0.16026214610276127</v>
      </c>
      <c r="F119" s="158">
        <f t="shared" si="18"/>
        <v>6.937084935337294E-2</v>
      </c>
      <c r="G119" s="158">
        <f t="shared" si="18"/>
        <v>0.12156588605382733</v>
      </c>
      <c r="H119" s="158">
        <f t="shared" si="18"/>
        <v>6.9412792729814751E-2</v>
      </c>
      <c r="I119" s="158">
        <f t="shared" si="18"/>
        <v>2.9811254806011885E-2</v>
      </c>
      <c r="J119" s="158">
        <f t="shared" si="18"/>
        <v>1.5700803914715136E-2</v>
      </c>
      <c r="K119" s="158">
        <f t="shared" si="18"/>
        <v>3.6980076896190144E-2</v>
      </c>
      <c r="L119" s="158">
        <f t="shared" si="18"/>
        <v>1.1786088780146801E-2</v>
      </c>
      <c r="M119" s="158">
        <f t="shared" si="7"/>
        <v>9.1181405103110805E-2</v>
      </c>
      <c r="N119" s="158">
        <f t="shared" si="7"/>
        <v>0.35584061516952115</v>
      </c>
      <c r="O119" s="158">
        <f t="shared" si="7"/>
        <v>3.2184550856343933E-2</v>
      </c>
    </row>
    <row r="120" spans="1:15">
      <c r="A120">
        <v>4205</v>
      </c>
      <c r="B120" s="128" t="s">
        <v>25</v>
      </c>
      <c r="D120" s="158">
        <f t="shared" ref="D120:L120" si="19">D70/$C70</f>
        <v>3.1630067078886157E-3</v>
      </c>
      <c r="E120" s="158">
        <f t="shared" si="19"/>
        <v>0.10596072471426864</v>
      </c>
      <c r="F120" s="158">
        <f t="shared" si="19"/>
        <v>5.0284092004921947E-2</v>
      </c>
      <c r="G120" s="158">
        <f t="shared" si="19"/>
        <v>0.15498732868654219</v>
      </c>
      <c r="H120" s="158">
        <f t="shared" si="19"/>
        <v>6.6110697520125591E-2</v>
      </c>
      <c r="I120" s="158">
        <f t="shared" si="19"/>
        <v>4.5447006137004475E-2</v>
      </c>
      <c r="J120" s="158">
        <f t="shared" si="19"/>
        <v>3.237838817806956E-2</v>
      </c>
      <c r="K120" s="158">
        <f t="shared" si="19"/>
        <v>4.8637014121667752E-2</v>
      </c>
      <c r="L120" s="158">
        <f t="shared" si="19"/>
        <v>1.063464572396209E-2</v>
      </c>
      <c r="M120" s="158">
        <f t="shared" si="7"/>
        <v>0.12436402349882544</v>
      </c>
      <c r="N120" s="158">
        <f t="shared" si="7"/>
        <v>0.32502594051232991</v>
      </c>
      <c r="O120" s="158">
        <f t="shared" si="7"/>
        <v>3.3007132194393766E-2</v>
      </c>
    </row>
    <row r="121" spans="1:15">
      <c r="A121">
        <v>9315</v>
      </c>
      <c r="B121" s="128" t="s">
        <v>55</v>
      </c>
      <c r="D121" s="158">
        <f t="shared" ref="D121:L121" si="20">D71/$C71</f>
        <v>1.0649702957395264E-2</v>
      </c>
      <c r="E121" s="158">
        <f t="shared" si="20"/>
        <v>7.2936842167611399E-2</v>
      </c>
      <c r="F121" s="158">
        <f t="shared" si="20"/>
        <v>6.376198683890992E-2</v>
      </c>
      <c r="G121" s="158">
        <f t="shared" si="20"/>
        <v>0.1546753854446162</v>
      </c>
      <c r="H121" s="158">
        <f t="shared" si="20"/>
        <v>4.6656123579200501E-2</v>
      </c>
      <c r="I121" s="158">
        <f t="shared" si="20"/>
        <v>4.9943434558819173E-2</v>
      </c>
      <c r="J121" s="158">
        <f t="shared" si="20"/>
        <v>1.4452322144629838E-2</v>
      </c>
      <c r="K121" s="158">
        <f t="shared" si="20"/>
        <v>2.7139565601104063E-2</v>
      </c>
      <c r="L121" s="158">
        <f t="shared" si="20"/>
        <v>1.5500707808400117E-2</v>
      </c>
      <c r="M121" s="158">
        <f t="shared" si="7"/>
        <v>8.6986394678702367E-2</v>
      </c>
      <c r="N121" s="158">
        <f t="shared" si="7"/>
        <v>0.41632757017372402</v>
      </c>
      <c r="O121" s="158">
        <f t="shared" si="7"/>
        <v>4.0969964046887124E-2</v>
      </c>
    </row>
    <row r="122" spans="1:15">
      <c r="A122">
        <v>61</v>
      </c>
      <c r="B122" s="128" t="s">
        <v>27</v>
      </c>
      <c r="D122" s="158">
        <f t="shared" ref="D122:L122" si="21">D72/$C72</f>
        <v>4.2393285397848172E-3</v>
      </c>
      <c r="E122" s="158">
        <f t="shared" si="21"/>
        <v>0.14385551757785883</v>
      </c>
      <c r="F122" s="158">
        <f t="shared" si="21"/>
        <v>6.142574451731074E-2</v>
      </c>
      <c r="G122" s="158">
        <f t="shared" si="21"/>
        <v>0.11931720098923723</v>
      </c>
      <c r="H122" s="158">
        <f t="shared" si="21"/>
        <v>5.8327563994236109E-2</v>
      </c>
      <c r="I122" s="158">
        <f t="shared" si="21"/>
        <v>3.4895870243475194E-2</v>
      </c>
      <c r="J122" s="158">
        <f t="shared" si="21"/>
        <v>4.7657466615060609E-2</v>
      </c>
      <c r="K122" s="158">
        <f t="shared" si="21"/>
        <v>2.9184678815895392E-2</v>
      </c>
      <c r="L122" s="158">
        <f t="shared" si="21"/>
        <v>9.7579058116778698E-3</v>
      </c>
      <c r="M122" s="158">
        <f t="shared" si="7"/>
        <v>0.14474953799859355</v>
      </c>
      <c r="N122" s="158">
        <f t="shared" si="7"/>
        <v>0.31166605793325008</v>
      </c>
      <c r="O122" s="158">
        <f t="shared" si="7"/>
        <v>3.4923126963619544E-2</v>
      </c>
    </row>
    <row r="123" spans="1:15">
      <c r="A123">
        <v>2</v>
      </c>
      <c r="B123" s="128" t="s">
        <v>29</v>
      </c>
      <c r="D123" s="158">
        <f t="shared" ref="D123:L123" si="22">D73/$C73</f>
        <v>3.0116390406488441E-3</v>
      </c>
      <c r="E123" s="158">
        <f t="shared" si="22"/>
        <v>0.15313085665503756</v>
      </c>
      <c r="F123" s="158">
        <f t="shared" si="22"/>
        <v>6.2036230227490843E-2</v>
      </c>
      <c r="G123" s="158">
        <f t="shared" si="22"/>
        <v>0.1362979258675166</v>
      </c>
      <c r="H123" s="158">
        <f t="shared" si="22"/>
        <v>7.0342257812646677E-2</v>
      </c>
      <c r="I123" s="158">
        <f t="shared" si="22"/>
        <v>3.9066270415809394E-2</v>
      </c>
      <c r="J123" s="158">
        <f t="shared" si="22"/>
        <v>3.9908910895462883E-2</v>
      </c>
      <c r="K123" s="158">
        <f t="shared" si="22"/>
        <v>3.5739883620637292E-2</v>
      </c>
      <c r="L123" s="158">
        <f t="shared" si="22"/>
        <v>1.1337545431353515E-2</v>
      </c>
      <c r="M123" s="158">
        <f t="shared" si="7"/>
        <v>0.13553038309771426</v>
      </c>
      <c r="N123" s="158">
        <f t="shared" si="7"/>
        <v>0.28168377900510994</v>
      </c>
      <c r="O123" s="158">
        <f t="shared" si="7"/>
        <v>3.1914317930572166E-2</v>
      </c>
    </row>
    <row r="124" spans="1:15">
      <c r="A124">
        <v>3</v>
      </c>
      <c r="B124" s="128" t="s">
        <v>59</v>
      </c>
      <c r="D124" s="158">
        <f t="shared" ref="D124:L124" si="23">D74/$C74</f>
        <v>2.7870836530603333E-3</v>
      </c>
      <c r="E124" s="158">
        <f t="shared" si="23"/>
        <v>0.10434329633857997</v>
      </c>
      <c r="F124" s="158">
        <f t="shared" si="23"/>
        <v>5.5454698583219476E-2</v>
      </c>
      <c r="G124" s="158">
        <f t="shared" si="23"/>
        <v>0.12553105874866649</v>
      </c>
      <c r="H124" s="158">
        <f t="shared" si="23"/>
        <v>7.6722002832313327E-2</v>
      </c>
      <c r="I124" s="158">
        <f t="shared" si="23"/>
        <v>4.1853044112968127E-2</v>
      </c>
      <c r="J124" s="158">
        <f t="shared" si="23"/>
        <v>2.8700567086522806E-2</v>
      </c>
      <c r="K124" s="158">
        <f t="shared" si="23"/>
        <v>3.6005939123979216E-2</v>
      </c>
      <c r="L124" s="158">
        <f t="shared" si="23"/>
        <v>1.2382012938805812E-2</v>
      </c>
      <c r="M124" s="158">
        <f t="shared" si="7"/>
        <v>0.13123311685475972</v>
      </c>
      <c r="N124" s="158">
        <f t="shared" si="7"/>
        <v>0.34796747206677769</v>
      </c>
      <c r="O124" s="158">
        <f t="shared" si="7"/>
        <v>3.7019707660346991E-2</v>
      </c>
    </row>
    <row r="125" spans="1:15">
      <c r="A125">
        <v>4</v>
      </c>
      <c r="B125" s="128" t="s">
        <v>32</v>
      </c>
      <c r="D125" s="158">
        <f t="shared" ref="D125:L125" si="24">D75/$C75</f>
        <v>3.0132168454457186E-3</v>
      </c>
      <c r="E125" s="158">
        <f t="shared" si="24"/>
        <v>0.13960401582083617</v>
      </c>
      <c r="F125" s="158">
        <f t="shared" si="24"/>
        <v>6.0623374918685614E-2</v>
      </c>
      <c r="G125" s="158">
        <f t="shared" si="24"/>
        <v>0.11730119235364858</v>
      </c>
      <c r="H125" s="158">
        <f t="shared" si="24"/>
        <v>5.9526957770566991E-2</v>
      </c>
      <c r="I125" s="158">
        <f t="shared" si="24"/>
        <v>3.5149049031852078E-2</v>
      </c>
      <c r="J125" s="158">
        <f t="shared" si="24"/>
        <v>5.0485376922349341E-2</v>
      </c>
      <c r="K125" s="158">
        <f t="shared" si="24"/>
        <v>2.9890879469395872E-2</v>
      </c>
      <c r="L125" s="158">
        <f t="shared" si="24"/>
        <v>1.0114834253770381E-2</v>
      </c>
      <c r="M125" s="158">
        <f t="shared" si="7"/>
        <v>0.15098899529196932</v>
      </c>
      <c r="N125" s="158">
        <f t="shared" si="7"/>
        <v>0.30774769279472486</v>
      </c>
      <c r="O125" s="158">
        <f t="shared" si="7"/>
        <v>3.555441452675509E-2</v>
      </c>
    </row>
    <row r="126" spans="1:15">
      <c r="A126">
        <v>5</v>
      </c>
      <c r="B126" s="128" t="s">
        <v>34</v>
      </c>
      <c r="D126" s="158">
        <f t="shared" ref="D126:L126" si="25">D76/$C76</f>
        <v>4.3202063963393858E-3</v>
      </c>
      <c r="E126" s="158">
        <f t="shared" si="25"/>
        <v>8.6976098914472083E-2</v>
      </c>
      <c r="F126" s="158">
        <f t="shared" si="25"/>
        <v>5.2136575313569911E-2</v>
      </c>
      <c r="G126" s="158">
        <f t="shared" si="25"/>
        <v>0.15536516899511593</v>
      </c>
      <c r="H126" s="158">
        <f t="shared" si="25"/>
        <v>5.8282221032306222E-2</v>
      </c>
      <c r="I126" s="158">
        <f t="shared" si="25"/>
        <v>3.2042544905807331E-2</v>
      </c>
      <c r="J126" s="158">
        <f t="shared" si="25"/>
        <v>4.2127083029093446E-2</v>
      </c>
      <c r="K126" s="158">
        <f t="shared" si="25"/>
        <v>5.1858702883382825E-2</v>
      </c>
      <c r="L126" s="158">
        <f t="shared" si="25"/>
        <v>1.0005435752648915E-2</v>
      </c>
      <c r="M126" s="158">
        <f t="shared" si="7"/>
        <v>0.13078664265199824</v>
      </c>
      <c r="N126" s="158">
        <f t="shared" si="7"/>
        <v>0.34624527414042089</v>
      </c>
      <c r="O126" s="158">
        <f t="shared" si="7"/>
        <v>2.9854045984844799E-2</v>
      </c>
    </row>
    <row r="127" spans="1:15">
      <c r="A127">
        <v>6</v>
      </c>
      <c r="B127" s="128" t="s">
        <v>61</v>
      </c>
      <c r="D127" s="158">
        <f t="shared" ref="D127:L127" si="26">D77/$C77</f>
        <v>1.8127868597401731E-2</v>
      </c>
      <c r="E127" s="158">
        <f t="shared" si="26"/>
        <v>0.10214818354578087</v>
      </c>
      <c r="F127" s="158">
        <f t="shared" si="26"/>
        <v>6.3467543869397555E-2</v>
      </c>
      <c r="G127" s="158">
        <f t="shared" si="26"/>
        <v>0.13465432359445673</v>
      </c>
      <c r="H127" s="158">
        <f t="shared" si="26"/>
        <v>6.805285442805864E-2</v>
      </c>
      <c r="I127" s="158">
        <f t="shared" si="26"/>
        <v>4.0923285509485124E-2</v>
      </c>
      <c r="J127" s="158">
        <f t="shared" si="26"/>
        <v>3.7611548848115753E-2</v>
      </c>
      <c r="K127" s="158">
        <f t="shared" si="26"/>
        <v>4.2145738639520799E-2</v>
      </c>
      <c r="L127" s="158">
        <f t="shared" si="26"/>
        <v>1.1820010446417657E-2</v>
      </c>
      <c r="M127" s="158">
        <f t="shared" si="7"/>
        <v>0.12068946356534012</v>
      </c>
      <c r="N127" s="158">
        <f t="shared" si="7"/>
        <v>0.32788637853816832</v>
      </c>
      <c r="O127" s="158">
        <f t="shared" si="7"/>
        <v>3.2472800417856704E-2</v>
      </c>
    </row>
    <row r="128" spans="1:15">
      <c r="A128">
        <v>7</v>
      </c>
      <c r="B128" s="128" t="s">
        <v>37</v>
      </c>
      <c r="D128" s="158">
        <f t="shared" ref="D128:L128" si="27">D78/$C78</f>
        <v>2.2137664729855711E-3</v>
      </c>
      <c r="E128" s="158">
        <f t="shared" si="27"/>
        <v>8.0225094423054713E-2</v>
      </c>
      <c r="F128" s="158">
        <f t="shared" si="27"/>
        <v>5.8918296244764835E-2</v>
      </c>
      <c r="G128" s="158">
        <f t="shared" si="27"/>
        <v>0.1480097225469017</v>
      </c>
      <c r="H128" s="158">
        <f t="shared" si="27"/>
        <v>4.9666104306141934E-2</v>
      </c>
      <c r="I128" s="158">
        <f t="shared" si="27"/>
        <v>7.5332839507563698E-2</v>
      </c>
      <c r="J128" s="158">
        <f t="shared" si="27"/>
        <v>4.0957496247018034E-2</v>
      </c>
      <c r="K128" s="158">
        <f t="shared" si="27"/>
        <v>2.8674753767768575E-2</v>
      </c>
      <c r="L128" s="158">
        <f t="shared" si="27"/>
        <v>1.6363846320669426E-2</v>
      </c>
      <c r="M128" s="158">
        <f t="shared" ref="M128:O147" si="28">M78/$C78</f>
        <v>0.12448352490205633</v>
      </c>
      <c r="N128" s="158">
        <f t="shared" si="28"/>
        <v>0.33434351684687552</v>
      </c>
      <c r="O128" s="158">
        <f t="shared" si="28"/>
        <v>4.0811038414199648E-2</v>
      </c>
    </row>
    <row r="129" spans="1:15">
      <c r="A129">
        <v>8</v>
      </c>
      <c r="B129" s="128" t="s">
        <v>39</v>
      </c>
      <c r="D129" s="158">
        <f t="shared" ref="D129:L129" si="29">D79/$C79</f>
        <v>8.5861877649517637E-3</v>
      </c>
      <c r="E129" s="158">
        <f t="shared" si="29"/>
        <v>0.11379122743701757</v>
      </c>
      <c r="F129" s="158">
        <f t="shared" si="29"/>
        <v>6.556529327163918E-2</v>
      </c>
      <c r="G129" s="158">
        <f t="shared" si="29"/>
        <v>0.133926214805518</v>
      </c>
      <c r="H129" s="158">
        <f t="shared" si="29"/>
        <v>6.3647675427020101E-2</v>
      </c>
      <c r="I129" s="158">
        <f t="shared" si="29"/>
        <v>3.1023932517088883E-2</v>
      </c>
      <c r="J129" s="158">
        <f t="shared" si="29"/>
        <v>5.8436171874579175E-2</v>
      </c>
      <c r="K129" s="158">
        <f t="shared" si="29"/>
        <v>4.7094755099732287E-2</v>
      </c>
      <c r="L129" s="158">
        <f t="shared" si="29"/>
        <v>9.5153705688753379E-3</v>
      </c>
      <c r="M129" s="158">
        <f t="shared" si="28"/>
        <v>0.12822992022494303</v>
      </c>
      <c r="N129" s="158">
        <f t="shared" si="28"/>
        <v>0.30474233356854674</v>
      </c>
      <c r="O129" s="158">
        <f t="shared" si="28"/>
        <v>3.5440917440087906E-2</v>
      </c>
    </row>
    <row r="130" spans="1:15">
      <c r="A130">
        <v>9</v>
      </c>
      <c r="B130" s="128" t="s">
        <v>41</v>
      </c>
      <c r="D130" s="158">
        <f t="shared" ref="D130:L130" si="30">D80/$C80</f>
        <v>7.10161215315455E-3</v>
      </c>
      <c r="E130" s="158">
        <f t="shared" si="30"/>
        <v>0.14703146798945899</v>
      </c>
      <c r="F130" s="158">
        <f t="shared" si="30"/>
        <v>5.7261794037100189E-2</v>
      </c>
      <c r="G130" s="158">
        <f t="shared" si="30"/>
        <v>0.15637433472846587</v>
      </c>
      <c r="H130" s="158">
        <f t="shared" si="30"/>
        <v>6.3623856766392803E-2</v>
      </c>
      <c r="I130" s="158">
        <f t="shared" si="30"/>
        <v>4.6155634785304607E-2</v>
      </c>
      <c r="J130" s="158">
        <f t="shared" si="30"/>
        <v>2.8012452849687387E-2</v>
      </c>
      <c r="K130" s="158">
        <f t="shared" si="30"/>
        <v>4.3132847620523947E-2</v>
      </c>
      <c r="L130" s="158">
        <f t="shared" si="30"/>
        <v>9.7982224978039583E-3</v>
      </c>
      <c r="M130" s="158">
        <f t="shared" si="28"/>
        <v>0.11131995039528755</v>
      </c>
      <c r="N130" s="158">
        <f t="shared" si="28"/>
        <v>0.29884255670955406</v>
      </c>
      <c r="O130" s="158">
        <f t="shared" si="28"/>
        <v>3.1345269467266054E-2</v>
      </c>
    </row>
    <row r="131" spans="1:15">
      <c r="A131">
        <v>10</v>
      </c>
      <c r="B131" s="128" t="s">
        <v>43</v>
      </c>
      <c r="D131" s="158">
        <f t="shared" ref="D131:L131" si="31">D81/$C81</f>
        <v>2.3451022725157738E-3</v>
      </c>
      <c r="E131" s="158">
        <f t="shared" si="31"/>
        <v>0.17971300415045879</v>
      </c>
      <c r="F131" s="158">
        <f t="shared" si="31"/>
        <v>5.4700441102570309E-2</v>
      </c>
      <c r="G131" s="158">
        <f t="shared" si="31"/>
        <v>0.11056226618771986</v>
      </c>
      <c r="H131" s="158">
        <f t="shared" si="31"/>
        <v>3.8824470956094474E-2</v>
      </c>
      <c r="I131" s="158">
        <f t="shared" si="31"/>
        <v>3.1789164138547155E-2</v>
      </c>
      <c r="J131" s="158">
        <f t="shared" si="31"/>
        <v>4.393158257179549E-2</v>
      </c>
      <c r="K131" s="158">
        <f t="shared" si="31"/>
        <v>2.7832269351746729E-2</v>
      </c>
      <c r="L131" s="158">
        <f t="shared" si="31"/>
        <v>9.8866533901617384E-3</v>
      </c>
      <c r="M131" s="158">
        <f t="shared" si="28"/>
        <v>0.13505927897411082</v>
      </c>
      <c r="N131" s="158">
        <f t="shared" si="28"/>
        <v>0.33437436021515382</v>
      </c>
      <c r="O131" s="158">
        <f t="shared" si="28"/>
        <v>3.0981406689125055E-2</v>
      </c>
    </row>
    <row r="132" spans="1:15">
      <c r="A132">
        <v>11</v>
      </c>
      <c r="B132" s="128" t="s">
        <v>45</v>
      </c>
      <c r="D132" s="158">
        <f t="shared" ref="D132:L132" si="32">D82/$C82</f>
        <v>8.3393382845514032E-3</v>
      </c>
      <c r="E132" s="158">
        <f t="shared" si="32"/>
        <v>0.1204623389979034</v>
      </c>
      <c r="F132" s="158">
        <f t="shared" si="32"/>
        <v>6.329278935113937E-2</v>
      </c>
      <c r="G132" s="158">
        <f t="shared" si="32"/>
        <v>0.12247927839195252</v>
      </c>
      <c r="H132" s="158">
        <f t="shared" si="32"/>
        <v>6.6236724229706584E-2</v>
      </c>
      <c r="I132" s="158">
        <f t="shared" si="32"/>
        <v>3.0880537078008842E-2</v>
      </c>
      <c r="J132" s="158">
        <f t="shared" si="32"/>
        <v>5.953773342361883E-2</v>
      </c>
      <c r="K132" s="158">
        <f t="shared" si="32"/>
        <v>3.6192655733430862E-2</v>
      </c>
      <c r="L132" s="158">
        <f t="shared" si="32"/>
        <v>8.4588337962275637E-3</v>
      </c>
      <c r="M132" s="158">
        <f t="shared" si="28"/>
        <v>0.11094977205325879</v>
      </c>
      <c r="N132" s="158">
        <f t="shared" si="28"/>
        <v>0.33955192804197554</v>
      </c>
      <c r="O132" s="158">
        <f t="shared" si="28"/>
        <v>3.3618070618226324E-2</v>
      </c>
    </row>
    <row r="133" spans="1:15">
      <c r="A133">
        <v>12</v>
      </c>
      <c r="B133" s="128" t="s">
        <v>47</v>
      </c>
      <c r="D133" s="158">
        <f t="shared" ref="D133:L133" si="33">D83/$C83</f>
        <v>4.4552123863390459E-3</v>
      </c>
      <c r="E133" s="158">
        <f t="shared" si="33"/>
        <v>0.12738088671455666</v>
      </c>
      <c r="F133" s="158">
        <f t="shared" si="33"/>
        <v>6.8398117778843262E-2</v>
      </c>
      <c r="G133" s="158">
        <f t="shared" si="33"/>
        <v>0.12513206522430934</v>
      </c>
      <c r="H133" s="158">
        <f t="shared" si="33"/>
        <v>7.3387955651542991E-2</v>
      </c>
      <c r="I133" s="158">
        <f t="shared" si="33"/>
        <v>3.0664590396259319E-2</v>
      </c>
      <c r="J133" s="158">
        <f t="shared" si="33"/>
        <v>1.6806758345037105E-2</v>
      </c>
      <c r="K133" s="158">
        <f t="shared" si="33"/>
        <v>4.1416502955290882E-2</v>
      </c>
      <c r="L133" s="158">
        <f t="shared" si="33"/>
        <v>1.2563698929476109E-2</v>
      </c>
      <c r="M133" s="158">
        <f t="shared" si="28"/>
        <v>9.5697962058562708E-2</v>
      </c>
      <c r="N133" s="158">
        <f t="shared" si="28"/>
        <v>0.3707161011375642</v>
      </c>
      <c r="O133" s="158">
        <f t="shared" si="28"/>
        <v>3.3380148422218356E-2</v>
      </c>
    </row>
    <row r="134" spans="1:15">
      <c r="A134">
        <v>13</v>
      </c>
      <c r="B134" s="128" t="s">
        <v>63</v>
      </c>
      <c r="D134" s="158">
        <f t="shared" ref="D134:L134" si="34">D84/$C84</f>
        <v>9.3741285916855033E-3</v>
      </c>
      <c r="E134" s="158">
        <f t="shared" si="34"/>
        <v>7.8297705711692145E-2</v>
      </c>
      <c r="F134" s="158">
        <f t="shared" si="34"/>
        <v>6.1264083441610453E-2</v>
      </c>
      <c r="G134" s="158">
        <f t="shared" si="34"/>
        <v>0.15012844929367722</v>
      </c>
      <c r="H134" s="158">
        <f t="shared" si="34"/>
        <v>4.2177645669805218E-2</v>
      </c>
      <c r="I134" s="158">
        <f t="shared" si="34"/>
        <v>5.2156939525004595E-2</v>
      </c>
      <c r="J134" s="158">
        <f t="shared" si="34"/>
        <v>1.7407400815193208E-2</v>
      </c>
      <c r="K134" s="158">
        <f t="shared" si="34"/>
        <v>2.7410426641510777E-2</v>
      </c>
      <c r="L134" s="158">
        <f t="shared" si="34"/>
        <v>1.5170662537303693E-2</v>
      </c>
      <c r="M134" s="158">
        <f t="shared" si="28"/>
        <v>9.3557363140689062E-2</v>
      </c>
      <c r="N134" s="158">
        <f t="shared" si="28"/>
        <v>0.4125862508825327</v>
      </c>
      <c r="O134" s="158">
        <f t="shared" si="28"/>
        <v>4.0468943749295459E-2</v>
      </c>
    </row>
    <row r="135" spans="1:15">
      <c r="A135">
        <v>14</v>
      </c>
      <c r="B135" s="128" t="s">
        <v>64</v>
      </c>
      <c r="D135" s="158">
        <f t="shared" ref="D135:L135" si="35">D85/$C85</f>
        <v>4.0255917418244866E-3</v>
      </c>
      <c r="E135" s="158">
        <f t="shared" si="35"/>
        <v>0.14495490530786703</v>
      </c>
      <c r="F135" s="158">
        <f t="shared" si="35"/>
        <v>7.0168953883788757E-2</v>
      </c>
      <c r="G135" s="158">
        <f t="shared" si="35"/>
        <v>0.13447761394642402</v>
      </c>
      <c r="H135" s="158">
        <f t="shared" si="35"/>
        <v>8.2272611191010633E-2</v>
      </c>
      <c r="I135" s="158">
        <f t="shared" si="35"/>
        <v>3.0605250070565464E-2</v>
      </c>
      <c r="J135" s="158">
        <f t="shared" si="35"/>
        <v>1.0208470543958924E-2</v>
      </c>
      <c r="K135" s="158">
        <f t="shared" si="35"/>
        <v>1.7890025403567253E-2</v>
      </c>
      <c r="L135" s="158">
        <f t="shared" si="35"/>
        <v>1.0846919985483676E-2</v>
      </c>
      <c r="M135" s="158">
        <f t="shared" si="28"/>
        <v>8.958453742657832E-2</v>
      </c>
      <c r="N135" s="158">
        <f t="shared" si="28"/>
        <v>0.37843922633368726</v>
      </c>
      <c r="O135" s="158">
        <f t="shared" si="28"/>
        <v>2.6525894165244156E-2</v>
      </c>
    </row>
    <row r="136" spans="1:15">
      <c r="A136">
        <v>15</v>
      </c>
      <c r="B136" s="128" t="s">
        <v>49</v>
      </c>
      <c r="D136" s="158">
        <f t="shared" ref="D136:L136" si="36">D86/$C86</f>
        <v>5.8625937699809984E-3</v>
      </c>
      <c r="E136" s="158">
        <f t="shared" si="36"/>
        <v>5.600983402825932E-2</v>
      </c>
      <c r="F136" s="158">
        <f t="shared" si="36"/>
        <v>5.5604585610979529E-2</v>
      </c>
      <c r="G136" s="158">
        <f t="shared" si="36"/>
        <v>0.13597885503813839</v>
      </c>
      <c r="H136" s="158">
        <f t="shared" si="36"/>
        <v>4.5536413821672686E-2</v>
      </c>
      <c r="I136" s="158">
        <f t="shared" si="36"/>
        <v>4.6382932737768251E-2</v>
      </c>
      <c r="J136" s="158">
        <f t="shared" si="36"/>
        <v>4.696829156272795E-2</v>
      </c>
      <c r="K136" s="158">
        <f t="shared" si="36"/>
        <v>3.3500535828462845E-2</v>
      </c>
      <c r="L136" s="158">
        <f t="shared" si="36"/>
        <v>1.2999468674297344E-2</v>
      </c>
      <c r="M136" s="158">
        <f t="shared" si="28"/>
        <v>0.13175976873823653</v>
      </c>
      <c r="N136" s="158">
        <f t="shared" si="28"/>
        <v>0.38721486271084177</v>
      </c>
      <c r="O136" s="158">
        <f t="shared" si="28"/>
        <v>4.2181857478634406E-2</v>
      </c>
    </row>
    <row r="137" spans="1:15">
      <c r="A137">
        <v>16</v>
      </c>
      <c r="B137" s="128" t="s">
        <v>65</v>
      </c>
      <c r="D137" s="158">
        <f t="shared" ref="D137:L137" si="37">D87/$C87</f>
        <v>3.0007863883328566E-2</v>
      </c>
      <c r="E137" s="158">
        <f t="shared" si="37"/>
        <v>0.10305857401582309</v>
      </c>
      <c r="F137" s="158">
        <f t="shared" si="37"/>
        <v>6.8201315413211325E-2</v>
      </c>
      <c r="G137" s="158">
        <f t="shared" si="37"/>
        <v>0.17725907921075207</v>
      </c>
      <c r="H137" s="158">
        <f t="shared" si="37"/>
        <v>7.7953722238108855E-2</v>
      </c>
      <c r="I137" s="158">
        <f t="shared" si="37"/>
        <v>4.3370508054522923E-2</v>
      </c>
      <c r="J137" s="158">
        <f t="shared" si="37"/>
        <v>1.1450290725383663E-2</v>
      </c>
      <c r="K137" s="158">
        <f t="shared" si="37"/>
        <v>2.5009531979792204E-2</v>
      </c>
      <c r="L137" s="158">
        <f t="shared" si="37"/>
        <v>1.0282623200838814E-2</v>
      </c>
      <c r="M137" s="158">
        <f t="shared" si="28"/>
        <v>8.333929082070346E-2</v>
      </c>
      <c r="N137" s="158">
        <f t="shared" si="28"/>
        <v>0.33435206367362502</v>
      </c>
      <c r="O137" s="158">
        <f t="shared" si="28"/>
        <v>3.5715136783910015E-2</v>
      </c>
    </row>
    <row r="138" spans="1:15">
      <c r="A138">
        <v>6</v>
      </c>
      <c r="B138" s="128" t="s">
        <v>465</v>
      </c>
      <c r="D138" s="158">
        <f t="shared" ref="D138:L138" si="38">D88/$C88</f>
        <v>2.1106726622006056E-3</v>
      </c>
      <c r="E138" s="158">
        <f t="shared" si="38"/>
        <v>7.8443068518588496E-2</v>
      </c>
      <c r="F138" s="158">
        <f t="shared" si="38"/>
        <v>5.8936890347586222E-2</v>
      </c>
      <c r="G138" s="158">
        <f t="shared" si="38"/>
        <v>0.14696435608289382</v>
      </c>
      <c r="H138" s="158">
        <f t="shared" si="38"/>
        <v>5.0175709450523347E-2</v>
      </c>
      <c r="I138" s="158">
        <f t="shared" si="38"/>
        <v>7.8132675480029584E-2</v>
      </c>
      <c r="J138" s="158">
        <f t="shared" si="38"/>
        <v>3.9425314036782927E-2</v>
      </c>
      <c r="K138" s="158">
        <f t="shared" si="38"/>
        <v>2.8367224654384099E-2</v>
      </c>
      <c r="L138" s="158">
        <f t="shared" si="38"/>
        <v>1.6718038963773083E-2</v>
      </c>
      <c r="M138" s="158">
        <f t="shared" si="28"/>
        <v>0.12191158926633881</v>
      </c>
      <c r="N138" s="158">
        <f t="shared" si="28"/>
        <v>0.3380342134100589</v>
      </c>
      <c r="O138" s="158">
        <f t="shared" si="28"/>
        <v>4.0780247126840093E-2</v>
      </c>
    </row>
    <row r="139" spans="1:15">
      <c r="A139">
        <v>13</v>
      </c>
      <c r="B139" s="128" t="s">
        <v>466</v>
      </c>
      <c r="D139" s="158">
        <f t="shared" ref="D139:L139" si="39">D89/$C89</f>
        <v>6.3416320885200557E-3</v>
      </c>
      <c r="E139" s="158">
        <f t="shared" si="39"/>
        <v>0.10465421853388658</v>
      </c>
      <c r="F139" s="158">
        <f t="shared" si="39"/>
        <v>5.7426002766251726E-2</v>
      </c>
      <c r="G139" s="158">
        <f t="shared" si="39"/>
        <v>0.12930152143845089</v>
      </c>
      <c r="H139" s="158">
        <f t="shared" si="39"/>
        <v>7.7229598893499313E-2</v>
      </c>
      <c r="I139" s="158">
        <f t="shared" si="39"/>
        <v>4.2784232365145225E-2</v>
      </c>
      <c r="J139" s="158">
        <f t="shared" si="39"/>
        <v>2.7139695712309821E-2</v>
      </c>
      <c r="K139" s="158">
        <f t="shared" si="39"/>
        <v>3.3980636237897648E-2</v>
      </c>
      <c r="L139" s="158">
        <f t="shared" si="39"/>
        <v>1.1781466113416321E-2</v>
      </c>
      <c r="M139" s="158">
        <f t="shared" si="28"/>
        <v>0.13110235131396958</v>
      </c>
      <c r="N139" s="158">
        <f t="shared" si="28"/>
        <v>0.34165421853388661</v>
      </c>
      <c r="O139" s="158">
        <f t="shared" si="28"/>
        <v>3.6604426002766255E-2</v>
      </c>
    </row>
    <row r="140" spans="1:15">
      <c r="A140">
        <v>31</v>
      </c>
      <c r="B140" s="128" t="s">
        <v>467</v>
      </c>
      <c r="D140" s="158">
        <f t="shared" ref="D140:L140" si="40">D90/$C90</f>
        <v>2.9342400621323911E-3</v>
      </c>
      <c r="E140" s="158">
        <f t="shared" si="40"/>
        <v>0.14019946770725794</v>
      </c>
      <c r="F140" s="158">
        <f t="shared" si="40"/>
        <v>6.0467318930489386E-2</v>
      </c>
      <c r="G140" s="158">
        <f t="shared" si="40"/>
        <v>0.11781096977675908</v>
      </c>
      <c r="H140" s="158">
        <f t="shared" si="40"/>
        <v>5.8690484083310443E-2</v>
      </c>
      <c r="I140" s="158">
        <f t="shared" si="40"/>
        <v>3.5764010570083632E-2</v>
      </c>
      <c r="J140" s="158">
        <f t="shared" si="40"/>
        <v>4.9643401748420642E-2</v>
      </c>
      <c r="K140" s="158">
        <f t="shared" si="40"/>
        <v>2.9781873632566465E-2</v>
      </c>
      <c r="L140" s="158">
        <f t="shared" si="40"/>
        <v>9.9430768793627635E-3</v>
      </c>
      <c r="M140" s="158">
        <f t="shared" si="28"/>
        <v>0.14811187618984475</v>
      </c>
      <c r="N140" s="158">
        <f t="shared" si="28"/>
        <v>0.31133253142137318</v>
      </c>
      <c r="O140" s="158">
        <f t="shared" si="28"/>
        <v>3.5320748998399334E-2</v>
      </c>
    </row>
    <row r="141" spans="1:15">
      <c r="A141">
        <v>33</v>
      </c>
      <c r="B141" s="128" t="s">
        <v>116</v>
      </c>
      <c r="D141" s="158">
        <f t="shared" ref="D141:L141" si="41">D91/$C91</f>
        <v>3.5838306505353253E-2</v>
      </c>
      <c r="E141" s="158">
        <f t="shared" si="41"/>
        <v>0.10510669490144975</v>
      </c>
      <c r="F141" s="158">
        <f t="shared" si="41"/>
        <v>6.243058537813384E-2</v>
      </c>
      <c r="G141" s="158">
        <f t="shared" si="41"/>
        <v>0.13905507263546033</v>
      </c>
      <c r="H141" s="158">
        <f t="shared" si="41"/>
        <v>6.2426883264967641E-2</v>
      </c>
      <c r="I141" s="158">
        <f t="shared" si="41"/>
        <v>4.055479867908602E-2</v>
      </c>
      <c r="J141" s="158">
        <f t="shared" si="41"/>
        <v>3.2552681070354958E-2</v>
      </c>
      <c r="K141" s="158">
        <f t="shared" si="41"/>
        <v>3.8496423758681453E-2</v>
      </c>
      <c r="L141" s="158">
        <f t="shared" si="41"/>
        <v>1.088236165203098E-2</v>
      </c>
      <c r="M141" s="158">
        <f t="shared" si="28"/>
        <v>0.11019339839180205</v>
      </c>
      <c r="N141" s="158">
        <f t="shared" si="28"/>
        <v>0.33076344977713279</v>
      </c>
      <c r="O141" s="158">
        <f t="shared" si="28"/>
        <v>3.1699343985546947E-2</v>
      </c>
    </row>
    <row r="142" spans="1:15">
      <c r="A142">
        <v>34</v>
      </c>
      <c r="B142" s="128" t="s">
        <v>468</v>
      </c>
      <c r="D142" s="158">
        <f t="shared" ref="D142:L142" si="42">D92/$C92</f>
        <v>1.1801671516270857E-2</v>
      </c>
      <c r="E142" s="158">
        <f t="shared" si="42"/>
        <v>6.8292300454759286E-2</v>
      </c>
      <c r="F142" s="158">
        <f t="shared" si="42"/>
        <v>5.9722730414278162E-2</v>
      </c>
      <c r="G142" s="158">
        <f t="shared" si="42"/>
        <v>0.14935328930938152</v>
      </c>
      <c r="H142" s="158">
        <f t="shared" si="42"/>
        <v>4.8716742459881869E-2</v>
      </c>
      <c r="I142" s="158">
        <f t="shared" si="42"/>
        <v>4.9146527741478346E-2</v>
      </c>
      <c r="J142" s="158">
        <f t="shared" si="42"/>
        <v>3.2344246394740359E-2</v>
      </c>
      <c r="K142" s="158">
        <f t="shared" si="42"/>
        <v>3.0686088315067458E-2</v>
      </c>
      <c r="L142" s="158">
        <f t="shared" si="42"/>
        <v>1.2478292939324773E-2</v>
      </c>
      <c r="M142" s="158">
        <f t="shared" si="28"/>
        <v>0.107655405130707</v>
      </c>
      <c r="N142" s="158">
        <f t="shared" si="28"/>
        <v>0.38858687760992922</v>
      </c>
      <c r="O142" s="158">
        <f t="shared" si="28"/>
        <v>4.1215827714181169E-2</v>
      </c>
    </row>
    <row r="143" spans="1:15">
      <c r="A143">
        <v>35</v>
      </c>
      <c r="B143" s="128" t="s">
        <v>469</v>
      </c>
      <c r="D143" s="158">
        <f t="shared" ref="D143:L143" si="43">D93/$C93</f>
        <v>1.0841521077517666E-2</v>
      </c>
      <c r="E143" s="158">
        <f t="shared" si="43"/>
        <v>0.15141534767636558</v>
      </c>
      <c r="F143" s="158">
        <f t="shared" si="43"/>
        <v>6.4725302498973236E-2</v>
      </c>
      <c r="G143" s="158">
        <f t="shared" si="43"/>
        <v>0.12907939215872113</v>
      </c>
      <c r="H143" s="158">
        <f t="shared" si="43"/>
        <v>6.3780157752293093E-2</v>
      </c>
      <c r="I143" s="158">
        <f t="shared" si="43"/>
        <v>3.3556587579902902E-2</v>
      </c>
      <c r="J143" s="158">
        <f t="shared" si="43"/>
        <v>4.4348087069156161E-2</v>
      </c>
      <c r="K143" s="158">
        <f t="shared" si="43"/>
        <v>3.1287187101801832E-2</v>
      </c>
      <c r="L143" s="158">
        <f t="shared" si="43"/>
        <v>7.7823060478732923E-3</v>
      </c>
      <c r="M143" s="158">
        <f t="shared" si="28"/>
        <v>9.9721985277856764E-2</v>
      </c>
      <c r="N143" s="158">
        <f t="shared" si="28"/>
        <v>0.33203803746880234</v>
      </c>
      <c r="O143" s="158">
        <f t="shared" si="28"/>
        <v>3.1424088290736001E-2</v>
      </c>
    </row>
    <row r="144" spans="1:15">
      <c r="A144">
        <v>38</v>
      </c>
      <c r="B144" s="128" t="s">
        <v>470</v>
      </c>
      <c r="D144" s="158">
        <f t="shared" ref="D144:L144" si="44">D94/$C94</f>
        <v>4.0352812519400391E-3</v>
      </c>
      <c r="E144" s="158">
        <f t="shared" si="44"/>
        <v>0.19290077028504846</v>
      </c>
      <c r="F144" s="158">
        <f t="shared" si="44"/>
        <v>6.5120843540923484E-2</v>
      </c>
      <c r="G144" s="158">
        <f t="shared" si="44"/>
        <v>0.12720925679192752</v>
      </c>
      <c r="H144" s="158">
        <f t="shared" si="44"/>
        <v>5.4077544256768049E-2</v>
      </c>
      <c r="I144" s="158">
        <f t="shared" si="44"/>
        <v>3.6176654584700312E-2</v>
      </c>
      <c r="J144" s="158">
        <f t="shared" si="44"/>
        <v>3.0797075495575518E-2</v>
      </c>
      <c r="K144" s="158">
        <f t="shared" si="44"/>
        <v>2.5126192079387592E-2</v>
      </c>
      <c r="L144" s="158">
        <f t="shared" si="44"/>
        <v>9.0232709177996487E-3</v>
      </c>
      <c r="M144" s="158">
        <f t="shared" si="28"/>
        <v>0.11375911519892265</v>
      </c>
      <c r="N144" s="158">
        <f t="shared" si="28"/>
        <v>0.31266266481378013</v>
      </c>
      <c r="O144" s="158">
        <f t="shared" si="28"/>
        <v>2.9111330783226603E-2</v>
      </c>
    </row>
    <row r="145" spans="1:15">
      <c r="A145">
        <v>44</v>
      </c>
      <c r="B145" s="128" t="s">
        <v>471</v>
      </c>
      <c r="D145" s="158">
        <f t="shared" ref="D145:L145" si="45">D95/$C95</f>
        <v>1.0119135637181829E-2</v>
      </c>
      <c r="E145" s="158">
        <f t="shared" si="45"/>
        <v>0.14515684260587725</v>
      </c>
      <c r="F145" s="158">
        <f t="shared" si="45"/>
        <v>6.9748899963631858E-2</v>
      </c>
      <c r="G145" s="158">
        <f t="shared" si="45"/>
        <v>0.13564317657731828</v>
      </c>
      <c r="H145" s="158">
        <f t="shared" si="45"/>
        <v>6.1390222165383125E-2</v>
      </c>
      <c r="I145" s="158">
        <f t="shared" si="45"/>
        <v>3.3584579908000595E-2</v>
      </c>
      <c r="J145" s="158">
        <f t="shared" si="45"/>
        <v>4.4880684520360162E-2</v>
      </c>
      <c r="K145" s="158">
        <f t="shared" si="45"/>
        <v>3.9555349513825888E-2</v>
      </c>
      <c r="L145" s="158">
        <f t="shared" si="45"/>
        <v>8.8642349302011439E-3</v>
      </c>
      <c r="M145" s="158">
        <f t="shared" si="28"/>
        <v>0.11469552671859451</v>
      </c>
      <c r="N145" s="158">
        <f t="shared" si="28"/>
        <v>0.30221525943273692</v>
      </c>
      <c r="O145" s="158">
        <f t="shared" si="28"/>
        <v>3.4146088026888448E-2</v>
      </c>
    </row>
    <row r="146" spans="1:15">
      <c r="A146">
        <v>59</v>
      </c>
      <c r="B146" s="128" t="s">
        <v>472</v>
      </c>
      <c r="D146" s="158">
        <f t="shared" ref="D146:L146" si="46">D96/$C96</f>
        <v>6.784974553534281E-3</v>
      </c>
      <c r="E146" s="158">
        <f t="shared" si="46"/>
        <v>0.14689008880962715</v>
      </c>
      <c r="F146" s="158">
        <f t="shared" si="46"/>
        <v>5.6168884471021613E-2</v>
      </c>
      <c r="G146" s="158">
        <f t="shared" si="46"/>
        <v>0.13994431688102568</v>
      </c>
      <c r="H146" s="158">
        <f t="shared" si="46"/>
        <v>5.6319561731574083E-2</v>
      </c>
      <c r="I146" s="158">
        <f t="shared" si="46"/>
        <v>2.9610330612896623E-2</v>
      </c>
      <c r="J146" s="158">
        <f t="shared" si="46"/>
        <v>2.5927733386707567E-2</v>
      </c>
      <c r="K146" s="158">
        <f t="shared" si="46"/>
        <v>3.6532488940963753E-2</v>
      </c>
      <c r="L146" s="158">
        <f t="shared" si="46"/>
        <v>9.0788671768703665E-3</v>
      </c>
      <c r="M146" s="158">
        <f t="shared" si="28"/>
        <v>0.10152049098297797</v>
      </c>
      <c r="N146" s="158">
        <f t="shared" si="28"/>
        <v>0.36341781005219731</v>
      </c>
      <c r="O146" s="158">
        <f t="shared" si="28"/>
        <v>2.780445240060361E-2</v>
      </c>
    </row>
    <row r="147" spans="1:15">
      <c r="A147">
        <v>62</v>
      </c>
      <c r="B147" s="128" t="s">
        <v>478</v>
      </c>
      <c r="D147" s="158">
        <f t="shared" ref="D147:L147" si="47">D97/$C97</f>
        <v>1.2260210396039604E-2</v>
      </c>
      <c r="E147" s="158">
        <f t="shared" si="47"/>
        <v>0.16488919399752475</v>
      </c>
      <c r="F147" s="158">
        <f t="shared" si="47"/>
        <v>6.7904935024752477E-2</v>
      </c>
      <c r="G147" s="158">
        <f t="shared" si="47"/>
        <v>0.13720703125</v>
      </c>
      <c r="H147" s="158">
        <f t="shared" si="47"/>
        <v>6.6019492574257432E-2</v>
      </c>
      <c r="I147" s="158">
        <f t="shared" si="47"/>
        <v>3.3162032023514851E-2</v>
      </c>
      <c r="J147" s="158">
        <f t="shared" si="47"/>
        <v>6.8431892017326735E-3</v>
      </c>
      <c r="K147" s="158">
        <f t="shared" si="47"/>
        <v>2.2775177908415843E-2</v>
      </c>
      <c r="L147" s="158">
        <f t="shared" si="47"/>
        <v>8.7673073948019795E-3</v>
      </c>
      <c r="M147" s="158">
        <f t="shared" si="28"/>
        <v>7.4228418935643567E-2</v>
      </c>
      <c r="N147" s="158">
        <f t="shared" si="28"/>
        <v>0.37985622292698018</v>
      </c>
      <c r="O147" s="158">
        <f t="shared" si="28"/>
        <v>2.6086788366336634E-2</v>
      </c>
    </row>
    <row r="148" spans="1:15">
      <c r="A148">
        <v>67</v>
      </c>
      <c r="B148" s="128" t="s">
        <v>473</v>
      </c>
      <c r="D148" s="158">
        <f t="shared" ref="D148:L148" si="48">D98/$C98</f>
        <v>8.2104213705539095E-3</v>
      </c>
      <c r="E148" s="158">
        <f t="shared" si="48"/>
        <v>0.18926976121357847</v>
      </c>
      <c r="F148" s="158">
        <f t="shared" si="48"/>
        <v>6.2604462950473561E-2</v>
      </c>
      <c r="G148" s="158">
        <f t="shared" si="48"/>
        <v>0.15382322180844304</v>
      </c>
      <c r="H148" s="158">
        <f t="shared" si="48"/>
        <v>5.7863922040094225E-2</v>
      </c>
      <c r="I148" s="158">
        <f t="shared" si="48"/>
        <v>4.383289837648692E-2</v>
      </c>
      <c r="J148" s="158">
        <f t="shared" si="48"/>
        <v>2.2500464279779881E-2</v>
      </c>
      <c r="K148" s="158">
        <f t="shared" si="48"/>
        <v>3.6858927367093806E-2</v>
      </c>
      <c r="L148" s="158">
        <f t="shared" si="48"/>
        <v>8.1737677037210799E-3</v>
      </c>
      <c r="M148" s="158">
        <f t="shared" ref="M148:O155" si="49">M98/$C98</f>
        <v>9.6765680438671078E-2</v>
      </c>
      <c r="N148" s="158">
        <f t="shared" si="49"/>
        <v>0.29001114271471717</v>
      </c>
      <c r="O148" s="158">
        <f t="shared" si="49"/>
        <v>3.0085329736386827E-2</v>
      </c>
    </row>
    <row r="149" spans="1:15">
      <c r="A149">
        <v>69</v>
      </c>
      <c r="B149" s="128" t="s">
        <v>474</v>
      </c>
      <c r="D149" s="158">
        <f t="shared" ref="D149:L149" si="50">D99/$C99</f>
        <v>2.884715450043531E-3</v>
      </c>
      <c r="E149" s="158">
        <f t="shared" si="50"/>
        <v>0.13607023831582368</v>
      </c>
      <c r="F149" s="158">
        <f t="shared" si="50"/>
        <v>5.9660179758511372E-2</v>
      </c>
      <c r="G149" s="158">
        <f t="shared" si="50"/>
        <v>0.13096963497498559</v>
      </c>
      <c r="H149" s="158">
        <f t="shared" si="50"/>
        <v>6.6130166280430391E-2</v>
      </c>
      <c r="I149" s="158">
        <f t="shared" si="50"/>
        <v>4.0300985092887077E-2</v>
      </c>
      <c r="J149" s="158">
        <f t="shared" si="50"/>
        <v>4.4517010048911981E-2</v>
      </c>
      <c r="K149" s="158">
        <f t="shared" si="50"/>
        <v>3.8140938592238556E-2</v>
      </c>
      <c r="L149" s="158">
        <f t="shared" si="50"/>
        <v>1.2090930089117782E-2</v>
      </c>
      <c r="M149" s="158">
        <f t="shared" si="49"/>
        <v>0.14384234452614772</v>
      </c>
      <c r="N149" s="158">
        <f t="shared" si="49"/>
        <v>0.29259365489513239</v>
      </c>
      <c r="O149" s="158">
        <f t="shared" si="49"/>
        <v>3.2799201975769916E-2</v>
      </c>
    </row>
    <row r="150" spans="1:15">
      <c r="A150">
        <v>76</v>
      </c>
      <c r="B150" s="128" t="s">
        <v>475</v>
      </c>
      <c r="D150" s="158">
        <f t="shared" ref="D150:L150" si="51">D100/$C100</f>
        <v>7.2928514980837135E-3</v>
      </c>
      <c r="E150" s="158">
        <f t="shared" si="51"/>
        <v>0.17854581500413405</v>
      </c>
      <c r="F150" s="158">
        <f t="shared" si="51"/>
        <v>6.8527223143440549E-2</v>
      </c>
      <c r="G150" s="158">
        <f t="shared" si="51"/>
        <v>0.11797152293376821</v>
      </c>
      <c r="H150" s="158">
        <f t="shared" si="51"/>
        <v>8.2160492981229988E-2</v>
      </c>
      <c r="I150" s="158">
        <f t="shared" si="51"/>
        <v>2.9146281856262533E-2</v>
      </c>
      <c r="J150" s="158">
        <f t="shared" si="51"/>
        <v>1.163475901385482E-2</v>
      </c>
      <c r="K150" s="158">
        <f t="shared" si="51"/>
        <v>3.3035954922731862E-2</v>
      </c>
      <c r="L150" s="158">
        <f t="shared" si="51"/>
        <v>1.0947271290421308E-2</v>
      </c>
      <c r="M150" s="158">
        <f t="shared" si="49"/>
        <v>8.7639838657366173E-2</v>
      </c>
      <c r="N150" s="158">
        <f t="shared" si="49"/>
        <v>0.341361636814625</v>
      </c>
      <c r="O150" s="158">
        <f t="shared" si="49"/>
        <v>3.1736351884081804E-2</v>
      </c>
    </row>
    <row r="151" spans="1:15">
      <c r="A151">
        <v>83</v>
      </c>
      <c r="B151" s="128" t="s">
        <v>476</v>
      </c>
      <c r="D151" s="158">
        <f t="shared" ref="D151:L151" si="52">D101/$C101</f>
        <v>1.3577248453248364E-2</v>
      </c>
      <c r="E151" s="158">
        <f t="shared" si="52"/>
        <v>7.3612751323930276E-2</v>
      </c>
      <c r="F151" s="158">
        <f t="shared" si="52"/>
        <v>7.3245096073144833E-2</v>
      </c>
      <c r="G151" s="158">
        <f t="shared" si="52"/>
        <v>0.16679664579573222</v>
      </c>
      <c r="H151" s="158">
        <f t="shared" si="52"/>
        <v>4.486508166402995E-2</v>
      </c>
      <c r="I151" s="158">
        <f t="shared" si="52"/>
        <v>6.1231310858085072E-2</v>
      </c>
      <c r="J151" s="158">
        <f t="shared" si="52"/>
        <v>1.1545860350423732E-2</v>
      </c>
      <c r="K151" s="158">
        <f t="shared" si="52"/>
        <v>3.0507958436388215E-2</v>
      </c>
      <c r="L151" s="158">
        <f t="shared" si="52"/>
        <v>1.6195399481568961E-2</v>
      </c>
      <c r="M151" s="158">
        <f t="shared" si="49"/>
        <v>8.3435459791884853E-2</v>
      </c>
      <c r="N151" s="158">
        <f t="shared" si="49"/>
        <v>0.38347928132682696</v>
      </c>
      <c r="O151" s="158">
        <f t="shared" si="49"/>
        <v>4.1507906444736585E-2</v>
      </c>
    </row>
    <row r="152" spans="1:15">
      <c r="A152">
        <v>84</v>
      </c>
      <c r="B152" s="128" t="s">
        <v>477</v>
      </c>
      <c r="D152" s="158">
        <f t="shared" ref="D152:L152" si="53">D102/$C102</f>
        <v>2.8481172747559118E-2</v>
      </c>
      <c r="E152" s="158">
        <f t="shared" si="53"/>
        <v>0.11063083521165552</v>
      </c>
      <c r="F152" s="158">
        <f t="shared" si="53"/>
        <v>6.8384043348491061E-2</v>
      </c>
      <c r="G152" s="158">
        <f t="shared" si="53"/>
        <v>0.17573226461016148</v>
      </c>
      <c r="H152" s="158">
        <f t="shared" si="53"/>
        <v>6.5258814998847711E-2</v>
      </c>
      <c r="I152" s="158">
        <f t="shared" si="53"/>
        <v>4.3101170836448259E-2</v>
      </c>
      <c r="J152" s="158">
        <f t="shared" si="53"/>
        <v>1.0932678309453816E-2</v>
      </c>
      <c r="K152" s="158">
        <f t="shared" si="53"/>
        <v>2.5963003142091094E-2</v>
      </c>
      <c r="L152" s="158">
        <f t="shared" si="53"/>
        <v>1.0083920250467941E-2</v>
      </c>
      <c r="M152" s="158">
        <f t="shared" si="49"/>
        <v>8.3914629553643191E-2</v>
      </c>
      <c r="N152" s="158">
        <f t="shared" si="49"/>
        <v>0.34180217754219899</v>
      </c>
      <c r="O152" s="158">
        <f t="shared" si="49"/>
        <v>3.5715289448981773E-2</v>
      </c>
    </row>
    <row r="153" spans="1:15">
      <c r="A153">
        <v>72</v>
      </c>
      <c r="B153" s="128" t="s">
        <v>74</v>
      </c>
      <c r="D153" s="158">
        <f t="shared" ref="D153:L153" si="54">D103/$C103</f>
        <v>2.8330936484754553E-2</v>
      </c>
      <c r="E153" s="158">
        <f t="shared" si="54"/>
        <v>0.13224829364251439</v>
      </c>
      <c r="F153" s="158">
        <f t="shared" si="54"/>
        <v>6.6602895591785644E-2</v>
      </c>
      <c r="G153" s="158">
        <f t="shared" si="54"/>
        <v>0.14548094691663438</v>
      </c>
      <c r="H153" s="158">
        <f t="shared" si="54"/>
        <v>5.6922669965127716E-2</v>
      </c>
      <c r="I153" s="158">
        <f t="shared" si="54"/>
        <v>4.0089155315787904E-2</v>
      </c>
      <c r="J153" s="158">
        <f t="shared" si="54"/>
        <v>2.1275446335429646E-2</v>
      </c>
      <c r="K153" s="158">
        <f t="shared" si="54"/>
        <v>3.179953652648207E-2</v>
      </c>
      <c r="L153" s="158">
        <f t="shared" si="54"/>
        <v>9.5461014574826381E-3</v>
      </c>
      <c r="M153" s="158">
        <f t="shared" si="49"/>
        <v>9.2479546064200766E-2</v>
      </c>
      <c r="N153" s="158">
        <f t="shared" si="49"/>
        <v>0.34322374891955532</v>
      </c>
      <c r="O153" s="158">
        <f t="shared" si="49"/>
        <v>3.2000722780245003E-2</v>
      </c>
    </row>
    <row r="154" spans="1:15">
      <c r="A154">
        <v>243300316</v>
      </c>
      <c r="B154" s="128" t="s">
        <v>680</v>
      </c>
      <c r="D154" s="158">
        <f t="shared" ref="D154:L154" si="55">D104/$C104</f>
        <v>2.6160135998988436E-3</v>
      </c>
      <c r="E154" s="158">
        <f t="shared" si="55"/>
        <v>9.3766244713882299E-2</v>
      </c>
      <c r="F154" s="158">
        <f t="shared" si="55"/>
        <v>5.4472652682748639E-2</v>
      </c>
      <c r="G154" s="158">
        <f t="shared" si="55"/>
        <v>0.12586931171586327</v>
      </c>
      <c r="H154" s="158">
        <f t="shared" si="55"/>
        <v>6.4661337229723087E-2</v>
      </c>
      <c r="I154" s="158">
        <f t="shared" si="55"/>
        <v>4.2415386992989308E-2</v>
      </c>
      <c r="J154" s="158">
        <f t="shared" si="55"/>
        <v>4.4764460429633168E-2</v>
      </c>
      <c r="K154" s="158">
        <f t="shared" si="55"/>
        <v>4.8650547227334674E-2</v>
      </c>
      <c r="L154" s="158">
        <f t="shared" si="55"/>
        <v>1.3259901372634419E-2</v>
      </c>
      <c r="M154" s="158">
        <f t="shared" si="49"/>
        <v>0.12389676440423171</v>
      </c>
      <c r="N154" s="158">
        <f t="shared" si="49"/>
        <v>0.35129044494710371</v>
      </c>
      <c r="O154" s="158">
        <f t="shared" si="49"/>
        <v>3.4336934683956898E-2</v>
      </c>
    </row>
    <row r="155" spans="1:15">
      <c r="B155" s="128" t="s">
        <v>1479</v>
      </c>
      <c r="D155" s="158">
        <f t="shared" ref="D155:L155" si="56">D105/$C105</f>
        <v>1.1199282154007395E-2</v>
      </c>
      <c r="E155" s="158">
        <f t="shared" si="56"/>
        <v>0.14214731821060275</v>
      </c>
      <c r="F155" s="158">
        <f t="shared" si="56"/>
        <v>6.1729429293478681E-2</v>
      </c>
      <c r="G155" s="158">
        <f t="shared" si="56"/>
        <v>0.13542247701100918</v>
      </c>
      <c r="H155" s="158">
        <f t="shared" si="56"/>
        <v>6.0050994869369094E-2</v>
      </c>
      <c r="I155" s="158">
        <f t="shared" si="56"/>
        <v>4.1989612356844924E-2</v>
      </c>
      <c r="J155" s="158">
        <f t="shared" si="56"/>
        <v>3.1454599535909677E-2</v>
      </c>
      <c r="K155" s="158">
        <f t="shared" si="56"/>
        <v>3.7666377644585892E-2</v>
      </c>
      <c r="L155" s="158">
        <f t="shared" si="56"/>
        <v>1.0382362220646467E-2</v>
      </c>
      <c r="M155" s="158">
        <f t="shared" si="49"/>
        <v>0.11034142369478546</v>
      </c>
      <c r="N155" s="158">
        <f t="shared" si="49"/>
        <v>0.32244491917687834</v>
      </c>
      <c r="O155" s="158">
        <f t="shared" si="49"/>
        <v>3.5171203831882131E-2</v>
      </c>
    </row>
    <row r="158" spans="1:15" ht="60">
      <c r="A158" s="59" t="s">
        <v>483</v>
      </c>
      <c r="B158" s="59" t="s">
        <v>484</v>
      </c>
      <c r="C158" s="59" t="s">
        <v>1854</v>
      </c>
      <c r="D158" s="59" t="s">
        <v>724</v>
      </c>
      <c r="E158" s="59" t="s">
        <v>1136</v>
      </c>
      <c r="F158" s="59" t="s">
        <v>510</v>
      </c>
      <c r="G158" s="59" t="s">
        <v>1137</v>
      </c>
      <c r="H158" s="59" t="s">
        <v>688</v>
      </c>
      <c r="I158" s="59" t="s">
        <v>513</v>
      </c>
      <c r="J158" s="59" t="s">
        <v>514</v>
      </c>
      <c r="K158" s="59" t="s">
        <v>515</v>
      </c>
      <c r="L158" s="59" t="s">
        <v>516</v>
      </c>
      <c r="M158" s="59" t="s">
        <v>689</v>
      </c>
      <c r="N158" s="59" t="s">
        <v>690</v>
      </c>
      <c r="O158" s="59" t="s">
        <v>519</v>
      </c>
    </row>
    <row r="159" spans="1:15">
      <c r="A159">
        <v>59</v>
      </c>
      <c r="B159" s="128" t="s">
        <v>89</v>
      </c>
      <c r="D159" s="737">
        <f>D108/D$155</f>
        <v>3.1495941109820951</v>
      </c>
      <c r="E159" s="159">
        <f t="shared" ref="E159:L159" si="57">E108/E$155</f>
        <v>0.80402236709146302</v>
      </c>
      <c r="F159" s="159">
        <f t="shared" si="57"/>
        <v>1.2327961010612138</v>
      </c>
      <c r="G159" s="159">
        <f t="shared" si="57"/>
        <v>1.2377730562514533</v>
      </c>
      <c r="H159" s="159">
        <f t="shared" si="57"/>
        <v>1.1061149500893226</v>
      </c>
      <c r="I159" s="159">
        <f t="shared" si="57"/>
        <v>1.0635345803893201</v>
      </c>
      <c r="J159" s="159">
        <f t="shared" si="57"/>
        <v>0.32819539393917896</v>
      </c>
      <c r="K159" s="159">
        <f t="shared" si="57"/>
        <v>0.70300814168995884</v>
      </c>
      <c r="L159" s="159">
        <f t="shared" si="57"/>
        <v>0.96375894415081464</v>
      </c>
      <c r="M159" s="159">
        <f t="shared" ref="M159:O178" si="58">M108/M$155</f>
        <v>0.70173672207145632</v>
      </c>
      <c r="N159" s="159">
        <f t="shared" si="58"/>
        <v>1.0403706975777776</v>
      </c>
      <c r="O159" s="159">
        <f t="shared" si="58"/>
        <v>1.0216422807815133</v>
      </c>
    </row>
    <row r="160" spans="1:15">
      <c r="A160">
        <v>7204</v>
      </c>
      <c r="B160" s="128" t="s">
        <v>6</v>
      </c>
      <c r="D160" s="159">
        <f t="shared" ref="D160:L160" si="59">D109/D$155</f>
        <v>1.9987664488934063</v>
      </c>
      <c r="E160" s="159">
        <f t="shared" si="59"/>
        <v>0.74418357675162727</v>
      </c>
      <c r="F160" s="159">
        <f t="shared" si="59"/>
        <v>1.0312878368061249</v>
      </c>
      <c r="G160" s="159">
        <f t="shared" si="59"/>
        <v>0.99106878235252405</v>
      </c>
      <c r="H160" s="159">
        <f t="shared" si="59"/>
        <v>1.1049273787505485</v>
      </c>
      <c r="I160" s="159">
        <f t="shared" si="59"/>
        <v>0.95151669074856904</v>
      </c>
      <c r="J160" s="159">
        <f t="shared" si="59"/>
        <v>1.14915676952809</v>
      </c>
      <c r="K160" s="159">
        <f t="shared" si="59"/>
        <v>1.0903673732637758</v>
      </c>
      <c r="L160" s="159">
        <f t="shared" si="59"/>
        <v>1.1014244214967379</v>
      </c>
      <c r="M160" s="159">
        <f t="shared" si="58"/>
        <v>1.0657545174254301</v>
      </c>
      <c r="N160" s="159">
        <f t="shared" si="58"/>
        <v>1.0221222751043286</v>
      </c>
      <c r="O160" s="159">
        <f t="shared" si="58"/>
        <v>0.90486236985249136</v>
      </c>
    </row>
    <row r="161" spans="1:15">
      <c r="A161">
        <v>3122</v>
      </c>
      <c r="B161" s="128" t="s">
        <v>1406</v>
      </c>
      <c r="D161" s="159">
        <f t="shared" ref="D161:L161" si="60">D110/D$155</f>
        <v>7.9584860510595198E-2</v>
      </c>
      <c r="E161" s="159">
        <f t="shared" si="60"/>
        <v>0.77415200864748634</v>
      </c>
      <c r="F161" s="159">
        <f t="shared" si="60"/>
        <v>1.3001554387490735</v>
      </c>
      <c r="G161" s="159">
        <f t="shared" si="60"/>
        <v>1.1091485953605908</v>
      </c>
      <c r="H161" s="159">
        <f t="shared" si="60"/>
        <v>1.4686947682658602</v>
      </c>
      <c r="I161" s="159">
        <f t="shared" si="60"/>
        <v>0.84511164355236501</v>
      </c>
      <c r="J161" s="159">
        <f t="shared" si="60"/>
        <v>0.38055726606528756</v>
      </c>
      <c r="K161" s="159">
        <f t="shared" si="60"/>
        <v>0.47133067051741667</v>
      </c>
      <c r="L161" s="159">
        <f t="shared" si="60"/>
        <v>0.81055417536119201</v>
      </c>
      <c r="M161" s="159">
        <f t="shared" si="58"/>
        <v>0.94376363196039503</v>
      </c>
      <c r="N161" s="159">
        <f t="shared" si="58"/>
        <v>1.1349177125090639</v>
      </c>
      <c r="O161" s="159">
        <f t="shared" si="58"/>
        <v>0.75906823850208383</v>
      </c>
    </row>
    <row r="162" spans="1:15">
      <c r="A162">
        <v>8210</v>
      </c>
      <c r="B162" s="128" t="s">
        <v>8</v>
      </c>
      <c r="D162" s="159">
        <f t="shared" ref="D162:L162" si="61">D111/D$155</f>
        <v>0.33200986703575497</v>
      </c>
      <c r="E162" s="159">
        <f t="shared" si="61"/>
        <v>1.2616575697644015</v>
      </c>
      <c r="F162" s="159">
        <f t="shared" si="61"/>
        <v>0.92878830053625472</v>
      </c>
      <c r="G162" s="159">
        <f t="shared" si="61"/>
        <v>0.8303796792806476</v>
      </c>
      <c r="H162" s="159">
        <f t="shared" si="61"/>
        <v>0.7147929105170876</v>
      </c>
      <c r="I162" s="159">
        <f t="shared" si="61"/>
        <v>0.90373701026471132</v>
      </c>
      <c r="J162" s="159">
        <f t="shared" si="61"/>
        <v>1.2525288127999956</v>
      </c>
      <c r="K162" s="159">
        <f t="shared" si="61"/>
        <v>0.71703115606000667</v>
      </c>
      <c r="L162" s="159">
        <f t="shared" si="61"/>
        <v>0.92642737826265942</v>
      </c>
      <c r="M162" s="159">
        <f t="shared" si="58"/>
        <v>1.1402066669580286</v>
      </c>
      <c r="N162" s="159">
        <f t="shared" si="58"/>
        <v>1.03359372786452</v>
      </c>
      <c r="O162" s="159">
        <f t="shared" si="58"/>
        <v>0.88623394648110909</v>
      </c>
    </row>
    <row r="163" spans="1:15">
      <c r="A163">
        <v>3111</v>
      </c>
      <c r="B163" s="128" t="s">
        <v>10</v>
      </c>
      <c r="D163" s="159">
        <f t="shared" ref="D163:L163" si="62">D112/D$155</f>
        <v>0.33712513349565459</v>
      </c>
      <c r="E163" s="159">
        <f t="shared" si="62"/>
        <v>0.52861270990822484</v>
      </c>
      <c r="F163" s="159">
        <f t="shared" si="62"/>
        <v>0.84093744806240789</v>
      </c>
      <c r="G163" s="159">
        <f t="shared" si="62"/>
        <v>1.0142363576549835</v>
      </c>
      <c r="H163" s="159">
        <f t="shared" si="62"/>
        <v>1.0298676476650193</v>
      </c>
      <c r="I163" s="159">
        <f t="shared" si="62"/>
        <v>0.82234945190226127</v>
      </c>
      <c r="J163" s="159">
        <f t="shared" si="62"/>
        <v>1.4240047438001586</v>
      </c>
      <c r="K163" s="159">
        <f t="shared" si="62"/>
        <v>1.380162561507752</v>
      </c>
      <c r="L163" s="159">
        <f t="shared" si="62"/>
        <v>0.98033359694091804</v>
      </c>
      <c r="M163" s="159">
        <f t="shared" si="58"/>
        <v>1.1608266437178894</v>
      </c>
      <c r="N163" s="159">
        <f t="shared" si="58"/>
        <v>1.1507184272066642</v>
      </c>
      <c r="O163" s="159">
        <f t="shared" si="58"/>
        <v>0.83482740506531283</v>
      </c>
    </row>
    <row r="164" spans="1:15">
      <c r="A164">
        <v>8214</v>
      </c>
      <c r="B164" s="128" t="s">
        <v>12</v>
      </c>
      <c r="D164" s="159">
        <f t="shared" ref="D164:L164" si="63">D113/D$155</f>
        <v>0.15593317951914576</v>
      </c>
      <c r="E164" s="159">
        <f t="shared" si="63"/>
        <v>1.0116800802666608</v>
      </c>
      <c r="F164" s="159">
        <f t="shared" si="63"/>
        <v>0.98041636320375303</v>
      </c>
      <c r="G164" s="159">
        <f t="shared" si="63"/>
        <v>0.96026926848167327</v>
      </c>
      <c r="H164" s="159">
        <f t="shared" si="63"/>
        <v>1.1017023468004732</v>
      </c>
      <c r="I164" s="159">
        <f t="shared" si="63"/>
        <v>0.94758791741472914</v>
      </c>
      <c r="J164" s="159">
        <f t="shared" si="63"/>
        <v>1.4276876312842</v>
      </c>
      <c r="K164" s="159">
        <f t="shared" si="63"/>
        <v>1.0111432639878941</v>
      </c>
      <c r="L164" s="159">
        <f t="shared" si="63"/>
        <v>1.1422211988008857</v>
      </c>
      <c r="M164" s="159">
        <f t="shared" si="58"/>
        <v>1.2925596214731099</v>
      </c>
      <c r="N164" s="159">
        <f t="shared" si="58"/>
        <v>0.89240001374230815</v>
      </c>
      <c r="O164" s="159">
        <f t="shared" si="58"/>
        <v>0.93005554397198331</v>
      </c>
    </row>
    <row r="165" spans="1:15">
      <c r="A165">
        <v>9310</v>
      </c>
      <c r="B165" s="128" t="s">
        <v>54</v>
      </c>
      <c r="D165" s="159">
        <f t="shared" ref="D165:L165" si="64">D114/D$155</f>
        <v>0.14449889156391793</v>
      </c>
      <c r="E165" s="159">
        <f t="shared" si="64"/>
        <v>0.66871234748490904</v>
      </c>
      <c r="F165" s="159">
        <f t="shared" si="64"/>
        <v>0.84524405506949563</v>
      </c>
      <c r="G165" s="159">
        <f t="shared" si="64"/>
        <v>0.9430885325590701</v>
      </c>
      <c r="H165" s="159">
        <f t="shared" si="64"/>
        <v>1.3845889481094811</v>
      </c>
      <c r="I165" s="159">
        <f t="shared" si="64"/>
        <v>1.0286428248472776</v>
      </c>
      <c r="J165" s="159">
        <f t="shared" si="64"/>
        <v>0.69962884232666256</v>
      </c>
      <c r="K165" s="159">
        <f t="shared" si="64"/>
        <v>0.94525575583977295</v>
      </c>
      <c r="L165" s="159">
        <f t="shared" si="64"/>
        <v>1.253060979390143</v>
      </c>
      <c r="M165" s="159">
        <f t="shared" si="58"/>
        <v>1.1530852947855632</v>
      </c>
      <c r="N165" s="159">
        <f t="shared" si="58"/>
        <v>1.1223592580251023</v>
      </c>
      <c r="O165" s="159">
        <f t="shared" si="58"/>
        <v>1.0617555861653682</v>
      </c>
    </row>
    <row r="166" spans="1:15">
      <c r="A166">
        <v>9111</v>
      </c>
      <c r="B166" s="128" t="s">
        <v>15</v>
      </c>
      <c r="D166" s="159">
        <f t="shared" ref="D166:L166" si="65">D115/D$155</f>
        <v>0.60302751802265475</v>
      </c>
      <c r="E166" s="159">
        <f t="shared" si="65"/>
        <v>0.41892079607075722</v>
      </c>
      <c r="F166" s="159">
        <f t="shared" si="65"/>
        <v>0.90697446421481942</v>
      </c>
      <c r="G166" s="159">
        <f t="shared" si="65"/>
        <v>1.0357689972913251</v>
      </c>
      <c r="H166" s="159">
        <f t="shared" si="65"/>
        <v>0.78267428425139707</v>
      </c>
      <c r="I166" s="159">
        <f t="shared" si="65"/>
        <v>1.1803266847268805</v>
      </c>
      <c r="J166" s="159">
        <f t="shared" si="65"/>
        <v>1.4023818568125823</v>
      </c>
      <c r="K166" s="159">
        <f t="shared" si="65"/>
        <v>0.87653950567518313</v>
      </c>
      <c r="L166" s="159">
        <f t="shared" si="65"/>
        <v>1.2577731109579691</v>
      </c>
      <c r="M166" s="159">
        <f t="shared" si="58"/>
        <v>1.1435640087589214</v>
      </c>
      <c r="N166" s="159">
        <f t="shared" si="58"/>
        <v>1.1835815123511255</v>
      </c>
      <c r="O166" s="159">
        <f t="shared" si="58"/>
        <v>1.2190199359331684</v>
      </c>
    </row>
    <row r="167" spans="1:15">
      <c r="A167">
        <v>5203</v>
      </c>
      <c r="B167" s="128" t="s">
        <v>17</v>
      </c>
      <c r="D167" s="159">
        <f t="shared" ref="D167:L167" si="66">D116/D$155</f>
        <v>0.95048552376760775</v>
      </c>
      <c r="E167" s="159">
        <f t="shared" si="66"/>
        <v>0.93203597853791031</v>
      </c>
      <c r="F167" s="159">
        <f t="shared" si="66"/>
        <v>1.1252794375533119</v>
      </c>
      <c r="G167" s="159">
        <f t="shared" si="66"/>
        <v>0.99189206603262148</v>
      </c>
      <c r="H167" s="159">
        <f t="shared" si="66"/>
        <v>1.0211969517712061</v>
      </c>
      <c r="I167" s="159">
        <f t="shared" si="66"/>
        <v>0.71634870327380984</v>
      </c>
      <c r="J167" s="159">
        <f t="shared" si="66"/>
        <v>1.6825105131213602</v>
      </c>
      <c r="K167" s="159">
        <f t="shared" si="66"/>
        <v>1.1746468912488066</v>
      </c>
      <c r="L167" s="159">
        <f t="shared" si="66"/>
        <v>0.85244526708917789</v>
      </c>
      <c r="M167" s="159">
        <f t="shared" si="58"/>
        <v>1.1107816682885365</v>
      </c>
      <c r="N167" s="159">
        <f t="shared" si="58"/>
        <v>0.92670314444657864</v>
      </c>
      <c r="O167" s="159">
        <f t="shared" si="58"/>
        <v>0.97479346922279198</v>
      </c>
    </row>
    <row r="168" spans="1:15">
      <c r="A168">
        <v>9307</v>
      </c>
      <c r="B168" s="128" t="s">
        <v>19</v>
      </c>
      <c r="D168" s="159">
        <f t="shared" ref="D168:L168" si="67">D117/D$155</f>
        <v>0.20492770414886735</v>
      </c>
      <c r="E168" s="159">
        <f t="shared" si="67"/>
        <v>0.50247539170611877</v>
      </c>
      <c r="F168" s="159">
        <f t="shared" si="67"/>
        <v>1.0250693035940652</v>
      </c>
      <c r="G168" s="159">
        <f t="shared" si="67"/>
        <v>1.0487049234261185</v>
      </c>
      <c r="H168" s="159">
        <f t="shared" si="67"/>
        <v>1.0307892038061406</v>
      </c>
      <c r="I168" s="159">
        <f t="shared" si="67"/>
        <v>1.6924636779587285</v>
      </c>
      <c r="J168" s="159">
        <f t="shared" si="67"/>
        <v>0.519922600073074</v>
      </c>
      <c r="K168" s="159">
        <f t="shared" si="67"/>
        <v>0.84247847785802576</v>
      </c>
      <c r="L168" s="159">
        <f t="shared" si="67"/>
        <v>1.5528341711115101</v>
      </c>
      <c r="M168" s="159">
        <f t="shared" si="58"/>
        <v>0.96959840633657279</v>
      </c>
      <c r="N168" s="159">
        <f t="shared" si="58"/>
        <v>1.1624481684947747</v>
      </c>
      <c r="O168" s="159">
        <f t="shared" si="58"/>
        <v>1.1940712740365336</v>
      </c>
    </row>
    <row r="169" spans="1:15">
      <c r="A169">
        <v>5312</v>
      </c>
      <c r="B169" s="128" t="s">
        <v>21</v>
      </c>
      <c r="D169" s="159">
        <f t="shared" ref="D169:L169" si="68">D118/D$155</f>
        <v>0.87556194557177314</v>
      </c>
      <c r="E169" s="159">
        <f t="shared" si="68"/>
        <v>0.92816995943006819</v>
      </c>
      <c r="F169" s="159">
        <f t="shared" si="68"/>
        <v>1.0532316127795105</v>
      </c>
      <c r="G169" s="159">
        <f t="shared" si="68"/>
        <v>0.90661109422818509</v>
      </c>
      <c r="H169" s="159">
        <f t="shared" si="68"/>
        <v>1.1281580370323294</v>
      </c>
      <c r="I169" s="159">
        <f t="shared" si="68"/>
        <v>0.71408439741182539</v>
      </c>
      <c r="J169" s="159">
        <f t="shared" si="68"/>
        <v>1.756392889453704</v>
      </c>
      <c r="K169" s="159">
        <f t="shared" si="68"/>
        <v>0.92086400337448859</v>
      </c>
      <c r="L169" s="159">
        <f t="shared" si="68"/>
        <v>0.76732860867775177</v>
      </c>
      <c r="M169" s="159">
        <f t="shared" si="58"/>
        <v>0.9836454104970308</v>
      </c>
      <c r="N169" s="159">
        <f t="shared" si="58"/>
        <v>1.0345453761109389</v>
      </c>
      <c r="O169" s="159">
        <f t="shared" si="58"/>
        <v>0.93018576551178611</v>
      </c>
    </row>
    <row r="170" spans="1:15">
      <c r="A170">
        <v>2307</v>
      </c>
      <c r="B170" s="128" t="s">
        <v>23</v>
      </c>
      <c r="D170" s="159">
        <f t="shared" ref="D170:L170" si="69">D119/D$155</f>
        <v>0.52713469961745851</v>
      </c>
      <c r="E170" s="159">
        <f t="shared" si="69"/>
        <v>1.1274370007130203</v>
      </c>
      <c r="F170" s="159">
        <f t="shared" si="69"/>
        <v>1.1237889309419151</v>
      </c>
      <c r="G170" s="159">
        <f t="shared" si="69"/>
        <v>0.89767879555138119</v>
      </c>
      <c r="H170" s="159">
        <f t="shared" si="69"/>
        <v>1.155897464826531</v>
      </c>
      <c r="I170" s="159">
        <f t="shared" si="69"/>
        <v>0.70996737366050511</v>
      </c>
      <c r="J170" s="159">
        <f t="shared" si="69"/>
        <v>0.49915764773258509</v>
      </c>
      <c r="K170" s="159">
        <f t="shared" si="69"/>
        <v>0.98177948634000389</v>
      </c>
      <c r="L170" s="159">
        <f t="shared" si="69"/>
        <v>1.1352030038702434</v>
      </c>
      <c r="M170" s="159">
        <f t="shared" si="58"/>
        <v>0.82635697501354499</v>
      </c>
      <c r="N170" s="159">
        <f t="shared" si="58"/>
        <v>1.1035702348106267</v>
      </c>
      <c r="O170" s="159">
        <f t="shared" si="58"/>
        <v>0.91508243534073053</v>
      </c>
    </row>
    <row r="171" spans="1:15">
      <c r="A171">
        <v>4205</v>
      </c>
      <c r="B171" s="128" t="s">
        <v>25</v>
      </c>
      <c r="D171" s="159">
        <f t="shared" ref="D171:L171" si="70">D120/D$155</f>
        <v>0.2824294150636083</v>
      </c>
      <c r="E171" s="159">
        <f t="shared" si="70"/>
        <v>0.74542893983605973</v>
      </c>
      <c r="F171" s="159">
        <f t="shared" si="70"/>
        <v>0.81458864241004958</v>
      </c>
      <c r="G171" s="159">
        <f t="shared" si="70"/>
        <v>1.1444727057676141</v>
      </c>
      <c r="H171" s="159">
        <f t="shared" si="70"/>
        <v>1.1009092799201474</v>
      </c>
      <c r="I171" s="159">
        <f t="shared" si="70"/>
        <v>1.0823392640726759</v>
      </c>
      <c r="J171" s="159">
        <f t="shared" si="70"/>
        <v>1.0293689525789465</v>
      </c>
      <c r="K171" s="159">
        <f t="shared" si="70"/>
        <v>1.2912580705423571</v>
      </c>
      <c r="L171" s="159">
        <f t="shared" si="70"/>
        <v>1.0242992392245696</v>
      </c>
      <c r="M171" s="159">
        <f t="shared" si="58"/>
        <v>1.1270837309733086</v>
      </c>
      <c r="N171" s="159">
        <f t="shared" si="58"/>
        <v>1.0080045340520183</v>
      </c>
      <c r="O171" s="159">
        <f t="shared" si="58"/>
        <v>0.9384703563792528</v>
      </c>
    </row>
    <row r="172" spans="1:15">
      <c r="A172">
        <v>9315</v>
      </c>
      <c r="B172" s="128" t="s">
        <v>55</v>
      </c>
      <c r="D172" s="159">
        <f t="shared" ref="D172:L172" si="71">D121/D$155</f>
        <v>0.95092728363706092</v>
      </c>
      <c r="E172" s="159">
        <f t="shared" si="71"/>
        <v>0.51310740917074193</v>
      </c>
      <c r="F172" s="159">
        <f t="shared" si="71"/>
        <v>1.0329268805607761</v>
      </c>
      <c r="G172" s="159">
        <f t="shared" si="71"/>
        <v>1.1421692237400285</v>
      </c>
      <c r="H172" s="159">
        <f t="shared" si="71"/>
        <v>0.77694172562324904</v>
      </c>
      <c r="I172" s="159">
        <f t="shared" si="71"/>
        <v>1.1894235682477707</v>
      </c>
      <c r="J172" s="159">
        <f t="shared" si="71"/>
        <v>0.45946609900820889</v>
      </c>
      <c r="K172" s="159">
        <f t="shared" si="71"/>
        <v>0.72052496943530919</v>
      </c>
      <c r="L172" s="159">
        <f t="shared" si="71"/>
        <v>1.4929846868158054</v>
      </c>
      <c r="M172" s="159">
        <f t="shared" si="58"/>
        <v>0.78833852025794726</v>
      </c>
      <c r="N172" s="159">
        <f t="shared" si="58"/>
        <v>1.2911587232836688</v>
      </c>
      <c r="O172" s="159">
        <f t="shared" si="58"/>
        <v>1.1648723837467432</v>
      </c>
    </row>
    <row r="173" spans="1:15">
      <c r="A173">
        <v>61</v>
      </c>
      <c r="B173" s="128" t="s">
        <v>27</v>
      </c>
      <c r="D173" s="159">
        <f t="shared" ref="D173:L173" si="72">D122/D$155</f>
        <v>0.37853573840604371</v>
      </c>
      <c r="E173" s="159">
        <f t="shared" si="72"/>
        <v>1.0120171058361105</v>
      </c>
      <c r="F173" s="159">
        <f t="shared" si="72"/>
        <v>0.99508038905196838</v>
      </c>
      <c r="G173" s="159">
        <f t="shared" si="72"/>
        <v>0.88107383369997971</v>
      </c>
      <c r="H173" s="159">
        <f t="shared" si="72"/>
        <v>0.97130054416447187</v>
      </c>
      <c r="I173" s="159">
        <f t="shared" si="72"/>
        <v>0.8310595950949915</v>
      </c>
      <c r="J173" s="159">
        <f t="shared" si="72"/>
        <v>1.5151191659793084</v>
      </c>
      <c r="K173" s="159">
        <f t="shared" si="72"/>
        <v>0.7748204271532958</v>
      </c>
      <c r="L173" s="159">
        <f t="shared" si="72"/>
        <v>0.93985411068332814</v>
      </c>
      <c r="M173" s="159">
        <f t="shared" si="58"/>
        <v>1.3118331552344666</v>
      </c>
      <c r="N173" s="159">
        <f t="shared" si="58"/>
        <v>0.96657146507023894</v>
      </c>
      <c r="O173" s="159">
        <f t="shared" si="58"/>
        <v>0.99294659149432618</v>
      </c>
    </row>
    <row r="174" spans="1:15">
      <c r="A174">
        <v>2</v>
      </c>
      <c r="B174" s="128" t="s">
        <v>29</v>
      </c>
      <c r="D174" s="159">
        <f t="shared" ref="D174:L174" si="73">D123/D$155</f>
        <v>0.26891357849852915</v>
      </c>
      <c r="E174" s="159">
        <f t="shared" si="73"/>
        <v>1.0772686997032319</v>
      </c>
      <c r="F174" s="159">
        <f t="shared" si="73"/>
        <v>1.0049700918593227</v>
      </c>
      <c r="G174" s="159">
        <f t="shared" si="73"/>
        <v>1.0064645757176356</v>
      </c>
      <c r="H174" s="159">
        <f t="shared" si="73"/>
        <v>1.1713753946235945</v>
      </c>
      <c r="I174" s="159">
        <f t="shared" si="73"/>
        <v>0.93037940154836929</v>
      </c>
      <c r="J174" s="159">
        <f t="shared" si="73"/>
        <v>1.2687782227175224</v>
      </c>
      <c r="K174" s="159">
        <f t="shared" si="73"/>
        <v>0.94885374850412485</v>
      </c>
      <c r="L174" s="159">
        <f t="shared" si="73"/>
        <v>1.0920005669622623</v>
      </c>
      <c r="M174" s="159">
        <f t="shared" si="58"/>
        <v>1.2282819865783479</v>
      </c>
      <c r="N174" s="159">
        <f t="shared" si="58"/>
        <v>0.87358727724467966</v>
      </c>
      <c r="O174" s="159">
        <f t="shared" si="58"/>
        <v>0.90739907803901643</v>
      </c>
    </row>
    <row r="175" spans="1:15">
      <c r="A175">
        <v>3</v>
      </c>
      <c r="B175" s="128" t="s">
        <v>59</v>
      </c>
      <c r="D175" s="159">
        <f t="shared" ref="D175:L175" si="74">D124/D$155</f>
        <v>0.24886270519249684</v>
      </c>
      <c r="E175" s="159">
        <f t="shared" si="74"/>
        <v>0.73405040384924414</v>
      </c>
      <c r="F175" s="159">
        <f t="shared" si="74"/>
        <v>0.89835106557639777</v>
      </c>
      <c r="G175" s="159">
        <f t="shared" si="74"/>
        <v>0.92695881451394091</v>
      </c>
      <c r="H175" s="159">
        <f t="shared" si="74"/>
        <v>1.277614184397931</v>
      </c>
      <c r="I175" s="159">
        <f t="shared" si="74"/>
        <v>0.99674757073925369</v>
      </c>
      <c r="J175" s="159">
        <f t="shared" si="74"/>
        <v>0.91244420561632744</v>
      </c>
      <c r="K175" s="159">
        <f t="shared" si="74"/>
        <v>0.95591722314594951</v>
      </c>
      <c r="L175" s="159">
        <f t="shared" si="74"/>
        <v>1.1926007468881041</v>
      </c>
      <c r="M175" s="159">
        <f t="shared" si="58"/>
        <v>1.1893368098798744</v>
      </c>
      <c r="N175" s="159">
        <f t="shared" si="58"/>
        <v>1.0791532177187102</v>
      </c>
      <c r="O175" s="159">
        <f t="shared" si="58"/>
        <v>1.0525573090219114</v>
      </c>
    </row>
    <row r="176" spans="1:15">
      <c r="A176">
        <v>4</v>
      </c>
      <c r="B176" s="128" t="s">
        <v>32</v>
      </c>
      <c r="D176" s="159">
        <f t="shared" ref="D176:L176" si="75">D125/D$155</f>
        <v>0.26905446295658431</v>
      </c>
      <c r="E176" s="159">
        <f t="shared" si="75"/>
        <v>0.9821079819036862</v>
      </c>
      <c r="F176" s="159">
        <f t="shared" si="75"/>
        <v>0.98208221933278239</v>
      </c>
      <c r="G176" s="159">
        <f t="shared" si="75"/>
        <v>0.86618702406479076</v>
      </c>
      <c r="H176" s="159">
        <f t="shared" si="75"/>
        <v>0.99127346516170034</v>
      </c>
      <c r="I176" s="159">
        <f t="shared" si="75"/>
        <v>0.8370891527442802</v>
      </c>
      <c r="J176" s="159">
        <f t="shared" si="75"/>
        <v>1.605023674350502</v>
      </c>
      <c r="K176" s="159">
        <f t="shared" si="75"/>
        <v>0.79356926093190017</v>
      </c>
      <c r="L176" s="159">
        <f t="shared" si="75"/>
        <v>0.97423245681564863</v>
      </c>
      <c r="M176" s="159">
        <f t="shared" si="58"/>
        <v>1.3683799812989434</v>
      </c>
      <c r="N176" s="159">
        <f t="shared" si="58"/>
        <v>0.95441942016121128</v>
      </c>
      <c r="O176" s="159">
        <f t="shared" si="58"/>
        <v>1.0108955808480342</v>
      </c>
    </row>
    <row r="177" spans="1:15">
      <c r="A177">
        <v>5</v>
      </c>
      <c r="B177" s="128" t="s">
        <v>34</v>
      </c>
      <c r="D177" s="159">
        <f t="shared" ref="D177:L177" si="76">D126/D$155</f>
        <v>0.38575743846166993</v>
      </c>
      <c r="E177" s="159">
        <f t="shared" si="76"/>
        <v>0.61187294990405627</v>
      </c>
      <c r="F177" s="159">
        <f t="shared" si="76"/>
        <v>0.84459836921054776</v>
      </c>
      <c r="G177" s="159">
        <f t="shared" si="76"/>
        <v>1.1472627914085896</v>
      </c>
      <c r="H177" s="159">
        <f t="shared" si="76"/>
        <v>0.97054546988088131</v>
      </c>
      <c r="I177" s="159">
        <f t="shared" si="76"/>
        <v>0.76310647103613771</v>
      </c>
      <c r="J177" s="159">
        <f t="shared" si="76"/>
        <v>1.3392980247928348</v>
      </c>
      <c r="K177" s="159">
        <f t="shared" si="76"/>
        <v>1.3767902868896371</v>
      </c>
      <c r="L177" s="159">
        <f t="shared" si="76"/>
        <v>0.96369550011961713</v>
      </c>
      <c r="M177" s="159">
        <f t="shared" si="58"/>
        <v>1.1852905125981168</v>
      </c>
      <c r="N177" s="159">
        <f t="shared" si="58"/>
        <v>1.073812156892715</v>
      </c>
      <c r="O177" s="159">
        <f t="shared" si="58"/>
        <v>0.84882070365139406</v>
      </c>
    </row>
    <row r="178" spans="1:15">
      <c r="A178">
        <v>6</v>
      </c>
      <c r="B178" s="128" t="s">
        <v>61</v>
      </c>
      <c r="D178" s="159">
        <f t="shared" ref="D178:L178" si="77">D127/D$155</f>
        <v>1.6186634418273949</v>
      </c>
      <c r="E178" s="159">
        <f t="shared" si="77"/>
        <v>0.71860788393095165</v>
      </c>
      <c r="F178" s="159">
        <f t="shared" si="77"/>
        <v>1.0281569843721607</v>
      </c>
      <c r="G178" s="159">
        <f t="shared" si="77"/>
        <v>0.99432772584354656</v>
      </c>
      <c r="H178" s="159">
        <f t="shared" si="77"/>
        <v>1.1332510739596613</v>
      </c>
      <c r="I178" s="159">
        <f t="shared" si="77"/>
        <v>0.97460498472103729</v>
      </c>
      <c r="J178" s="159">
        <f t="shared" si="77"/>
        <v>1.1957408265578802</v>
      </c>
      <c r="K178" s="159">
        <f t="shared" si="77"/>
        <v>1.1189220008677623</v>
      </c>
      <c r="L178" s="159">
        <f t="shared" si="77"/>
        <v>1.1384702435937237</v>
      </c>
      <c r="M178" s="159">
        <f t="shared" si="58"/>
        <v>1.0937820042922257</v>
      </c>
      <c r="N178" s="159">
        <f t="shared" si="58"/>
        <v>1.0168756244482955</v>
      </c>
      <c r="O178" s="159">
        <f t="shared" si="58"/>
        <v>0.92327804794729917</v>
      </c>
    </row>
    <row r="179" spans="1:15">
      <c r="A179">
        <v>7</v>
      </c>
      <c r="B179" s="128" t="s">
        <v>37</v>
      </c>
      <c r="D179" s="159">
        <f t="shared" ref="D179:L179" si="78">D128/D$155</f>
        <v>0.19767039016812588</v>
      </c>
      <c r="E179" s="159">
        <f t="shared" si="78"/>
        <v>0.56437993648388596</v>
      </c>
      <c r="F179" s="159">
        <f t="shared" si="78"/>
        <v>0.95446040760641171</v>
      </c>
      <c r="G179" s="159">
        <f t="shared" si="78"/>
        <v>1.0929479789006462</v>
      </c>
      <c r="H179" s="159">
        <f t="shared" si="78"/>
        <v>0.8270654701755108</v>
      </c>
      <c r="I179" s="159">
        <f t="shared" si="78"/>
        <v>1.794082757119889</v>
      </c>
      <c r="J179" s="159">
        <f t="shared" si="78"/>
        <v>1.302114693918119</v>
      </c>
      <c r="K179" s="159">
        <f t="shared" si="78"/>
        <v>0.76128249013852911</v>
      </c>
      <c r="L179" s="159">
        <f t="shared" si="78"/>
        <v>1.5761197666681404</v>
      </c>
      <c r="M179" s="159">
        <f t="shared" ref="M179:O198" si="79">M128/M$155</f>
        <v>1.1281667458486782</v>
      </c>
      <c r="N179" s="159">
        <f t="shared" si="79"/>
        <v>1.0369011789683997</v>
      </c>
      <c r="O179" s="159">
        <f t="shared" si="79"/>
        <v>1.1603537544314904</v>
      </c>
    </row>
    <row r="180" spans="1:15">
      <c r="A180">
        <v>8</v>
      </c>
      <c r="B180" s="128" t="s">
        <v>39</v>
      </c>
      <c r="D180" s="159">
        <f t="shared" ref="D180:L180" si="80">D129/D$155</f>
        <v>0.76667304626121968</v>
      </c>
      <c r="E180" s="159">
        <f t="shared" si="80"/>
        <v>0.80051617483508664</v>
      </c>
      <c r="F180" s="159">
        <f t="shared" si="80"/>
        <v>1.062139955318941</v>
      </c>
      <c r="G180" s="159">
        <f t="shared" si="80"/>
        <v>0.98895115317253024</v>
      </c>
      <c r="H180" s="159">
        <f t="shared" si="80"/>
        <v>1.0598937713767271</v>
      </c>
      <c r="I180" s="159">
        <f t="shared" si="80"/>
        <v>0.73884779534125722</v>
      </c>
      <c r="J180" s="159">
        <f t="shared" si="80"/>
        <v>1.8577941775372593</v>
      </c>
      <c r="K180" s="159">
        <f t="shared" si="80"/>
        <v>1.2503128265773551</v>
      </c>
      <c r="L180" s="159">
        <f t="shared" si="80"/>
        <v>0.91649379656134311</v>
      </c>
      <c r="M180" s="159">
        <f t="shared" si="79"/>
        <v>1.1621195008289797</v>
      </c>
      <c r="N180" s="159">
        <f t="shared" si="79"/>
        <v>0.94509888493972272</v>
      </c>
      <c r="O180" s="159">
        <f t="shared" si="79"/>
        <v>1.007668591882581</v>
      </c>
    </row>
    <row r="181" spans="1:15">
      <c r="A181">
        <v>9</v>
      </c>
      <c r="B181" s="128" t="s">
        <v>41</v>
      </c>
      <c r="D181" s="159">
        <f t="shared" ref="D181:L181" si="81">D130/D$155</f>
        <v>0.6341131561377269</v>
      </c>
      <c r="E181" s="159">
        <f t="shared" si="81"/>
        <v>1.0343597743547999</v>
      </c>
      <c r="F181" s="159">
        <f t="shared" si="81"/>
        <v>0.92762552144880317</v>
      </c>
      <c r="G181" s="159">
        <f t="shared" si="81"/>
        <v>1.1547147724653819</v>
      </c>
      <c r="H181" s="159">
        <f t="shared" si="81"/>
        <v>1.0594971308101702</v>
      </c>
      <c r="I181" s="159">
        <f t="shared" si="81"/>
        <v>1.0992155486708264</v>
      </c>
      <c r="J181" s="159">
        <f t="shared" si="81"/>
        <v>0.8905677790527069</v>
      </c>
      <c r="K181" s="159">
        <f t="shared" si="81"/>
        <v>1.1451286350792427</v>
      </c>
      <c r="L181" s="159">
        <f t="shared" si="81"/>
        <v>0.94373730077718898</v>
      </c>
      <c r="M181" s="159">
        <f t="shared" si="79"/>
        <v>1.0088681717865884</v>
      </c>
      <c r="N181" s="159">
        <f t="shared" si="79"/>
        <v>0.92680187820116611</v>
      </c>
      <c r="O181" s="159">
        <f t="shared" si="79"/>
        <v>0.89121969259556799</v>
      </c>
    </row>
    <row r="182" spans="1:15">
      <c r="A182">
        <v>10</v>
      </c>
      <c r="B182" s="128" t="s">
        <v>43</v>
      </c>
      <c r="D182" s="159">
        <f t="shared" ref="D182:L182" si="82">D131/D$155</f>
        <v>0.20939755247407846</v>
      </c>
      <c r="E182" s="159">
        <f t="shared" si="82"/>
        <v>1.2642729135712532</v>
      </c>
      <c r="F182" s="159">
        <f t="shared" si="82"/>
        <v>0.88613229910986813</v>
      </c>
      <c r="G182" s="159">
        <f t="shared" si="82"/>
        <v>0.81642478138050667</v>
      </c>
      <c r="H182" s="159">
        <f t="shared" si="82"/>
        <v>0.6465250249483897</v>
      </c>
      <c r="I182" s="159">
        <f t="shared" si="82"/>
        <v>0.7570721031761336</v>
      </c>
      <c r="J182" s="159">
        <f t="shared" si="82"/>
        <v>1.3966664087279717</v>
      </c>
      <c r="K182" s="159">
        <f t="shared" si="82"/>
        <v>0.73891547560977888</v>
      </c>
      <c r="L182" s="159">
        <f t="shared" si="82"/>
        <v>0.95225471622450641</v>
      </c>
      <c r="M182" s="159">
        <f t="shared" si="79"/>
        <v>1.2240124737532592</v>
      </c>
      <c r="N182" s="159">
        <f t="shared" si="79"/>
        <v>1.0369968336568254</v>
      </c>
      <c r="O182" s="159">
        <f t="shared" si="79"/>
        <v>0.88087421850033198</v>
      </c>
    </row>
    <row r="183" spans="1:15">
      <c r="A183">
        <v>11</v>
      </c>
      <c r="B183" s="128" t="s">
        <v>45</v>
      </c>
      <c r="D183" s="159">
        <f t="shared" ref="D183:L183" si="83">D132/D$155</f>
        <v>0.74463150136523448</v>
      </c>
      <c r="E183" s="159">
        <f t="shared" si="83"/>
        <v>0.84744714507683294</v>
      </c>
      <c r="F183" s="159">
        <f t="shared" si="83"/>
        <v>1.0253260086081153</v>
      </c>
      <c r="G183" s="159">
        <f t="shared" si="83"/>
        <v>0.90442355726513235</v>
      </c>
      <c r="H183" s="159">
        <f t="shared" si="83"/>
        <v>1.1030079413970328</v>
      </c>
      <c r="I183" s="159">
        <f t="shared" si="83"/>
        <v>0.73543277360060844</v>
      </c>
      <c r="J183" s="159">
        <f t="shared" si="83"/>
        <v>1.8928148602130019</v>
      </c>
      <c r="K183" s="159">
        <f t="shared" si="83"/>
        <v>0.96087433930969302</v>
      </c>
      <c r="L183" s="159">
        <f t="shared" si="83"/>
        <v>0.81473113887379545</v>
      </c>
      <c r="M183" s="159">
        <f t="shared" si="79"/>
        <v>1.0055133270724881</v>
      </c>
      <c r="N183" s="159">
        <f t="shared" si="79"/>
        <v>1.0530540500026087</v>
      </c>
      <c r="O183" s="159">
        <f t="shared" si="79"/>
        <v>0.95584077186894822</v>
      </c>
    </row>
    <row r="184" spans="1:15">
      <c r="A184">
        <v>12</v>
      </c>
      <c r="B184" s="128" t="s">
        <v>47</v>
      </c>
      <c r="D184" s="159">
        <f t="shared" ref="D184:L184" si="84">D133/D$155</f>
        <v>0.39781231734972</v>
      </c>
      <c r="E184" s="159">
        <f t="shared" si="84"/>
        <v>0.89611881756243594</v>
      </c>
      <c r="F184" s="159">
        <f t="shared" si="84"/>
        <v>1.1080309434525921</v>
      </c>
      <c r="G184" s="159">
        <f t="shared" si="84"/>
        <v>0.92401252721242666</v>
      </c>
      <c r="H184" s="159">
        <f t="shared" si="84"/>
        <v>1.22209391886323</v>
      </c>
      <c r="I184" s="159">
        <f t="shared" si="84"/>
        <v>0.7302899139829887</v>
      </c>
      <c r="J184" s="159">
        <f t="shared" si="84"/>
        <v>0.53431798824365628</v>
      </c>
      <c r="K184" s="159">
        <f t="shared" si="84"/>
        <v>1.0995616129082173</v>
      </c>
      <c r="L184" s="159">
        <f t="shared" si="84"/>
        <v>1.2101002317653504</v>
      </c>
      <c r="M184" s="159">
        <f t="shared" si="79"/>
        <v>0.86728953510036344</v>
      </c>
      <c r="N184" s="159">
        <f t="shared" si="79"/>
        <v>1.1497036519722816</v>
      </c>
      <c r="O184" s="159">
        <f t="shared" si="79"/>
        <v>0.94907608456551573</v>
      </c>
    </row>
    <row r="185" spans="1:15">
      <c r="A185">
        <v>13</v>
      </c>
      <c r="B185" s="128" t="s">
        <v>63</v>
      </c>
      <c r="D185" s="159">
        <f t="shared" ref="D185:L185" si="85">D134/D$155</f>
        <v>0.8370294151693638</v>
      </c>
      <c r="E185" s="159">
        <f t="shared" si="85"/>
        <v>0.5508208434554337</v>
      </c>
      <c r="F185" s="159">
        <f t="shared" si="85"/>
        <v>0.99246152350354888</v>
      </c>
      <c r="G185" s="159">
        <f t="shared" si="85"/>
        <v>1.1085932897348534</v>
      </c>
      <c r="H185" s="159">
        <f t="shared" si="85"/>
        <v>0.70236381198272635</v>
      </c>
      <c r="I185" s="159">
        <f t="shared" si="85"/>
        <v>1.242139105304273</v>
      </c>
      <c r="J185" s="159">
        <f t="shared" si="85"/>
        <v>0.553413525272204</v>
      </c>
      <c r="K185" s="159">
        <f t="shared" si="85"/>
        <v>0.7277160256861257</v>
      </c>
      <c r="L185" s="159">
        <f t="shared" si="85"/>
        <v>1.4611956522895304</v>
      </c>
      <c r="M185" s="159">
        <f t="shared" si="79"/>
        <v>0.84788975896737884</v>
      </c>
      <c r="N185" s="159">
        <f t="shared" si="79"/>
        <v>1.2795557515242069</v>
      </c>
      <c r="O185" s="159">
        <f t="shared" si="79"/>
        <v>1.1506271989647114</v>
      </c>
    </row>
    <row r="186" spans="1:15">
      <c r="A186">
        <v>14</v>
      </c>
      <c r="B186" s="128" t="s">
        <v>64</v>
      </c>
      <c r="D186" s="159">
        <f t="shared" ref="D186:L186" si="86">D135/D$155</f>
        <v>0.3594508725172198</v>
      </c>
      <c r="E186" s="159">
        <f t="shared" si="86"/>
        <v>1.0197512491449512</v>
      </c>
      <c r="F186" s="159">
        <f t="shared" si="86"/>
        <v>1.1367180077137318</v>
      </c>
      <c r="G186" s="159">
        <f t="shared" si="86"/>
        <v>0.99302284904662952</v>
      </c>
      <c r="H186" s="159">
        <f t="shared" si="86"/>
        <v>1.3700457647701083</v>
      </c>
      <c r="I186" s="159">
        <f t="shared" si="86"/>
        <v>0.72887669956248968</v>
      </c>
      <c r="J186" s="159">
        <f t="shared" si="86"/>
        <v>0.32454619338912816</v>
      </c>
      <c r="K186" s="159">
        <f t="shared" si="86"/>
        <v>0.47496007108447652</v>
      </c>
      <c r="L186" s="159">
        <f t="shared" si="86"/>
        <v>1.0447449005307659</v>
      </c>
      <c r="M186" s="159">
        <f t="shared" si="79"/>
        <v>0.81188491526425655</v>
      </c>
      <c r="N186" s="159">
        <f t="shared" si="79"/>
        <v>1.1736554177989482</v>
      </c>
      <c r="O186" s="159">
        <f t="shared" si="79"/>
        <v>0.75419352411244056</v>
      </c>
    </row>
    <row r="187" spans="1:15">
      <c r="A187">
        <v>15</v>
      </c>
      <c r="B187" s="128" t="s">
        <v>49</v>
      </c>
      <c r="D187" s="159">
        <f t="shared" ref="D187:L187" si="87">D136/D$155</f>
        <v>0.5234794238917545</v>
      </c>
      <c r="E187" s="159">
        <f t="shared" si="87"/>
        <v>0.39402666707560546</v>
      </c>
      <c r="F187" s="159">
        <f t="shared" si="87"/>
        <v>0.90077919474388846</v>
      </c>
      <c r="G187" s="159">
        <f t="shared" si="87"/>
        <v>1.0041084614563947</v>
      </c>
      <c r="H187" s="159">
        <f t="shared" si="87"/>
        <v>0.758295743821223</v>
      </c>
      <c r="I187" s="159">
        <f t="shared" si="87"/>
        <v>1.1046287434993944</v>
      </c>
      <c r="J187" s="159">
        <f t="shared" si="87"/>
        <v>1.4932090141254952</v>
      </c>
      <c r="K187" s="159">
        <f t="shared" si="87"/>
        <v>0.88940158102190536</v>
      </c>
      <c r="L187" s="159">
        <f t="shared" si="87"/>
        <v>1.2520723509767819</v>
      </c>
      <c r="M187" s="159">
        <f t="shared" si="79"/>
        <v>1.1941097398081086</v>
      </c>
      <c r="N187" s="159">
        <f t="shared" si="79"/>
        <v>1.2008713416831158</v>
      </c>
      <c r="O187" s="159">
        <f t="shared" si="79"/>
        <v>1.1993293627441104</v>
      </c>
    </row>
    <row r="188" spans="1:15">
      <c r="A188">
        <v>16</v>
      </c>
      <c r="B188" s="128" t="s">
        <v>65</v>
      </c>
      <c r="D188" s="159">
        <f t="shared" ref="D188:L188" si="88">D137/D$155</f>
        <v>2.6794452957496895</v>
      </c>
      <c r="E188" s="159">
        <f t="shared" si="88"/>
        <v>0.72501244000350029</v>
      </c>
      <c r="F188" s="159">
        <f t="shared" si="88"/>
        <v>1.104842798545302</v>
      </c>
      <c r="G188" s="159">
        <f t="shared" si="88"/>
        <v>1.3089339607659205</v>
      </c>
      <c r="H188" s="159">
        <f t="shared" si="88"/>
        <v>1.2981254083747347</v>
      </c>
      <c r="I188" s="159">
        <f t="shared" si="88"/>
        <v>1.032886602665978</v>
      </c>
      <c r="J188" s="159">
        <f t="shared" si="88"/>
        <v>0.36402595786703973</v>
      </c>
      <c r="K188" s="159">
        <f t="shared" si="88"/>
        <v>0.66397497035096598</v>
      </c>
      <c r="L188" s="159">
        <f t="shared" si="88"/>
        <v>0.99039341744316034</v>
      </c>
      <c r="M188" s="159">
        <f t="shared" si="79"/>
        <v>0.75528562193675886</v>
      </c>
      <c r="N188" s="159">
        <f t="shared" si="79"/>
        <v>1.03692768528387</v>
      </c>
      <c r="O188" s="159">
        <f t="shared" si="79"/>
        <v>1.0154652924201251</v>
      </c>
    </row>
    <row r="189" spans="1:15">
      <c r="A189">
        <v>6</v>
      </c>
      <c r="B189" s="128" t="s">
        <v>465</v>
      </c>
      <c r="D189" s="159">
        <f t="shared" ref="D189:L189" si="89">D138/D$155</f>
        <v>0.18846499562879143</v>
      </c>
      <c r="E189" s="159">
        <f t="shared" si="89"/>
        <v>0.55184346427393549</v>
      </c>
      <c r="F189" s="159">
        <f t="shared" si="89"/>
        <v>0.95476162702532108</v>
      </c>
      <c r="G189" s="159">
        <f t="shared" si="89"/>
        <v>1.0852286808411158</v>
      </c>
      <c r="H189" s="159">
        <f t="shared" si="89"/>
        <v>0.83555167669864949</v>
      </c>
      <c r="I189" s="159">
        <f t="shared" si="89"/>
        <v>1.8607620098043798</v>
      </c>
      <c r="J189" s="159">
        <f t="shared" si="89"/>
        <v>1.2534037825461297</v>
      </c>
      <c r="K189" s="159">
        <f t="shared" si="89"/>
        <v>0.75311793775480185</v>
      </c>
      <c r="L189" s="159">
        <f t="shared" si="89"/>
        <v>1.610234608317501</v>
      </c>
      <c r="M189" s="159">
        <f t="shared" si="79"/>
        <v>1.1048578601229353</v>
      </c>
      <c r="N189" s="159">
        <f t="shared" si="79"/>
        <v>1.0483471542146676</v>
      </c>
      <c r="O189" s="159">
        <f t="shared" si="79"/>
        <v>1.1594782857524328</v>
      </c>
    </row>
    <row r="190" spans="1:15">
      <c r="A190">
        <v>13</v>
      </c>
      <c r="B190" s="128" t="s">
        <v>466</v>
      </c>
      <c r="D190" s="159">
        <f t="shared" ref="D190:L190" si="90">D139/D$155</f>
        <v>0.56625344386477972</v>
      </c>
      <c r="E190" s="159">
        <f t="shared" si="90"/>
        <v>0.73623772753020134</v>
      </c>
      <c r="F190" s="159">
        <f t="shared" si="90"/>
        <v>0.93028565829165077</v>
      </c>
      <c r="G190" s="159">
        <f t="shared" si="90"/>
        <v>0.95480103666940985</v>
      </c>
      <c r="H190" s="159">
        <f t="shared" si="90"/>
        <v>1.2860669346361273</v>
      </c>
      <c r="I190" s="159">
        <f t="shared" si="90"/>
        <v>1.0189242044329272</v>
      </c>
      <c r="J190" s="159">
        <f t="shared" si="90"/>
        <v>0.86282121256467403</v>
      </c>
      <c r="K190" s="159">
        <f t="shared" si="90"/>
        <v>0.90214770739394345</v>
      </c>
      <c r="L190" s="159">
        <f t="shared" si="90"/>
        <v>1.1347577615802675</v>
      </c>
      <c r="M190" s="159">
        <f t="shared" si="79"/>
        <v>1.1881517106087987</v>
      </c>
      <c r="N190" s="159">
        <f t="shared" si="79"/>
        <v>1.0595738937553887</v>
      </c>
      <c r="O190" s="159">
        <f t="shared" si="79"/>
        <v>1.0407498753166058</v>
      </c>
    </row>
    <row r="191" spans="1:15">
      <c r="A191">
        <v>31</v>
      </c>
      <c r="B191" s="128" t="s">
        <v>467</v>
      </c>
      <c r="D191" s="159">
        <f t="shared" ref="D191:L191" si="91">D140/D$155</f>
        <v>0.26200251246303707</v>
      </c>
      <c r="E191" s="159">
        <f t="shared" si="91"/>
        <v>0.9862969591838594</v>
      </c>
      <c r="F191" s="159">
        <f t="shared" si="91"/>
        <v>0.97955415468060014</v>
      </c>
      <c r="G191" s="159">
        <f t="shared" si="91"/>
        <v>0.86995137274871748</v>
      </c>
      <c r="H191" s="159">
        <f t="shared" si="91"/>
        <v>0.97734407583058003</v>
      </c>
      <c r="I191" s="159">
        <f t="shared" si="91"/>
        <v>0.85173471634237585</v>
      </c>
      <c r="J191" s="159">
        <f t="shared" si="91"/>
        <v>1.5782557235149659</v>
      </c>
      <c r="K191" s="159">
        <f t="shared" si="91"/>
        <v>0.79067527845612373</v>
      </c>
      <c r="L191" s="159">
        <f t="shared" si="91"/>
        <v>0.95768926840077528</v>
      </c>
      <c r="M191" s="159">
        <f t="shared" si="79"/>
        <v>1.3423052850898123</v>
      </c>
      <c r="N191" s="159">
        <f t="shared" si="79"/>
        <v>0.96553709767276741</v>
      </c>
      <c r="O191" s="159">
        <f t="shared" si="79"/>
        <v>1.0042519206118741</v>
      </c>
    </row>
    <row r="192" spans="1:15">
      <c r="A192">
        <v>33</v>
      </c>
      <c r="B192" s="128" t="s">
        <v>116</v>
      </c>
      <c r="D192" s="159">
        <f t="shared" ref="D192:L192" si="92">D141/D$155</f>
        <v>3.2000538974303252</v>
      </c>
      <c r="E192" s="159">
        <f t="shared" si="92"/>
        <v>0.73942087845600912</v>
      </c>
      <c r="F192" s="159">
        <f t="shared" si="92"/>
        <v>1.0113585382641668</v>
      </c>
      <c r="G192" s="159">
        <f t="shared" si="92"/>
        <v>1.026824170585477</v>
      </c>
      <c r="H192" s="159">
        <f t="shared" si="92"/>
        <v>1.039564513473372</v>
      </c>
      <c r="I192" s="159">
        <f t="shared" si="92"/>
        <v>0.96582931831889107</v>
      </c>
      <c r="J192" s="159">
        <f t="shared" si="92"/>
        <v>1.0349100465638315</v>
      </c>
      <c r="K192" s="159">
        <f t="shared" si="92"/>
        <v>1.0220367915897766</v>
      </c>
      <c r="L192" s="159">
        <f t="shared" si="92"/>
        <v>1.0481585424163113</v>
      </c>
      <c r="M192" s="159">
        <f t="shared" si="79"/>
        <v>0.99865847930879648</v>
      </c>
      <c r="N192" s="159">
        <f t="shared" si="79"/>
        <v>1.0257982995095398</v>
      </c>
      <c r="O192" s="159">
        <f t="shared" si="79"/>
        <v>0.90128686345424436</v>
      </c>
    </row>
    <row r="193" spans="1:15">
      <c r="A193">
        <v>34</v>
      </c>
      <c r="B193" s="128" t="s">
        <v>468</v>
      </c>
      <c r="D193" s="159">
        <f t="shared" ref="D193:L193" si="93">D142/D$155</f>
        <v>1.0537882119567736</v>
      </c>
      <c r="E193" s="159">
        <f t="shared" si="93"/>
        <v>0.48043326679986126</v>
      </c>
      <c r="F193" s="159">
        <f t="shared" si="93"/>
        <v>0.96749202281362234</v>
      </c>
      <c r="G193" s="159">
        <f t="shared" si="93"/>
        <v>1.1028692769904056</v>
      </c>
      <c r="H193" s="159">
        <f t="shared" si="93"/>
        <v>0.81125620925776509</v>
      </c>
      <c r="I193" s="159">
        <f t="shared" si="93"/>
        <v>1.170444902510912</v>
      </c>
      <c r="J193" s="159">
        <f t="shared" si="93"/>
        <v>1.0282835220272009</v>
      </c>
      <c r="K193" s="159">
        <f t="shared" si="93"/>
        <v>0.8146811621923572</v>
      </c>
      <c r="L193" s="159">
        <f t="shared" si="93"/>
        <v>1.2018741664117938</v>
      </c>
      <c r="M193" s="159">
        <f t="shared" si="79"/>
        <v>0.97565720584222082</v>
      </c>
      <c r="N193" s="159">
        <f t="shared" si="79"/>
        <v>1.2051263781792401</v>
      </c>
      <c r="O193" s="159">
        <f t="shared" si="79"/>
        <v>1.1718628657464287</v>
      </c>
    </row>
    <row r="194" spans="1:15">
      <c r="A194">
        <v>35</v>
      </c>
      <c r="B194" s="128" t="s">
        <v>469</v>
      </c>
      <c r="D194" s="159">
        <f t="shared" ref="D194:L194" si="94">D143/D$155</f>
        <v>0.96805499927852845</v>
      </c>
      <c r="E194" s="159">
        <f t="shared" si="94"/>
        <v>1.0652001710790737</v>
      </c>
      <c r="F194" s="159">
        <f t="shared" si="94"/>
        <v>1.048532332791404</v>
      </c>
      <c r="G194" s="159">
        <f t="shared" si="94"/>
        <v>0.95316076775222192</v>
      </c>
      <c r="H194" s="159">
        <f t="shared" si="94"/>
        <v>1.0620999350807787</v>
      </c>
      <c r="I194" s="159">
        <f t="shared" si="94"/>
        <v>0.79916402406207698</v>
      </c>
      <c r="J194" s="159">
        <f t="shared" si="94"/>
        <v>1.4099078584207319</v>
      </c>
      <c r="K194" s="159">
        <f t="shared" si="94"/>
        <v>0.83063965951339636</v>
      </c>
      <c r="L194" s="159">
        <f t="shared" si="94"/>
        <v>0.7495698842405365</v>
      </c>
      <c r="M194" s="159">
        <f t="shared" si="79"/>
        <v>0.903758370507317</v>
      </c>
      <c r="N194" s="159">
        <f t="shared" si="79"/>
        <v>1.0297511845322693</v>
      </c>
      <c r="O194" s="159">
        <f t="shared" si="79"/>
        <v>0.89346069702199304</v>
      </c>
    </row>
    <row r="195" spans="1:15">
      <c r="A195">
        <v>38</v>
      </c>
      <c r="B195" s="128" t="s">
        <v>470</v>
      </c>
      <c r="D195" s="159">
        <f t="shared" ref="D195:L195" si="95">D144/D$155</f>
        <v>0.36031606280194578</v>
      </c>
      <c r="E195" s="159">
        <f t="shared" si="95"/>
        <v>1.3570482560863397</v>
      </c>
      <c r="F195" s="159">
        <f t="shared" si="95"/>
        <v>1.0549399903135519</v>
      </c>
      <c r="G195" s="159">
        <f t="shared" si="95"/>
        <v>0.93935112988360148</v>
      </c>
      <c r="H195" s="159">
        <f t="shared" si="95"/>
        <v>0.90052703330568817</v>
      </c>
      <c r="I195" s="159">
        <f t="shared" si="95"/>
        <v>0.861562004365658</v>
      </c>
      <c r="J195" s="159">
        <f t="shared" si="95"/>
        <v>0.97909609246229612</v>
      </c>
      <c r="K195" s="159">
        <f t="shared" si="95"/>
        <v>0.66707216490193055</v>
      </c>
      <c r="L195" s="159">
        <f t="shared" si="95"/>
        <v>0.8690961388204973</v>
      </c>
      <c r="M195" s="159">
        <f t="shared" si="79"/>
        <v>1.0309737847283069</v>
      </c>
      <c r="N195" s="159">
        <f t="shared" si="79"/>
        <v>0.96966224684802016</v>
      </c>
      <c r="O195" s="159">
        <f t="shared" si="79"/>
        <v>0.82770356460866001</v>
      </c>
    </row>
    <row r="196" spans="1:15">
      <c r="A196">
        <v>44</v>
      </c>
      <c r="B196" s="128" t="s">
        <v>471</v>
      </c>
      <c r="D196" s="159">
        <f t="shared" ref="D196:L196" si="96">D145/D$155</f>
        <v>0.90355216504309066</v>
      </c>
      <c r="E196" s="159">
        <f t="shared" si="96"/>
        <v>1.021171868967768</v>
      </c>
      <c r="F196" s="159">
        <f t="shared" si="96"/>
        <v>1.1299132482179028</v>
      </c>
      <c r="G196" s="159">
        <f t="shared" si="96"/>
        <v>1.0016297114864556</v>
      </c>
      <c r="H196" s="159">
        <f t="shared" si="96"/>
        <v>1.0223015005650997</v>
      </c>
      <c r="I196" s="159">
        <f t="shared" si="96"/>
        <v>0.79983067294322885</v>
      </c>
      <c r="J196" s="159">
        <f t="shared" si="96"/>
        <v>1.4268401182193655</v>
      </c>
      <c r="K196" s="159">
        <f t="shared" si="96"/>
        <v>1.0501500804527593</v>
      </c>
      <c r="L196" s="159">
        <f t="shared" si="96"/>
        <v>0.85377823869154168</v>
      </c>
      <c r="M196" s="159">
        <f t="shared" si="79"/>
        <v>1.0394602759146274</v>
      </c>
      <c r="N196" s="159">
        <f t="shared" si="79"/>
        <v>0.9372616576009859</v>
      </c>
      <c r="O196" s="159">
        <f t="shared" si="79"/>
        <v>0.97085354797937196</v>
      </c>
    </row>
    <row r="197" spans="1:15">
      <c r="A197">
        <v>59</v>
      </c>
      <c r="B197" s="128" t="s">
        <v>472</v>
      </c>
      <c r="D197" s="159">
        <f t="shared" ref="D197:L197" si="97">D146/D$155</f>
        <v>0.60584012977174972</v>
      </c>
      <c r="E197" s="159">
        <f t="shared" si="97"/>
        <v>1.0333651781737985</v>
      </c>
      <c r="F197" s="159">
        <f t="shared" si="97"/>
        <v>0.90992068311500651</v>
      </c>
      <c r="G197" s="159">
        <f t="shared" si="97"/>
        <v>1.0333906155744654</v>
      </c>
      <c r="H197" s="159">
        <f t="shared" si="97"/>
        <v>0.93786225946943724</v>
      </c>
      <c r="I197" s="159">
        <f t="shared" si="97"/>
        <v>0.70518228082831313</v>
      </c>
      <c r="J197" s="159">
        <f t="shared" si="97"/>
        <v>0.82429068464558108</v>
      </c>
      <c r="K197" s="159">
        <f t="shared" si="97"/>
        <v>0.96989652909230251</v>
      </c>
      <c r="L197" s="159">
        <f t="shared" si="97"/>
        <v>0.87445101451151863</v>
      </c>
      <c r="M197" s="159">
        <f t="shared" si="79"/>
        <v>0.9200578312619293</v>
      </c>
      <c r="N197" s="159">
        <f t="shared" si="79"/>
        <v>1.1270694262446825</v>
      </c>
      <c r="O197" s="159">
        <f t="shared" si="79"/>
        <v>0.79054594018187463</v>
      </c>
    </row>
    <row r="198" spans="1:15">
      <c r="A198">
        <v>62</v>
      </c>
      <c r="B198" s="128" t="s">
        <v>478</v>
      </c>
      <c r="D198" s="159">
        <f t="shared" ref="D198:L198" si="98">D147/D$155</f>
        <v>1.0947318075786296</v>
      </c>
      <c r="E198" s="159">
        <f t="shared" si="98"/>
        <v>1.1599880748592672</v>
      </c>
      <c r="F198" s="159">
        <f t="shared" si="98"/>
        <v>1.1000415166956063</v>
      </c>
      <c r="G198" s="159">
        <f t="shared" si="98"/>
        <v>1.0131776812710769</v>
      </c>
      <c r="H198" s="159">
        <f t="shared" si="98"/>
        <v>1.0993904883319887</v>
      </c>
      <c r="I198" s="159">
        <f t="shared" si="98"/>
        <v>0.78976752015927942</v>
      </c>
      <c r="J198" s="159">
        <f t="shared" si="98"/>
        <v>0.21755766414766298</v>
      </c>
      <c r="K198" s="159">
        <f t="shared" si="98"/>
        <v>0.6046553805443915</v>
      </c>
      <c r="L198" s="159">
        <f t="shared" si="98"/>
        <v>0.84444245042493571</v>
      </c>
      <c r="M198" s="159">
        <f t="shared" si="79"/>
        <v>0.67271579838380746</v>
      </c>
      <c r="N198" s="159">
        <f t="shared" si="79"/>
        <v>1.178049956242631</v>
      </c>
      <c r="O198" s="159">
        <f t="shared" si="79"/>
        <v>0.74170871406708516</v>
      </c>
    </row>
    <row r="199" spans="1:15">
      <c r="A199">
        <v>67</v>
      </c>
      <c r="B199" s="128" t="s">
        <v>473</v>
      </c>
      <c r="D199" s="159">
        <f t="shared" ref="D199:L199" si="99">D148/D$155</f>
        <v>0.73312032482510558</v>
      </c>
      <c r="E199" s="159">
        <f t="shared" si="99"/>
        <v>1.3315042703314319</v>
      </c>
      <c r="F199" s="159">
        <f t="shared" si="99"/>
        <v>1.014175307742353</v>
      </c>
      <c r="G199" s="159">
        <f t="shared" si="99"/>
        <v>1.1358765930410355</v>
      </c>
      <c r="H199" s="159">
        <f t="shared" si="99"/>
        <v>0.96357974028519455</v>
      </c>
      <c r="I199" s="159">
        <f t="shared" si="99"/>
        <v>1.0438986195913647</v>
      </c>
      <c r="J199" s="159">
        <f t="shared" si="99"/>
        <v>0.71533144951003302</v>
      </c>
      <c r="K199" s="159">
        <f t="shared" si="99"/>
        <v>0.97856310248065104</v>
      </c>
      <c r="L199" s="159">
        <f t="shared" si="99"/>
        <v>0.78727437263425903</v>
      </c>
      <c r="M199" s="159">
        <f t="shared" ref="M199:O206" si="100">M148/M$155</f>
        <v>0.87696603141838969</v>
      </c>
      <c r="N199" s="159">
        <f t="shared" si="100"/>
        <v>0.89941297091932315</v>
      </c>
      <c r="O199" s="159">
        <f t="shared" si="100"/>
        <v>0.85539664437402507</v>
      </c>
    </row>
    <row r="200" spans="1:15">
      <c r="A200">
        <v>69</v>
      </c>
      <c r="B200" s="128" t="s">
        <v>474</v>
      </c>
      <c r="D200" s="159">
        <f t="shared" ref="D200:L200" si="101">D149/D$155</f>
        <v>0.25758038866904559</v>
      </c>
      <c r="E200" s="159">
        <f t="shared" si="101"/>
        <v>0.9572480158522908</v>
      </c>
      <c r="F200" s="159">
        <f t="shared" si="101"/>
        <v>0.96647871916765138</v>
      </c>
      <c r="G200" s="159">
        <f t="shared" si="101"/>
        <v>0.96711888503072063</v>
      </c>
      <c r="H200" s="159">
        <f t="shared" si="101"/>
        <v>1.1012334837130595</v>
      </c>
      <c r="I200" s="159">
        <f t="shared" si="101"/>
        <v>0.95978464269669361</v>
      </c>
      <c r="J200" s="159">
        <f t="shared" si="101"/>
        <v>1.4152782329366425</v>
      </c>
      <c r="K200" s="159">
        <f t="shared" si="101"/>
        <v>1.0125990598865267</v>
      </c>
      <c r="L200" s="159">
        <f t="shared" si="101"/>
        <v>1.1645644634776506</v>
      </c>
      <c r="M200" s="159">
        <f t="shared" si="100"/>
        <v>1.3036114607695193</v>
      </c>
      <c r="N200" s="159">
        <f t="shared" si="100"/>
        <v>0.90742212853609605</v>
      </c>
      <c r="O200" s="159">
        <f t="shared" si="100"/>
        <v>0.93255841149338103</v>
      </c>
    </row>
    <row r="201" spans="1:15">
      <c r="A201">
        <v>76</v>
      </c>
      <c r="B201" s="128" t="s">
        <v>475</v>
      </c>
      <c r="D201" s="159">
        <f t="shared" ref="D201:L201" si="102">D150/D$155</f>
        <v>0.65118919211033011</v>
      </c>
      <c r="E201" s="159">
        <f t="shared" si="102"/>
        <v>1.2560617903434801</v>
      </c>
      <c r="F201" s="159">
        <f t="shared" si="102"/>
        <v>1.1101224153173892</v>
      </c>
      <c r="G201" s="159">
        <f t="shared" si="102"/>
        <v>0.87113694519247131</v>
      </c>
      <c r="H201" s="159">
        <f t="shared" si="102"/>
        <v>1.3681787147732758</v>
      </c>
      <c r="I201" s="159">
        <f t="shared" si="102"/>
        <v>0.69413076759474446</v>
      </c>
      <c r="J201" s="159">
        <f t="shared" si="102"/>
        <v>0.36989054655018477</v>
      </c>
      <c r="K201" s="159">
        <f t="shared" si="102"/>
        <v>0.87706748003362622</v>
      </c>
      <c r="L201" s="159">
        <f t="shared" si="102"/>
        <v>1.0544104566734782</v>
      </c>
      <c r="M201" s="159">
        <f t="shared" si="100"/>
        <v>0.79426053899563631</v>
      </c>
      <c r="N201" s="159">
        <f t="shared" si="100"/>
        <v>1.058666508642891</v>
      </c>
      <c r="O201" s="159">
        <f t="shared" si="100"/>
        <v>0.9023390850020695</v>
      </c>
    </row>
    <row r="202" spans="1:15">
      <c r="A202">
        <v>83</v>
      </c>
      <c r="B202" s="128" t="s">
        <v>476</v>
      </c>
      <c r="D202" s="159">
        <f t="shared" ref="D202:L202" si="103">D151/D$155</f>
        <v>1.2123320286550752</v>
      </c>
      <c r="E202" s="159">
        <f t="shared" si="103"/>
        <v>0.51786239973143233</v>
      </c>
      <c r="F202" s="159">
        <f t="shared" si="103"/>
        <v>1.1865506762571465</v>
      </c>
      <c r="G202" s="159">
        <f t="shared" si="103"/>
        <v>1.2316762289185752</v>
      </c>
      <c r="H202" s="159">
        <f t="shared" si="103"/>
        <v>0.74711637603384318</v>
      </c>
      <c r="I202" s="159">
        <f t="shared" si="103"/>
        <v>1.4582490149638989</v>
      </c>
      <c r="J202" s="159">
        <f t="shared" si="103"/>
        <v>0.36706429332354307</v>
      </c>
      <c r="K202" s="159">
        <f t="shared" si="103"/>
        <v>0.8099520140815395</v>
      </c>
      <c r="L202" s="159">
        <f t="shared" si="103"/>
        <v>1.5598954397259066</v>
      </c>
      <c r="M202" s="159">
        <f t="shared" si="100"/>
        <v>0.75615718012371325</v>
      </c>
      <c r="N202" s="159">
        <f t="shared" si="100"/>
        <v>1.189286164923157</v>
      </c>
      <c r="O202" s="159">
        <f t="shared" si="100"/>
        <v>1.1801673506299017</v>
      </c>
    </row>
    <row r="203" spans="1:15">
      <c r="A203">
        <v>84</v>
      </c>
      <c r="B203" s="128" t="s">
        <v>477</v>
      </c>
      <c r="D203" s="159">
        <f t="shared" ref="D203:L203" si="104">D152/D$155</f>
        <v>2.5431248499590495</v>
      </c>
      <c r="E203" s="159">
        <f t="shared" si="104"/>
        <v>0.77828295745788878</v>
      </c>
      <c r="F203" s="159">
        <f t="shared" si="104"/>
        <v>1.1078029415009576</v>
      </c>
      <c r="G203" s="159">
        <f t="shared" si="104"/>
        <v>1.2976595059317613</v>
      </c>
      <c r="H203" s="159">
        <f t="shared" si="104"/>
        <v>1.0867232947731733</v>
      </c>
      <c r="I203" s="159">
        <f t="shared" si="104"/>
        <v>1.0264722253246077</v>
      </c>
      <c r="J203" s="159">
        <f t="shared" si="104"/>
        <v>0.34757010010484113</v>
      </c>
      <c r="K203" s="159">
        <f t="shared" si="104"/>
        <v>0.68928855827533964</v>
      </c>
      <c r="L203" s="159">
        <f t="shared" si="104"/>
        <v>0.97125490675088932</v>
      </c>
      <c r="M203" s="159">
        <f t="shared" si="100"/>
        <v>0.76049979004946311</v>
      </c>
      <c r="N203" s="159">
        <f t="shared" si="100"/>
        <v>1.0600327597492771</v>
      </c>
      <c r="O203" s="159">
        <f t="shared" si="100"/>
        <v>1.0154696330469768</v>
      </c>
    </row>
    <row r="204" spans="1:15">
      <c r="A204">
        <v>72</v>
      </c>
      <c r="B204" s="128" t="s">
        <v>74</v>
      </c>
      <c r="D204" s="159">
        <f t="shared" ref="D204:L204" si="105">D153/D$155</f>
        <v>2.5297100381221314</v>
      </c>
      <c r="E204" s="159">
        <f t="shared" si="105"/>
        <v>0.93036080671305976</v>
      </c>
      <c r="F204" s="159">
        <f t="shared" si="105"/>
        <v>1.0789488312800879</v>
      </c>
      <c r="G204" s="159">
        <f t="shared" si="105"/>
        <v>1.0742747446925482</v>
      </c>
      <c r="H204" s="159">
        <f t="shared" si="105"/>
        <v>0.94790552744302525</v>
      </c>
      <c r="I204" s="159">
        <f t="shared" si="105"/>
        <v>0.95473982886752662</v>
      </c>
      <c r="J204" s="159">
        <f t="shared" si="105"/>
        <v>0.67638585928079764</v>
      </c>
      <c r="K204" s="159">
        <f t="shared" si="105"/>
        <v>0.84424196100133575</v>
      </c>
      <c r="L204" s="159">
        <f t="shared" si="105"/>
        <v>0.91945370953241901</v>
      </c>
      <c r="M204" s="159">
        <f t="shared" si="100"/>
        <v>0.83812174039015219</v>
      </c>
      <c r="N204" s="159">
        <f t="shared" si="100"/>
        <v>1.0644414859930811</v>
      </c>
      <c r="O204" s="159">
        <f t="shared" si="100"/>
        <v>0.90985577102245396</v>
      </c>
    </row>
    <row r="205" spans="1:15">
      <c r="A205">
        <v>243300316</v>
      </c>
      <c r="B205" s="128" t="s">
        <v>680</v>
      </c>
      <c r="D205" s="159">
        <f t="shared" ref="D205:L205" si="106">D154/D$155</f>
        <v>0.23358761427068483</v>
      </c>
      <c r="E205" s="159">
        <f t="shared" si="106"/>
        <v>0.65964132066818193</v>
      </c>
      <c r="F205" s="159">
        <f t="shared" si="106"/>
        <v>0.88244218853491529</v>
      </c>
      <c r="G205" s="159">
        <f t="shared" si="106"/>
        <v>0.92945657540757221</v>
      </c>
      <c r="H205" s="159">
        <f t="shared" si="106"/>
        <v>1.0767737881842427</v>
      </c>
      <c r="I205" s="159">
        <f t="shared" si="106"/>
        <v>1.0101399992104232</v>
      </c>
      <c r="J205" s="159">
        <f t="shared" si="106"/>
        <v>1.4231451390289831</v>
      </c>
      <c r="K205" s="159">
        <f t="shared" si="106"/>
        <v>1.2916173592903917</v>
      </c>
      <c r="L205" s="159">
        <f t="shared" si="106"/>
        <v>1.2771564978021717</v>
      </c>
      <c r="M205" s="159">
        <f t="shared" si="100"/>
        <v>1.1228490647985616</v>
      </c>
      <c r="N205" s="159">
        <f t="shared" si="100"/>
        <v>1.0894587697144082</v>
      </c>
      <c r="O205" s="159">
        <f t="shared" si="100"/>
        <v>0.97627976705281316</v>
      </c>
    </row>
    <row r="206" spans="1:15">
      <c r="B206" s="128" t="s">
        <v>1479</v>
      </c>
      <c r="D206" s="159">
        <f t="shared" ref="D206:L206" si="107">D155/D$155</f>
        <v>1</v>
      </c>
      <c r="E206" s="159">
        <f t="shared" si="107"/>
        <v>1</v>
      </c>
      <c r="F206" s="159">
        <f t="shared" si="107"/>
        <v>1</v>
      </c>
      <c r="G206" s="159">
        <f t="shared" si="107"/>
        <v>1</v>
      </c>
      <c r="H206" s="159">
        <f t="shared" si="107"/>
        <v>1</v>
      </c>
      <c r="I206" s="159">
        <f t="shared" si="107"/>
        <v>1</v>
      </c>
      <c r="J206" s="159">
        <f t="shared" si="107"/>
        <v>1</v>
      </c>
      <c r="K206" s="159">
        <f t="shared" si="107"/>
        <v>1</v>
      </c>
      <c r="L206" s="159">
        <f t="shared" si="107"/>
        <v>1</v>
      </c>
      <c r="M206" s="159">
        <f t="shared" si="100"/>
        <v>1</v>
      </c>
      <c r="N206" s="159">
        <f t="shared" si="100"/>
        <v>1</v>
      </c>
      <c r="O206" s="159">
        <f t="shared" si="100"/>
        <v>1</v>
      </c>
    </row>
    <row r="208" spans="1:15">
      <c r="A208" s="161" t="s">
        <v>691</v>
      </c>
      <c r="B208" s="160"/>
      <c r="C208" s="157"/>
      <c r="D208" s="157"/>
      <c r="E208" s="157"/>
      <c r="F208" s="157"/>
      <c r="G208" s="157"/>
    </row>
    <row r="209" spans="1:9">
      <c r="A209" s="156"/>
      <c r="B209" s="157"/>
      <c r="C209" s="157"/>
      <c r="D209" s="156" t="s">
        <v>484</v>
      </c>
      <c r="E209" s="157"/>
      <c r="F209" s="157"/>
      <c r="G209" s="157"/>
    </row>
    <row r="210" spans="1:9">
      <c r="A210" s="160" t="s">
        <v>508</v>
      </c>
      <c r="B210" s="160" t="s">
        <v>528</v>
      </c>
      <c r="C210" s="160"/>
      <c r="D210" s="160" t="s">
        <v>508</v>
      </c>
      <c r="E210" s="157"/>
      <c r="F210" s="157"/>
      <c r="G210" s="157">
        <v>1</v>
      </c>
    </row>
    <row r="211" spans="1:9">
      <c r="A211" s="160" t="s">
        <v>509</v>
      </c>
      <c r="B211" s="160" t="s">
        <v>529</v>
      </c>
      <c r="C211" s="160"/>
      <c r="D211" s="160" t="s">
        <v>1499</v>
      </c>
      <c r="E211" s="157"/>
      <c r="F211" s="157"/>
      <c r="G211" s="157">
        <v>2</v>
      </c>
      <c r="I211" s="160" t="s">
        <v>1499</v>
      </c>
    </row>
    <row r="212" spans="1:9">
      <c r="A212" s="160" t="s">
        <v>510</v>
      </c>
      <c r="B212" s="160" t="s">
        <v>530</v>
      </c>
      <c r="C212" s="160"/>
      <c r="D212" s="160" t="s">
        <v>1497</v>
      </c>
      <c r="E212" s="157"/>
      <c r="F212" s="157"/>
      <c r="G212" s="157">
        <v>2</v>
      </c>
    </row>
    <row r="213" spans="1:9">
      <c r="A213" s="160" t="s">
        <v>1135</v>
      </c>
      <c r="B213" s="160" t="s">
        <v>531</v>
      </c>
      <c r="C213" s="160"/>
      <c r="D213" s="160" t="s">
        <v>683</v>
      </c>
      <c r="E213" s="157"/>
      <c r="F213" s="157"/>
      <c r="G213" s="157">
        <v>2</v>
      </c>
    </row>
    <row r="214" spans="1:9">
      <c r="A214" s="160" t="s">
        <v>512</v>
      </c>
      <c r="B214" s="160" t="s">
        <v>532</v>
      </c>
      <c r="C214" s="160"/>
      <c r="D214" s="160" t="s">
        <v>1498</v>
      </c>
      <c r="E214" s="157"/>
      <c r="F214" s="157"/>
      <c r="G214" s="157">
        <v>2</v>
      </c>
    </row>
    <row r="215" spans="1:9">
      <c r="A215" s="160" t="s">
        <v>513</v>
      </c>
      <c r="B215" s="160" t="s">
        <v>533</v>
      </c>
      <c r="C215" s="160"/>
      <c r="D215" s="160" t="s">
        <v>685</v>
      </c>
      <c r="E215" s="157"/>
      <c r="F215" s="157"/>
      <c r="G215" s="157">
        <v>2</v>
      </c>
    </row>
    <row r="216" spans="1:9">
      <c r="A216" s="160" t="s">
        <v>514</v>
      </c>
      <c r="B216" s="160" t="s">
        <v>534</v>
      </c>
      <c r="C216" s="160"/>
      <c r="D216" s="160" t="s">
        <v>686</v>
      </c>
      <c r="E216" s="157"/>
      <c r="F216" s="157"/>
      <c r="G216" s="157">
        <v>2</v>
      </c>
    </row>
    <row r="217" spans="1:9">
      <c r="A217" s="160" t="s">
        <v>515</v>
      </c>
      <c r="B217" s="160" t="s">
        <v>535</v>
      </c>
      <c r="C217" s="160"/>
      <c r="D217" s="160" t="s">
        <v>510</v>
      </c>
      <c r="E217" s="157"/>
      <c r="F217" s="157"/>
      <c r="G217" s="157">
        <v>3</v>
      </c>
    </row>
    <row r="218" spans="1:9">
      <c r="A218" s="160" t="s">
        <v>516</v>
      </c>
      <c r="B218" s="160" t="s">
        <v>536</v>
      </c>
      <c r="C218" s="160"/>
      <c r="D218" s="160" t="s">
        <v>687</v>
      </c>
      <c r="E218" s="157"/>
      <c r="F218" s="157"/>
      <c r="G218" s="157">
        <v>4</v>
      </c>
    </row>
    <row r="219" spans="1:9">
      <c r="A219" s="160" t="s">
        <v>517</v>
      </c>
      <c r="B219" s="160" t="s">
        <v>537</v>
      </c>
      <c r="C219" s="160"/>
      <c r="D219" s="160" t="s">
        <v>688</v>
      </c>
      <c r="E219" s="157"/>
      <c r="F219" s="157"/>
      <c r="G219" s="157">
        <v>5</v>
      </c>
    </row>
    <row r="220" spans="1:9">
      <c r="A220" s="160" t="s">
        <v>518</v>
      </c>
      <c r="B220" s="160" t="s">
        <v>538</v>
      </c>
      <c r="C220" s="160"/>
      <c r="D220" s="160" t="s">
        <v>513</v>
      </c>
      <c r="E220" s="157"/>
      <c r="F220" s="157"/>
      <c r="G220" s="157">
        <v>6</v>
      </c>
    </row>
    <row r="221" spans="1:9">
      <c r="A221" s="160" t="s">
        <v>519</v>
      </c>
      <c r="B221" s="160" t="s">
        <v>539</v>
      </c>
      <c r="C221" s="160"/>
      <c r="D221" s="160" t="s">
        <v>514</v>
      </c>
      <c r="E221" s="157"/>
      <c r="F221" s="157"/>
      <c r="G221" s="157">
        <v>7</v>
      </c>
    </row>
    <row r="222" spans="1:9">
      <c r="A222" s="160"/>
      <c r="B222" s="160"/>
      <c r="C222" s="160"/>
      <c r="D222" s="160" t="s">
        <v>515</v>
      </c>
      <c r="E222" s="157"/>
      <c r="F222" s="157"/>
      <c r="G222" s="157">
        <v>8</v>
      </c>
    </row>
    <row r="223" spans="1:9">
      <c r="A223" s="160"/>
      <c r="B223" s="160"/>
      <c r="C223" s="160"/>
      <c r="D223" s="160" t="s">
        <v>516</v>
      </c>
      <c r="E223" s="157"/>
      <c r="F223" s="157"/>
      <c r="G223" s="157">
        <v>9</v>
      </c>
    </row>
    <row r="224" spans="1:9">
      <c r="A224" s="160"/>
      <c r="B224" s="160"/>
      <c r="C224" s="160"/>
      <c r="D224" s="160" t="s">
        <v>689</v>
      </c>
      <c r="E224" s="157"/>
      <c r="F224" s="157"/>
      <c r="G224" s="157">
        <v>10</v>
      </c>
    </row>
    <row r="225" spans="1:7">
      <c r="A225" s="160"/>
      <c r="B225" s="160"/>
      <c r="C225" s="160"/>
      <c r="D225" s="160" t="s">
        <v>690</v>
      </c>
      <c r="E225" s="157"/>
      <c r="F225" s="157"/>
      <c r="G225" s="157">
        <v>11</v>
      </c>
    </row>
    <row r="226" spans="1:7">
      <c r="A226" s="160"/>
      <c r="B226" s="160"/>
      <c r="C226" s="160"/>
      <c r="D226" s="160" t="s">
        <v>519</v>
      </c>
      <c r="E226" s="157"/>
      <c r="F226" s="157"/>
      <c r="G226" s="157">
        <v>12</v>
      </c>
    </row>
    <row r="227" spans="1:7">
      <c r="A227" s="59"/>
      <c r="B227"/>
    </row>
    <row r="228" spans="1:7">
      <c r="A228" s="59"/>
      <c r="B228"/>
    </row>
    <row r="229" spans="1:7">
      <c r="A229" s="59"/>
      <c r="B229"/>
    </row>
    <row r="230" spans="1:7">
      <c r="A230" s="59"/>
      <c r="B230"/>
    </row>
    <row r="231" spans="1:7">
      <c r="A231" s="59"/>
      <c r="B231"/>
    </row>
    <row r="232" spans="1:7">
      <c r="A232" s="59"/>
      <c r="B232"/>
    </row>
    <row r="233" spans="1:7">
      <c r="A233" s="59"/>
      <c r="B233"/>
    </row>
    <row r="234" spans="1:7">
      <c r="A234" s="59"/>
      <c r="B234"/>
    </row>
    <row r="235" spans="1:7">
      <c r="A235" s="59"/>
      <c r="B235"/>
    </row>
    <row r="236" spans="1:7">
      <c r="A236" s="59"/>
      <c r="B236"/>
    </row>
    <row r="237" spans="1:7">
      <c r="A237" s="59"/>
      <c r="B237"/>
    </row>
    <row r="238" spans="1:7">
      <c r="A238" s="59"/>
      <c r="B238"/>
    </row>
    <row r="239" spans="1:7">
      <c r="A239" s="59"/>
      <c r="B239"/>
    </row>
    <row r="240" spans="1:7">
      <c r="A240" s="59"/>
      <c r="B240"/>
    </row>
    <row r="241" spans="1:2">
      <c r="A241" s="59"/>
      <c r="B241"/>
    </row>
    <row r="242" spans="1:2">
      <c r="A242" s="59"/>
      <c r="B242"/>
    </row>
    <row r="243" spans="1:2">
      <c r="A243" s="59"/>
      <c r="B243"/>
    </row>
    <row r="244" spans="1:2">
      <c r="A244" s="59"/>
      <c r="B244"/>
    </row>
    <row r="245" spans="1:2">
      <c r="A245" s="59"/>
      <c r="B245"/>
    </row>
    <row r="246" spans="1:2">
      <c r="A246" s="59"/>
      <c r="B246"/>
    </row>
    <row r="247" spans="1:2">
      <c r="A247" s="59"/>
      <c r="B247"/>
    </row>
    <row r="248" spans="1:2">
      <c r="A248" s="59"/>
      <c r="B248"/>
    </row>
    <row r="249" spans="1:2">
      <c r="A249" s="59"/>
      <c r="B249"/>
    </row>
    <row r="250" spans="1:2">
      <c r="A250" s="59"/>
      <c r="B250"/>
    </row>
    <row r="251" spans="1:2">
      <c r="A251" s="59"/>
      <c r="B251"/>
    </row>
    <row r="252" spans="1:2">
      <c r="A252" s="59"/>
      <c r="B252"/>
    </row>
    <row r="253" spans="1:2">
      <c r="A253" s="59"/>
      <c r="B253"/>
    </row>
    <row r="254" spans="1:2">
      <c r="A254" s="59"/>
      <c r="B254"/>
    </row>
    <row r="255" spans="1:2">
      <c r="A255" s="59"/>
      <c r="B255"/>
    </row>
    <row r="256" spans="1:2">
      <c r="A256" s="59"/>
      <c r="B256"/>
    </row>
    <row r="257" spans="1:2">
      <c r="A257" s="59"/>
      <c r="B257"/>
    </row>
    <row r="258" spans="1:2">
      <c r="A258" s="59"/>
      <c r="B258"/>
    </row>
    <row r="259" spans="1:2">
      <c r="A259" s="59"/>
      <c r="B259"/>
    </row>
    <row r="260" spans="1:2">
      <c r="A260" s="59"/>
      <c r="B260"/>
    </row>
    <row r="261" spans="1:2">
      <c r="A261" s="59"/>
      <c r="B261"/>
    </row>
    <row r="262" spans="1:2">
      <c r="A262" s="59"/>
      <c r="B262"/>
    </row>
    <row r="263" spans="1:2">
      <c r="A263" s="59"/>
      <c r="B263"/>
    </row>
    <row r="264" spans="1:2">
      <c r="A264" s="59"/>
      <c r="B264"/>
    </row>
    <row r="265" spans="1:2">
      <c r="A265" s="59"/>
      <c r="B265"/>
    </row>
    <row r="266" spans="1:2">
      <c r="A266" s="59"/>
      <c r="B266"/>
    </row>
    <row r="267" spans="1:2">
      <c r="A267" s="59"/>
      <c r="B267"/>
    </row>
    <row r="268" spans="1:2">
      <c r="A268" s="59"/>
      <c r="B268"/>
    </row>
    <row r="269" spans="1:2">
      <c r="A269" s="59"/>
      <c r="B269"/>
    </row>
    <row r="270" spans="1:2">
      <c r="A270" s="59"/>
      <c r="B270"/>
    </row>
    <row r="271" spans="1:2">
      <c r="A271" s="59"/>
      <c r="B271"/>
    </row>
    <row r="272" spans="1:2">
      <c r="A272" s="59"/>
      <c r="B272"/>
    </row>
    <row r="273" spans="1:2">
      <c r="A273" s="59"/>
      <c r="B273"/>
    </row>
    <row r="274" spans="1:2">
      <c r="A274" s="59"/>
      <c r="B274"/>
    </row>
    <row r="275" spans="1:2">
      <c r="A275" s="59"/>
      <c r="B275"/>
    </row>
    <row r="276" spans="1:2">
      <c r="A276" s="59"/>
      <c r="B276"/>
    </row>
    <row r="277" spans="1:2">
      <c r="A277" s="59"/>
      <c r="B277"/>
    </row>
    <row r="278" spans="1:2">
      <c r="A278" s="59"/>
      <c r="B278"/>
    </row>
    <row r="279" spans="1:2">
      <c r="A279" s="59"/>
      <c r="B279"/>
    </row>
    <row r="280" spans="1:2">
      <c r="A280" s="59"/>
      <c r="B280"/>
    </row>
    <row r="281" spans="1:2">
      <c r="A281" s="59"/>
      <c r="B281"/>
    </row>
    <row r="282" spans="1:2">
      <c r="A282" s="59"/>
      <c r="B282"/>
    </row>
    <row r="283" spans="1:2">
      <c r="A283" s="59"/>
      <c r="B283"/>
    </row>
    <row r="284" spans="1:2">
      <c r="A284" s="59"/>
      <c r="B284"/>
    </row>
    <row r="285" spans="1:2">
      <c r="A285" s="59"/>
      <c r="B285"/>
    </row>
    <row r="286" spans="1:2">
      <c r="A286" s="59"/>
      <c r="B286"/>
    </row>
    <row r="287" spans="1:2">
      <c r="A287" s="59"/>
      <c r="B287"/>
    </row>
    <row r="288" spans="1:2">
      <c r="A288" s="59"/>
      <c r="B288"/>
    </row>
    <row r="289" spans="1:2">
      <c r="A289" s="59"/>
      <c r="B289"/>
    </row>
    <row r="290" spans="1:2">
      <c r="A290" s="59"/>
      <c r="B290"/>
    </row>
    <row r="291" spans="1:2">
      <c r="A291" s="59"/>
      <c r="B291"/>
    </row>
    <row r="292" spans="1:2">
      <c r="A292" s="59"/>
      <c r="B292"/>
    </row>
    <row r="293" spans="1:2">
      <c r="A293" s="59"/>
      <c r="B293"/>
    </row>
    <row r="294" spans="1:2">
      <c r="A294" s="59"/>
      <c r="B294"/>
    </row>
    <row r="295" spans="1:2">
      <c r="A295" s="59"/>
      <c r="B295"/>
    </row>
    <row r="296" spans="1:2">
      <c r="A296" s="59"/>
      <c r="B296"/>
    </row>
    <row r="297" spans="1:2">
      <c r="A297" s="59"/>
      <c r="B297"/>
    </row>
    <row r="298" spans="1:2">
      <c r="A298" s="59"/>
      <c r="B298"/>
    </row>
    <row r="299" spans="1:2">
      <c r="A299" s="59"/>
      <c r="B299"/>
    </row>
    <row r="300" spans="1:2">
      <c r="A300" s="59"/>
      <c r="B300"/>
    </row>
    <row r="301" spans="1:2">
      <c r="A301" s="59"/>
      <c r="B301"/>
    </row>
    <row r="302" spans="1:2">
      <c r="A302" s="59"/>
      <c r="B302"/>
    </row>
    <row r="303" spans="1:2">
      <c r="A303" s="59"/>
      <c r="B303"/>
    </row>
    <row r="304" spans="1:2">
      <c r="A304" s="59"/>
      <c r="B304"/>
    </row>
    <row r="305" spans="1:2">
      <c r="A305" s="59"/>
      <c r="B305"/>
    </row>
    <row r="306" spans="1:2">
      <c r="A306" s="59"/>
      <c r="B306"/>
    </row>
    <row r="307" spans="1:2">
      <c r="A307" s="59"/>
      <c r="B307"/>
    </row>
    <row r="308" spans="1:2">
      <c r="A308" s="59"/>
      <c r="B308"/>
    </row>
    <row r="309" spans="1:2">
      <c r="A309" s="59"/>
      <c r="B309"/>
    </row>
    <row r="310" spans="1:2">
      <c r="A310" s="59"/>
      <c r="B310"/>
    </row>
    <row r="311" spans="1:2">
      <c r="A311" s="59"/>
      <c r="B311"/>
    </row>
    <row r="312" spans="1:2">
      <c r="A312" s="59"/>
      <c r="B312"/>
    </row>
    <row r="313" spans="1:2">
      <c r="A313" s="59"/>
      <c r="B313"/>
    </row>
    <row r="314" spans="1:2">
      <c r="A314" s="59"/>
      <c r="B314"/>
    </row>
    <row r="315" spans="1:2">
      <c r="A315" s="59"/>
      <c r="B315"/>
    </row>
    <row r="316" spans="1:2">
      <c r="A316" s="59"/>
      <c r="B316"/>
    </row>
    <row r="317" spans="1:2">
      <c r="A317" s="59"/>
      <c r="B317"/>
    </row>
    <row r="318" spans="1:2">
      <c r="A318" s="59"/>
      <c r="B318"/>
    </row>
    <row r="319" spans="1:2">
      <c r="A319" s="59"/>
      <c r="B319"/>
    </row>
    <row r="320" spans="1:2">
      <c r="A320" s="59"/>
      <c r="B320"/>
    </row>
    <row r="321" spans="1:2">
      <c r="A321" s="59"/>
      <c r="B321"/>
    </row>
    <row r="322" spans="1:2">
      <c r="A322" s="59"/>
      <c r="B322"/>
    </row>
    <row r="323" spans="1:2">
      <c r="A323" s="59"/>
      <c r="B323"/>
    </row>
    <row r="324" spans="1:2">
      <c r="A324" s="59"/>
      <c r="B324"/>
    </row>
    <row r="325" spans="1:2">
      <c r="A325" s="59"/>
      <c r="B325"/>
    </row>
    <row r="326" spans="1:2">
      <c r="A326" s="59"/>
      <c r="B326"/>
    </row>
    <row r="327" spans="1:2">
      <c r="A327" s="59"/>
      <c r="B327"/>
    </row>
    <row r="328" spans="1:2">
      <c r="A328" s="59"/>
      <c r="B328"/>
    </row>
    <row r="329" spans="1:2">
      <c r="A329" s="59"/>
      <c r="B329"/>
    </row>
    <row r="330" spans="1:2">
      <c r="A330" s="59"/>
      <c r="B330"/>
    </row>
    <row r="331" spans="1:2">
      <c r="A331" s="59"/>
      <c r="B331"/>
    </row>
    <row r="332" spans="1:2">
      <c r="A332" s="59"/>
      <c r="B332"/>
    </row>
    <row r="333" spans="1:2">
      <c r="A333" s="59"/>
      <c r="B333"/>
    </row>
    <row r="334" spans="1:2">
      <c r="A334" s="59"/>
      <c r="B334"/>
    </row>
    <row r="335" spans="1:2">
      <c r="A335" s="59"/>
      <c r="B335"/>
    </row>
    <row r="336" spans="1:2">
      <c r="A336" s="59"/>
      <c r="B336"/>
    </row>
    <row r="337" spans="1:2">
      <c r="A337" s="59"/>
      <c r="B337"/>
    </row>
    <row r="338" spans="1:2">
      <c r="A338" s="59"/>
      <c r="B338"/>
    </row>
    <row r="339" spans="1:2">
      <c r="A339" s="59"/>
      <c r="B339"/>
    </row>
    <row r="340" spans="1:2">
      <c r="A340" s="59"/>
      <c r="B340"/>
    </row>
    <row r="341" spans="1:2">
      <c r="A341" s="59"/>
      <c r="B341"/>
    </row>
    <row r="342" spans="1:2">
      <c r="A342" s="59"/>
      <c r="B342"/>
    </row>
    <row r="343" spans="1:2">
      <c r="A343" s="59"/>
      <c r="B343"/>
    </row>
    <row r="344" spans="1:2">
      <c r="A344" s="59"/>
      <c r="B344"/>
    </row>
    <row r="345" spans="1:2">
      <c r="A345" s="59"/>
      <c r="B345"/>
    </row>
    <row r="346" spans="1:2">
      <c r="A346" s="59"/>
      <c r="B346"/>
    </row>
    <row r="347" spans="1:2">
      <c r="A347" s="59"/>
      <c r="B347"/>
    </row>
    <row r="348" spans="1:2">
      <c r="A348" s="59"/>
      <c r="B348"/>
    </row>
    <row r="349" spans="1:2">
      <c r="A349" s="59"/>
      <c r="B349"/>
    </row>
    <row r="350" spans="1:2">
      <c r="A350" s="59"/>
      <c r="B350"/>
    </row>
    <row r="351" spans="1:2">
      <c r="A351" s="59"/>
      <c r="B351"/>
    </row>
    <row r="352" spans="1:2">
      <c r="A352" s="59"/>
      <c r="B352"/>
    </row>
    <row r="353" spans="1:2">
      <c r="A353" s="59"/>
      <c r="B353"/>
    </row>
    <row r="354" spans="1:2">
      <c r="A354" s="59"/>
      <c r="B354"/>
    </row>
    <row r="355" spans="1:2">
      <c r="A355" s="59"/>
      <c r="B355"/>
    </row>
    <row r="356" spans="1:2">
      <c r="A356" s="59"/>
      <c r="B356"/>
    </row>
    <row r="357" spans="1:2">
      <c r="A357" s="59"/>
      <c r="B357"/>
    </row>
    <row r="358" spans="1:2">
      <c r="A358" s="59"/>
      <c r="B358"/>
    </row>
    <row r="359" spans="1:2">
      <c r="A359" s="59"/>
      <c r="B359"/>
    </row>
    <row r="360" spans="1:2">
      <c r="A360" s="59"/>
      <c r="B360"/>
    </row>
    <row r="361" spans="1:2">
      <c r="A361" s="59"/>
      <c r="B361"/>
    </row>
    <row r="362" spans="1:2">
      <c r="A362" s="59"/>
      <c r="B362"/>
    </row>
    <row r="363" spans="1:2">
      <c r="A363" s="59"/>
      <c r="B363"/>
    </row>
    <row r="364" spans="1:2">
      <c r="A364" s="59"/>
      <c r="B364"/>
    </row>
    <row r="365" spans="1:2">
      <c r="A365" s="59"/>
      <c r="B365"/>
    </row>
    <row r="366" spans="1:2">
      <c r="A366" s="59"/>
      <c r="B366"/>
    </row>
    <row r="367" spans="1:2">
      <c r="A367" s="59"/>
      <c r="B367"/>
    </row>
    <row r="368" spans="1:2">
      <c r="A368" s="59"/>
      <c r="B368"/>
    </row>
    <row r="369" spans="1:2">
      <c r="A369" s="59"/>
      <c r="B369"/>
    </row>
    <row r="370" spans="1:2">
      <c r="A370" s="59"/>
      <c r="B370"/>
    </row>
    <row r="371" spans="1:2">
      <c r="A371" s="59"/>
      <c r="B371"/>
    </row>
    <row r="372" spans="1:2">
      <c r="A372" s="59"/>
      <c r="B372"/>
    </row>
    <row r="373" spans="1:2">
      <c r="A373" s="59"/>
      <c r="B373"/>
    </row>
    <row r="374" spans="1:2">
      <c r="A374" s="59"/>
      <c r="B374"/>
    </row>
    <row r="375" spans="1:2">
      <c r="A375" s="59"/>
      <c r="B375"/>
    </row>
    <row r="376" spans="1:2">
      <c r="A376" s="59"/>
      <c r="B376"/>
    </row>
    <row r="377" spans="1:2">
      <c r="A377" s="59"/>
      <c r="B377"/>
    </row>
    <row r="378" spans="1:2">
      <c r="A378" s="59"/>
      <c r="B378"/>
    </row>
    <row r="379" spans="1:2">
      <c r="A379" s="59"/>
      <c r="B379"/>
    </row>
    <row r="380" spans="1:2">
      <c r="A380" s="59"/>
      <c r="B380"/>
    </row>
    <row r="381" spans="1:2">
      <c r="A381" s="59"/>
      <c r="B381"/>
    </row>
    <row r="382" spans="1:2">
      <c r="A382" s="59"/>
      <c r="B382"/>
    </row>
    <row r="383" spans="1:2">
      <c r="A383" s="59"/>
      <c r="B383"/>
    </row>
    <row r="384" spans="1:2">
      <c r="A384" s="59"/>
      <c r="B384"/>
    </row>
    <row r="385" spans="1:2">
      <c r="A385" s="59"/>
      <c r="B385"/>
    </row>
    <row r="386" spans="1:2">
      <c r="A386" s="59"/>
      <c r="B386"/>
    </row>
    <row r="387" spans="1:2">
      <c r="A387" s="59"/>
      <c r="B387"/>
    </row>
    <row r="388" spans="1:2">
      <c r="A388" s="59"/>
      <c r="B388"/>
    </row>
    <row r="389" spans="1:2">
      <c r="A389" s="59"/>
      <c r="B389"/>
    </row>
    <row r="390" spans="1:2">
      <c r="A390" s="59"/>
      <c r="B390"/>
    </row>
    <row r="391" spans="1:2">
      <c r="A391" s="59"/>
      <c r="B391"/>
    </row>
    <row r="392" spans="1:2">
      <c r="A392" s="59"/>
      <c r="B392"/>
    </row>
    <row r="393" spans="1:2">
      <c r="A393" s="59"/>
      <c r="B393"/>
    </row>
    <row r="394" spans="1:2">
      <c r="A394" s="59"/>
      <c r="B394"/>
    </row>
    <row r="395" spans="1:2">
      <c r="A395" s="59"/>
      <c r="B395"/>
    </row>
    <row r="396" spans="1:2">
      <c r="A396" s="59"/>
      <c r="B396"/>
    </row>
    <row r="397" spans="1:2">
      <c r="A397" s="59"/>
      <c r="B397"/>
    </row>
    <row r="398" spans="1:2">
      <c r="A398" s="59"/>
      <c r="B398"/>
    </row>
    <row r="399" spans="1:2">
      <c r="A399" s="59"/>
      <c r="B399"/>
    </row>
    <row r="400" spans="1:2">
      <c r="A400" s="59"/>
      <c r="B400"/>
    </row>
    <row r="401" spans="1:2">
      <c r="A401" s="59"/>
      <c r="B401"/>
    </row>
    <row r="402" spans="1:2">
      <c r="A402" s="59"/>
      <c r="B402"/>
    </row>
    <row r="403" spans="1:2">
      <c r="A403" s="59"/>
      <c r="B403"/>
    </row>
    <row r="404" spans="1:2">
      <c r="A404" s="59"/>
      <c r="B404"/>
    </row>
    <row r="405" spans="1:2">
      <c r="A405" s="59"/>
      <c r="B405"/>
    </row>
    <row r="406" spans="1:2">
      <c r="A406" s="59"/>
      <c r="B406"/>
    </row>
    <row r="407" spans="1:2">
      <c r="A407" s="59"/>
      <c r="B407"/>
    </row>
    <row r="408" spans="1:2">
      <c r="A408" s="59"/>
      <c r="B408"/>
    </row>
    <row r="409" spans="1:2">
      <c r="A409" s="59"/>
      <c r="B409"/>
    </row>
    <row r="410" spans="1:2">
      <c r="A410" s="59"/>
      <c r="B410"/>
    </row>
    <row r="411" spans="1:2">
      <c r="A411" s="59"/>
      <c r="B411"/>
    </row>
    <row r="412" spans="1:2">
      <c r="A412" s="59"/>
      <c r="B412"/>
    </row>
    <row r="413" spans="1:2">
      <c r="A413" s="59"/>
      <c r="B413"/>
    </row>
    <row r="414" spans="1:2">
      <c r="A414" s="59"/>
      <c r="B414"/>
    </row>
    <row r="415" spans="1:2">
      <c r="A415" s="59"/>
      <c r="B415"/>
    </row>
    <row r="416" spans="1:2">
      <c r="A416" s="59"/>
      <c r="B416"/>
    </row>
    <row r="417" spans="1:2">
      <c r="A417" s="59"/>
      <c r="B417"/>
    </row>
    <row r="418" spans="1:2">
      <c r="A418" s="59"/>
      <c r="B418"/>
    </row>
    <row r="419" spans="1:2">
      <c r="A419" s="59"/>
      <c r="B419"/>
    </row>
    <row r="420" spans="1:2">
      <c r="A420" s="59"/>
      <c r="B420"/>
    </row>
    <row r="421" spans="1:2">
      <c r="A421" s="59"/>
      <c r="B421"/>
    </row>
    <row r="422" spans="1:2">
      <c r="A422" s="59"/>
      <c r="B422"/>
    </row>
    <row r="423" spans="1:2">
      <c r="A423" s="59"/>
      <c r="B423"/>
    </row>
    <row r="424" spans="1:2">
      <c r="A424" s="59"/>
      <c r="B424"/>
    </row>
    <row r="425" spans="1:2">
      <c r="A425" s="59"/>
      <c r="B425"/>
    </row>
    <row r="426" spans="1:2">
      <c r="A426" s="59"/>
      <c r="B426"/>
    </row>
    <row r="427" spans="1:2">
      <c r="A427" s="59"/>
      <c r="B427"/>
    </row>
    <row r="428" spans="1:2">
      <c r="A428" s="59"/>
      <c r="B428"/>
    </row>
    <row r="429" spans="1:2">
      <c r="A429" s="59"/>
      <c r="B429"/>
    </row>
    <row r="430" spans="1:2">
      <c r="A430" s="59"/>
      <c r="B430"/>
    </row>
    <row r="431" spans="1:2">
      <c r="A431" s="59"/>
      <c r="B431"/>
    </row>
    <row r="432" spans="1:2">
      <c r="A432" s="59"/>
      <c r="B432"/>
    </row>
    <row r="433" spans="1:2">
      <c r="A433" s="59"/>
      <c r="B433"/>
    </row>
    <row r="434" spans="1:2">
      <c r="A434" s="59"/>
      <c r="B434"/>
    </row>
    <row r="435" spans="1:2">
      <c r="A435" s="59"/>
      <c r="B435"/>
    </row>
    <row r="436" spans="1:2">
      <c r="A436" s="59"/>
      <c r="B436"/>
    </row>
    <row r="437" spans="1:2">
      <c r="A437" s="59"/>
      <c r="B437"/>
    </row>
    <row r="438" spans="1:2">
      <c r="A438" s="59"/>
      <c r="B438"/>
    </row>
    <row r="439" spans="1:2">
      <c r="A439" s="59"/>
      <c r="B439"/>
    </row>
    <row r="440" spans="1:2">
      <c r="A440" s="59"/>
      <c r="B440"/>
    </row>
    <row r="441" spans="1:2">
      <c r="A441" s="59"/>
      <c r="B441"/>
    </row>
    <row r="442" spans="1:2">
      <c r="A442" s="59"/>
      <c r="B442"/>
    </row>
    <row r="443" spans="1:2">
      <c r="A443" s="59"/>
      <c r="B443"/>
    </row>
    <row r="444" spans="1:2">
      <c r="A444" s="59"/>
      <c r="B444"/>
    </row>
    <row r="445" spans="1:2">
      <c r="A445" s="59"/>
      <c r="B445"/>
    </row>
    <row r="446" spans="1:2">
      <c r="A446" s="59"/>
      <c r="B446"/>
    </row>
    <row r="447" spans="1:2">
      <c r="A447" s="59"/>
      <c r="B447"/>
    </row>
    <row r="448" spans="1:2">
      <c r="A448" s="59"/>
      <c r="B448"/>
    </row>
    <row r="449" spans="1:2">
      <c r="A449" s="59"/>
      <c r="B449"/>
    </row>
    <row r="450" spans="1:2">
      <c r="A450" s="59"/>
      <c r="B450"/>
    </row>
    <row r="451" spans="1:2">
      <c r="A451" s="59"/>
      <c r="B451"/>
    </row>
    <row r="452" spans="1:2">
      <c r="A452" s="59"/>
      <c r="B452"/>
    </row>
    <row r="453" spans="1:2">
      <c r="A453" s="59"/>
      <c r="B453"/>
    </row>
    <row r="454" spans="1:2">
      <c r="A454" s="59"/>
      <c r="B454"/>
    </row>
    <row r="455" spans="1:2">
      <c r="A455" s="59"/>
      <c r="B455"/>
    </row>
    <row r="456" spans="1:2">
      <c r="A456" s="59"/>
      <c r="B456"/>
    </row>
    <row r="457" spans="1:2">
      <c r="A457" s="59"/>
      <c r="B457"/>
    </row>
    <row r="458" spans="1:2">
      <c r="A458" s="59"/>
      <c r="B458"/>
    </row>
    <row r="459" spans="1:2">
      <c r="A459" s="59"/>
      <c r="B459"/>
    </row>
    <row r="460" spans="1:2">
      <c r="A460" s="59"/>
      <c r="B460"/>
    </row>
    <row r="461" spans="1:2">
      <c r="A461" s="59"/>
      <c r="B461"/>
    </row>
    <row r="462" spans="1:2">
      <c r="A462" s="59"/>
      <c r="B462"/>
    </row>
    <row r="463" spans="1:2">
      <c r="A463" s="59"/>
      <c r="B463"/>
    </row>
    <row r="464" spans="1:2">
      <c r="A464" s="59"/>
      <c r="B464"/>
    </row>
    <row r="465" spans="1:2">
      <c r="A465" s="59"/>
      <c r="B465"/>
    </row>
    <row r="466" spans="1:2">
      <c r="A466" s="59"/>
      <c r="B466"/>
    </row>
    <row r="467" spans="1:2">
      <c r="A467" s="59"/>
      <c r="B467"/>
    </row>
    <row r="468" spans="1:2">
      <c r="A468" s="59"/>
      <c r="B468"/>
    </row>
    <row r="469" spans="1:2">
      <c r="A469" s="59"/>
      <c r="B469"/>
    </row>
    <row r="470" spans="1:2">
      <c r="A470" s="59"/>
      <c r="B470"/>
    </row>
    <row r="471" spans="1:2">
      <c r="A471" s="59"/>
      <c r="B471"/>
    </row>
    <row r="472" spans="1:2">
      <c r="A472" s="59"/>
      <c r="B472"/>
    </row>
    <row r="473" spans="1:2">
      <c r="A473" s="59"/>
      <c r="B473"/>
    </row>
    <row r="474" spans="1:2">
      <c r="A474" s="59"/>
      <c r="B474"/>
    </row>
    <row r="475" spans="1:2">
      <c r="A475" s="59"/>
      <c r="B475"/>
    </row>
    <row r="476" spans="1:2">
      <c r="A476" s="59"/>
      <c r="B476"/>
    </row>
    <row r="477" spans="1:2">
      <c r="A477" s="59"/>
      <c r="B477"/>
    </row>
    <row r="478" spans="1:2">
      <c r="A478" s="59"/>
      <c r="B478"/>
    </row>
    <row r="479" spans="1:2">
      <c r="A479" s="59"/>
      <c r="B479"/>
    </row>
    <row r="480" spans="1:2">
      <c r="A480" s="59"/>
      <c r="B480"/>
    </row>
    <row r="481" spans="1:2">
      <c r="A481" s="59"/>
      <c r="B481"/>
    </row>
    <row r="482" spans="1:2">
      <c r="A482" s="59"/>
      <c r="B482"/>
    </row>
    <row r="483" spans="1:2">
      <c r="A483" s="59"/>
      <c r="B483"/>
    </row>
    <row r="484" spans="1:2">
      <c r="A484" s="59"/>
      <c r="B484"/>
    </row>
    <row r="485" spans="1:2">
      <c r="A485" s="59"/>
      <c r="B485"/>
    </row>
    <row r="486" spans="1:2">
      <c r="A486" s="59"/>
      <c r="B486"/>
    </row>
    <row r="487" spans="1:2">
      <c r="A487" s="59"/>
      <c r="B487"/>
    </row>
    <row r="488" spans="1:2">
      <c r="A488" s="59"/>
      <c r="B488"/>
    </row>
    <row r="489" spans="1:2">
      <c r="A489" s="59"/>
      <c r="B489"/>
    </row>
    <row r="490" spans="1:2">
      <c r="A490" s="59"/>
      <c r="B490"/>
    </row>
    <row r="491" spans="1:2">
      <c r="A491" s="59"/>
      <c r="B491"/>
    </row>
    <row r="492" spans="1:2">
      <c r="A492" s="59"/>
      <c r="B492"/>
    </row>
    <row r="493" spans="1:2">
      <c r="A493" s="59"/>
      <c r="B493"/>
    </row>
    <row r="494" spans="1:2">
      <c r="A494" s="59"/>
      <c r="B494"/>
    </row>
    <row r="495" spans="1:2">
      <c r="A495" s="59"/>
      <c r="B495"/>
    </row>
    <row r="496" spans="1:2">
      <c r="A496" s="59"/>
      <c r="B496"/>
    </row>
    <row r="497" spans="1:2">
      <c r="A497" s="59"/>
      <c r="B497"/>
    </row>
    <row r="498" spans="1:2">
      <c r="A498" s="59"/>
      <c r="B498"/>
    </row>
    <row r="499" spans="1:2">
      <c r="A499" s="59"/>
      <c r="B499"/>
    </row>
    <row r="500" spans="1:2">
      <c r="A500" s="59"/>
      <c r="B500"/>
    </row>
    <row r="501" spans="1:2">
      <c r="A501" s="59"/>
      <c r="B501"/>
    </row>
    <row r="502" spans="1:2">
      <c r="A502" s="59"/>
      <c r="B502"/>
    </row>
    <row r="503" spans="1:2">
      <c r="A503" s="59"/>
      <c r="B503"/>
    </row>
    <row r="504" spans="1:2">
      <c r="A504" s="59"/>
      <c r="B504"/>
    </row>
    <row r="505" spans="1:2">
      <c r="A505" s="59"/>
      <c r="B505"/>
    </row>
    <row r="506" spans="1:2">
      <c r="A506" s="59"/>
      <c r="B506"/>
    </row>
    <row r="507" spans="1:2">
      <c r="A507" s="59"/>
      <c r="B507"/>
    </row>
    <row r="508" spans="1:2">
      <c r="A508" s="59"/>
      <c r="B508"/>
    </row>
    <row r="509" spans="1:2">
      <c r="A509" s="59"/>
      <c r="B509"/>
    </row>
    <row r="510" spans="1:2">
      <c r="A510" s="59"/>
      <c r="B510"/>
    </row>
    <row r="511" spans="1:2">
      <c r="A511" s="59"/>
      <c r="B511"/>
    </row>
    <row r="512" spans="1:2">
      <c r="A512" s="59"/>
      <c r="B512"/>
    </row>
    <row r="513" spans="1:2">
      <c r="A513" s="59"/>
      <c r="B513"/>
    </row>
    <row r="514" spans="1:2">
      <c r="A514" s="59"/>
      <c r="B514"/>
    </row>
    <row r="515" spans="1:2">
      <c r="A515" s="59"/>
      <c r="B515"/>
    </row>
    <row r="516" spans="1:2">
      <c r="A516" s="59"/>
      <c r="B516"/>
    </row>
    <row r="517" spans="1:2">
      <c r="A517" s="59"/>
      <c r="B517"/>
    </row>
    <row r="518" spans="1:2">
      <c r="A518" s="59"/>
      <c r="B518"/>
    </row>
    <row r="519" spans="1:2">
      <c r="A519" s="59"/>
      <c r="B519"/>
    </row>
    <row r="520" spans="1:2">
      <c r="A520" s="59"/>
      <c r="B520"/>
    </row>
    <row r="521" spans="1:2">
      <c r="A521" s="59"/>
      <c r="B521"/>
    </row>
    <row r="522" spans="1:2">
      <c r="A522" s="59"/>
      <c r="B522"/>
    </row>
    <row r="523" spans="1:2">
      <c r="A523" s="59"/>
      <c r="B523"/>
    </row>
    <row r="524" spans="1:2">
      <c r="A524" s="59"/>
      <c r="B524"/>
    </row>
    <row r="525" spans="1:2">
      <c r="A525" s="59"/>
      <c r="B525"/>
    </row>
    <row r="526" spans="1:2">
      <c r="A526" s="59"/>
      <c r="B526"/>
    </row>
    <row r="527" spans="1:2">
      <c r="A527" s="59"/>
      <c r="B527"/>
    </row>
    <row r="528" spans="1:2">
      <c r="A528" s="59"/>
      <c r="B528"/>
    </row>
    <row r="529" spans="1:2">
      <c r="A529" s="59"/>
      <c r="B529"/>
    </row>
    <row r="530" spans="1:2">
      <c r="A530" s="59"/>
      <c r="B530"/>
    </row>
    <row r="531" spans="1:2">
      <c r="A531" s="59"/>
      <c r="B531"/>
    </row>
    <row r="532" spans="1:2">
      <c r="A532" s="59"/>
      <c r="B532"/>
    </row>
    <row r="533" spans="1:2">
      <c r="A533" s="59"/>
      <c r="B533"/>
    </row>
    <row r="534" spans="1:2">
      <c r="A534" s="59"/>
      <c r="B534"/>
    </row>
    <row r="535" spans="1:2">
      <c r="A535" s="59"/>
      <c r="B535"/>
    </row>
    <row r="536" spans="1:2">
      <c r="A536" s="59"/>
      <c r="B536"/>
    </row>
    <row r="537" spans="1:2">
      <c r="A537" s="59"/>
      <c r="B537"/>
    </row>
    <row r="538" spans="1:2">
      <c r="A538" s="59"/>
      <c r="B538"/>
    </row>
    <row r="539" spans="1:2">
      <c r="A539" s="59"/>
      <c r="B539"/>
    </row>
    <row r="540" spans="1:2">
      <c r="A540" s="59"/>
      <c r="B540"/>
    </row>
    <row r="541" spans="1:2">
      <c r="A541" s="59"/>
      <c r="B541"/>
    </row>
    <row r="542" spans="1:2">
      <c r="A542" s="59"/>
      <c r="B542"/>
    </row>
    <row r="543" spans="1:2">
      <c r="A543" s="59"/>
      <c r="B543"/>
    </row>
    <row r="544" spans="1:2">
      <c r="A544" s="59"/>
      <c r="B544"/>
    </row>
    <row r="545" spans="1:2">
      <c r="A545" s="59"/>
      <c r="B545"/>
    </row>
    <row r="546" spans="1:2">
      <c r="A546" s="59"/>
      <c r="B546"/>
    </row>
    <row r="547" spans="1:2">
      <c r="A547" s="59"/>
      <c r="B547"/>
    </row>
    <row r="548" spans="1:2">
      <c r="A548" s="59"/>
      <c r="B548"/>
    </row>
    <row r="549" spans="1:2">
      <c r="A549" s="59"/>
      <c r="B549"/>
    </row>
    <row r="550" spans="1:2">
      <c r="A550" s="59"/>
      <c r="B550"/>
    </row>
    <row r="551" spans="1:2">
      <c r="A551" s="59"/>
      <c r="B551"/>
    </row>
    <row r="552" spans="1:2">
      <c r="A552" s="59"/>
      <c r="B552"/>
    </row>
    <row r="553" spans="1:2">
      <c r="A553" s="59"/>
      <c r="B553"/>
    </row>
    <row r="554" spans="1:2">
      <c r="A554" s="59"/>
      <c r="B554"/>
    </row>
    <row r="555" spans="1:2">
      <c r="A555" s="59"/>
      <c r="B555"/>
    </row>
    <row r="556" spans="1:2">
      <c r="A556" s="59"/>
      <c r="B556"/>
    </row>
    <row r="557" spans="1:2">
      <c r="A557" s="59"/>
      <c r="B557"/>
    </row>
    <row r="558" spans="1:2">
      <c r="A558" s="59"/>
      <c r="B558"/>
    </row>
    <row r="559" spans="1:2">
      <c r="A559" s="59"/>
      <c r="B559"/>
    </row>
    <row r="560" spans="1:2">
      <c r="A560" s="59"/>
      <c r="B560"/>
    </row>
    <row r="561" spans="1:2">
      <c r="A561" s="59"/>
      <c r="B561"/>
    </row>
    <row r="562" spans="1:2">
      <c r="A562" s="59"/>
      <c r="B562"/>
    </row>
    <row r="563" spans="1:2">
      <c r="A563" s="59"/>
      <c r="B563"/>
    </row>
    <row r="564" spans="1:2">
      <c r="A564" s="59"/>
      <c r="B564"/>
    </row>
    <row r="565" spans="1:2">
      <c r="A565" s="59"/>
      <c r="B565"/>
    </row>
    <row r="566" spans="1:2">
      <c r="A566" s="59"/>
      <c r="B566"/>
    </row>
    <row r="567" spans="1:2">
      <c r="A567" s="59"/>
      <c r="B567"/>
    </row>
    <row r="568" spans="1:2">
      <c r="A568" s="59"/>
      <c r="B568"/>
    </row>
    <row r="569" spans="1:2">
      <c r="A569" s="59"/>
      <c r="B569"/>
    </row>
    <row r="570" spans="1:2">
      <c r="A570" s="59"/>
      <c r="B570"/>
    </row>
    <row r="571" spans="1:2">
      <c r="A571" s="59"/>
      <c r="B571"/>
    </row>
    <row r="572" spans="1:2">
      <c r="A572" s="59"/>
      <c r="B572"/>
    </row>
    <row r="573" spans="1:2">
      <c r="A573" s="59"/>
      <c r="B573"/>
    </row>
    <row r="574" spans="1:2">
      <c r="A574" s="59"/>
      <c r="B574"/>
    </row>
    <row r="575" spans="1:2">
      <c r="A575" s="59"/>
      <c r="B575"/>
    </row>
    <row r="576" spans="1:2">
      <c r="A576" s="59"/>
      <c r="B576"/>
    </row>
    <row r="577" spans="1:2">
      <c r="A577" s="59"/>
      <c r="B577"/>
    </row>
    <row r="578" spans="1:2">
      <c r="A578" s="59"/>
      <c r="B578"/>
    </row>
    <row r="579" spans="1:2">
      <c r="A579" s="59"/>
      <c r="B579"/>
    </row>
    <row r="580" spans="1:2">
      <c r="A580" s="59"/>
      <c r="B580"/>
    </row>
    <row r="581" spans="1:2">
      <c r="A581" s="59"/>
      <c r="B581"/>
    </row>
    <row r="582" spans="1:2">
      <c r="A582" s="59"/>
      <c r="B582"/>
    </row>
    <row r="583" spans="1:2">
      <c r="A583" s="59"/>
      <c r="B583"/>
    </row>
    <row r="584" spans="1:2">
      <c r="A584" s="59"/>
      <c r="B584"/>
    </row>
    <row r="585" spans="1:2">
      <c r="A585" s="59"/>
      <c r="B585"/>
    </row>
    <row r="586" spans="1:2">
      <c r="A586" s="59"/>
      <c r="B586"/>
    </row>
    <row r="587" spans="1:2">
      <c r="A587" s="59"/>
      <c r="B587"/>
    </row>
    <row r="588" spans="1:2">
      <c r="A588" s="59"/>
      <c r="B588"/>
    </row>
    <row r="589" spans="1:2">
      <c r="A589" s="59"/>
      <c r="B589"/>
    </row>
    <row r="590" spans="1:2">
      <c r="A590" s="59"/>
      <c r="B590"/>
    </row>
    <row r="591" spans="1:2">
      <c r="A591" s="59"/>
      <c r="B591"/>
    </row>
    <row r="592" spans="1:2">
      <c r="A592" s="59"/>
      <c r="B592"/>
    </row>
    <row r="593" spans="1:2">
      <c r="A593" s="59"/>
      <c r="B593"/>
    </row>
    <row r="594" spans="1:2">
      <c r="A594" s="59"/>
      <c r="B594"/>
    </row>
    <row r="595" spans="1:2">
      <c r="A595" s="59"/>
      <c r="B595"/>
    </row>
    <row r="596" spans="1:2">
      <c r="A596" s="59"/>
      <c r="B596"/>
    </row>
    <row r="597" spans="1:2">
      <c r="A597" s="59"/>
      <c r="B597"/>
    </row>
    <row r="598" spans="1:2">
      <c r="A598" s="59"/>
      <c r="B598"/>
    </row>
    <row r="599" spans="1:2">
      <c r="A599" s="59"/>
      <c r="B599"/>
    </row>
    <row r="600" spans="1:2">
      <c r="A600" s="59"/>
      <c r="B600"/>
    </row>
    <row r="601" spans="1:2">
      <c r="A601" s="59"/>
      <c r="B601"/>
    </row>
    <row r="602" spans="1:2">
      <c r="A602" s="59"/>
      <c r="B602"/>
    </row>
    <row r="603" spans="1:2">
      <c r="A603" s="59"/>
      <c r="B603"/>
    </row>
    <row r="604" spans="1:2">
      <c r="A604" s="59"/>
      <c r="B604"/>
    </row>
    <row r="605" spans="1:2">
      <c r="A605" s="59"/>
      <c r="B605"/>
    </row>
    <row r="606" spans="1:2">
      <c r="A606" s="59"/>
      <c r="B606"/>
    </row>
    <row r="607" spans="1:2">
      <c r="A607" s="59"/>
      <c r="B607"/>
    </row>
    <row r="608" spans="1:2">
      <c r="A608" s="59"/>
      <c r="B608"/>
    </row>
    <row r="609" spans="1:2">
      <c r="A609" s="59"/>
      <c r="B609"/>
    </row>
    <row r="610" spans="1:2">
      <c r="A610" s="59"/>
      <c r="B610"/>
    </row>
    <row r="611" spans="1:2">
      <c r="A611" s="59"/>
      <c r="B611"/>
    </row>
    <row r="612" spans="1:2">
      <c r="A612" s="59"/>
      <c r="B612"/>
    </row>
    <row r="613" spans="1:2">
      <c r="A613" s="59"/>
      <c r="B613"/>
    </row>
    <row r="614" spans="1:2">
      <c r="A614" s="59"/>
      <c r="B614"/>
    </row>
    <row r="615" spans="1:2">
      <c r="A615" s="59"/>
      <c r="B615"/>
    </row>
    <row r="616" spans="1:2">
      <c r="A616" s="59"/>
      <c r="B616"/>
    </row>
    <row r="617" spans="1:2">
      <c r="A617" s="59"/>
      <c r="B617"/>
    </row>
    <row r="618" spans="1:2">
      <c r="A618" s="59"/>
      <c r="B618"/>
    </row>
    <row r="619" spans="1:2">
      <c r="A619" s="59"/>
      <c r="B619"/>
    </row>
    <row r="620" spans="1:2">
      <c r="A620" s="59"/>
      <c r="B620"/>
    </row>
    <row r="621" spans="1:2">
      <c r="A621" s="59"/>
      <c r="B621"/>
    </row>
    <row r="622" spans="1:2">
      <c r="A622" s="59"/>
      <c r="B622"/>
    </row>
    <row r="623" spans="1:2">
      <c r="A623" s="59"/>
      <c r="B623"/>
    </row>
    <row r="624" spans="1:2">
      <c r="A624" s="59"/>
      <c r="B624"/>
    </row>
    <row r="625" spans="1:2">
      <c r="A625" s="59"/>
      <c r="B625"/>
    </row>
    <row r="626" spans="1:2">
      <c r="A626" s="59"/>
      <c r="B626"/>
    </row>
    <row r="627" spans="1:2">
      <c r="A627" s="59"/>
      <c r="B627"/>
    </row>
    <row r="628" spans="1:2">
      <c r="A628" s="59"/>
      <c r="B628"/>
    </row>
    <row r="629" spans="1:2">
      <c r="A629" s="59"/>
      <c r="B629"/>
    </row>
    <row r="630" spans="1:2">
      <c r="A630" s="59"/>
      <c r="B630"/>
    </row>
    <row r="631" spans="1:2">
      <c r="A631" s="59"/>
      <c r="B631"/>
    </row>
    <row r="632" spans="1:2">
      <c r="A632" s="59"/>
      <c r="B632"/>
    </row>
    <row r="633" spans="1:2">
      <c r="A633" s="59"/>
      <c r="B633"/>
    </row>
    <row r="634" spans="1:2">
      <c r="A634" s="59"/>
      <c r="B634"/>
    </row>
    <row r="635" spans="1:2">
      <c r="A635" s="59"/>
      <c r="B635"/>
    </row>
    <row r="636" spans="1:2">
      <c r="A636" s="59"/>
      <c r="B636"/>
    </row>
    <row r="637" spans="1:2">
      <c r="A637" s="59"/>
      <c r="B637"/>
    </row>
    <row r="638" spans="1:2">
      <c r="A638" s="59"/>
      <c r="B638"/>
    </row>
    <row r="639" spans="1:2">
      <c r="A639" s="59"/>
      <c r="B639"/>
    </row>
    <row r="640" spans="1:2">
      <c r="A640" s="59"/>
      <c r="B640"/>
    </row>
    <row r="641" spans="1:2">
      <c r="A641" s="59"/>
      <c r="B641"/>
    </row>
    <row r="642" spans="1:2">
      <c r="A642" s="59"/>
      <c r="B642"/>
    </row>
    <row r="643" spans="1:2">
      <c r="A643" s="59"/>
      <c r="B643"/>
    </row>
    <row r="644" spans="1:2">
      <c r="A644" s="59"/>
      <c r="B644"/>
    </row>
    <row r="645" spans="1:2">
      <c r="A645" s="59"/>
      <c r="B645"/>
    </row>
    <row r="646" spans="1:2">
      <c r="A646" s="59"/>
      <c r="B646"/>
    </row>
    <row r="647" spans="1:2">
      <c r="A647" s="59"/>
      <c r="B647"/>
    </row>
    <row r="648" spans="1:2">
      <c r="A648" s="59"/>
      <c r="B648"/>
    </row>
    <row r="649" spans="1:2">
      <c r="A649" s="59"/>
      <c r="B649"/>
    </row>
    <row r="650" spans="1:2">
      <c r="A650" s="59"/>
      <c r="B650"/>
    </row>
    <row r="651" spans="1:2">
      <c r="A651" s="59"/>
      <c r="B651"/>
    </row>
    <row r="652" spans="1:2">
      <c r="A652" s="59"/>
      <c r="B652"/>
    </row>
    <row r="653" spans="1:2">
      <c r="A653" s="59"/>
      <c r="B653"/>
    </row>
    <row r="654" spans="1:2">
      <c r="A654" s="59"/>
      <c r="B654"/>
    </row>
    <row r="655" spans="1:2">
      <c r="A655" s="59"/>
      <c r="B655"/>
    </row>
    <row r="656" spans="1:2">
      <c r="A656" s="59"/>
      <c r="B656"/>
    </row>
    <row r="657" spans="1:2">
      <c r="A657" s="59"/>
      <c r="B657"/>
    </row>
    <row r="658" spans="1:2">
      <c r="A658" s="59"/>
      <c r="B658"/>
    </row>
    <row r="659" spans="1:2">
      <c r="A659" s="59"/>
      <c r="B659"/>
    </row>
    <row r="660" spans="1:2">
      <c r="A660" s="59"/>
      <c r="B660"/>
    </row>
    <row r="661" spans="1:2">
      <c r="A661" s="59"/>
      <c r="B661"/>
    </row>
    <row r="662" spans="1:2">
      <c r="A662" s="59"/>
      <c r="B662"/>
    </row>
    <row r="663" spans="1:2">
      <c r="A663" s="59"/>
      <c r="B663"/>
    </row>
    <row r="664" spans="1:2">
      <c r="A664" s="59"/>
      <c r="B664"/>
    </row>
    <row r="665" spans="1:2">
      <c r="A665" s="59"/>
      <c r="B665"/>
    </row>
    <row r="666" spans="1:2">
      <c r="A666" s="59"/>
      <c r="B666"/>
    </row>
    <row r="667" spans="1:2">
      <c r="A667" s="59"/>
      <c r="B667"/>
    </row>
    <row r="668" spans="1:2">
      <c r="A668" s="59"/>
      <c r="B668"/>
    </row>
    <row r="669" spans="1:2">
      <c r="A669" s="59"/>
      <c r="B669"/>
    </row>
    <row r="670" spans="1:2">
      <c r="A670" s="59"/>
      <c r="B670"/>
    </row>
    <row r="671" spans="1:2">
      <c r="A671" s="59"/>
      <c r="B671"/>
    </row>
    <row r="672" spans="1:2">
      <c r="A672" s="59"/>
      <c r="B672"/>
    </row>
    <row r="673" spans="1:2">
      <c r="A673" s="59"/>
      <c r="B673"/>
    </row>
    <row r="674" spans="1:2">
      <c r="A674" s="59"/>
      <c r="B674"/>
    </row>
    <row r="675" spans="1:2">
      <c r="A675" s="59"/>
      <c r="B675"/>
    </row>
    <row r="676" spans="1:2">
      <c r="A676" s="59"/>
      <c r="B676"/>
    </row>
    <row r="677" spans="1:2">
      <c r="A677" s="59"/>
      <c r="B677"/>
    </row>
    <row r="678" spans="1:2">
      <c r="A678" s="59"/>
      <c r="B678"/>
    </row>
    <row r="679" spans="1:2">
      <c r="A679" s="59"/>
      <c r="B679"/>
    </row>
    <row r="680" spans="1:2">
      <c r="A680" s="59"/>
      <c r="B680"/>
    </row>
    <row r="681" spans="1:2">
      <c r="A681" s="59"/>
      <c r="B681"/>
    </row>
    <row r="682" spans="1:2">
      <c r="A682" s="59"/>
      <c r="B682"/>
    </row>
    <row r="683" spans="1:2">
      <c r="A683" s="59"/>
      <c r="B683"/>
    </row>
    <row r="684" spans="1:2">
      <c r="A684" s="59"/>
      <c r="B684"/>
    </row>
    <row r="685" spans="1:2">
      <c r="A685" s="59"/>
      <c r="B685"/>
    </row>
    <row r="686" spans="1:2">
      <c r="A686" s="59"/>
      <c r="B686"/>
    </row>
    <row r="687" spans="1:2">
      <c r="A687" s="59"/>
      <c r="B687"/>
    </row>
    <row r="688" spans="1:2">
      <c r="A688" s="59"/>
      <c r="B688"/>
    </row>
    <row r="689" spans="1:2">
      <c r="A689" s="59"/>
      <c r="B689"/>
    </row>
    <row r="690" spans="1:2">
      <c r="A690" s="59"/>
      <c r="B690"/>
    </row>
    <row r="691" spans="1:2">
      <c r="A691" s="59"/>
      <c r="B691"/>
    </row>
    <row r="692" spans="1:2">
      <c r="A692" s="59"/>
      <c r="B692"/>
    </row>
    <row r="693" spans="1:2">
      <c r="A693" s="59"/>
      <c r="B693"/>
    </row>
    <row r="694" spans="1:2">
      <c r="A694" s="59"/>
      <c r="B694"/>
    </row>
    <row r="695" spans="1:2">
      <c r="A695" s="59"/>
      <c r="B695"/>
    </row>
    <row r="696" spans="1:2">
      <c r="A696" s="59"/>
      <c r="B696"/>
    </row>
    <row r="697" spans="1:2">
      <c r="A697" s="59"/>
      <c r="B697"/>
    </row>
    <row r="698" spans="1:2">
      <c r="A698" s="59"/>
      <c r="B698"/>
    </row>
    <row r="699" spans="1:2">
      <c r="A699" s="59"/>
      <c r="B699"/>
    </row>
    <row r="700" spans="1:2">
      <c r="A700" s="59"/>
      <c r="B700"/>
    </row>
    <row r="701" spans="1:2">
      <c r="A701" s="59"/>
      <c r="B701"/>
    </row>
    <row r="702" spans="1:2">
      <c r="A702" s="59"/>
      <c r="B702"/>
    </row>
    <row r="703" spans="1:2">
      <c r="A703" s="59"/>
      <c r="B703"/>
    </row>
    <row r="704" spans="1:2">
      <c r="A704" s="59"/>
      <c r="B704"/>
    </row>
    <row r="705" spans="1:2">
      <c r="A705" s="59"/>
      <c r="B705"/>
    </row>
    <row r="706" spans="1:2">
      <c r="A706" s="59"/>
      <c r="B706"/>
    </row>
    <row r="707" spans="1:2">
      <c r="A707" s="59"/>
      <c r="B707"/>
    </row>
    <row r="708" spans="1:2">
      <c r="A708" s="59"/>
      <c r="B708"/>
    </row>
    <row r="709" spans="1:2">
      <c r="A709" s="59"/>
      <c r="B709"/>
    </row>
    <row r="710" spans="1:2">
      <c r="A710" s="59"/>
      <c r="B710"/>
    </row>
    <row r="711" spans="1:2">
      <c r="A711" s="59"/>
      <c r="B711"/>
    </row>
    <row r="712" spans="1:2">
      <c r="A712" s="59"/>
      <c r="B712"/>
    </row>
    <row r="713" spans="1:2">
      <c r="A713" s="59"/>
      <c r="B713"/>
    </row>
    <row r="714" spans="1:2">
      <c r="A714" s="59"/>
      <c r="B714"/>
    </row>
    <row r="715" spans="1:2">
      <c r="A715" s="59"/>
      <c r="B715"/>
    </row>
    <row r="716" spans="1:2">
      <c r="A716" s="59"/>
      <c r="B716"/>
    </row>
    <row r="717" spans="1:2">
      <c r="A717" s="59"/>
      <c r="B717"/>
    </row>
    <row r="718" spans="1:2">
      <c r="A718" s="59"/>
      <c r="B718"/>
    </row>
    <row r="719" spans="1:2">
      <c r="A719" s="59"/>
      <c r="B719"/>
    </row>
    <row r="720" spans="1:2">
      <c r="A720" s="59"/>
      <c r="B720"/>
    </row>
    <row r="721" spans="1:2">
      <c r="A721" s="59"/>
      <c r="B721"/>
    </row>
    <row r="722" spans="1:2">
      <c r="A722" s="59"/>
      <c r="B722"/>
    </row>
    <row r="723" spans="1:2">
      <c r="A723" s="59"/>
      <c r="B723"/>
    </row>
    <row r="724" spans="1:2">
      <c r="A724" s="59"/>
      <c r="B724"/>
    </row>
    <row r="725" spans="1:2">
      <c r="A725" s="59"/>
      <c r="B725"/>
    </row>
    <row r="726" spans="1:2">
      <c r="A726" s="59"/>
      <c r="B726"/>
    </row>
    <row r="727" spans="1:2">
      <c r="A727" s="59"/>
      <c r="B727"/>
    </row>
    <row r="728" spans="1:2">
      <c r="A728" s="59"/>
      <c r="B728"/>
    </row>
    <row r="729" spans="1:2">
      <c r="A729" s="59"/>
      <c r="B729"/>
    </row>
    <row r="730" spans="1:2">
      <c r="A730" s="59"/>
      <c r="B730"/>
    </row>
    <row r="731" spans="1:2">
      <c r="A731" s="59"/>
      <c r="B731"/>
    </row>
    <row r="732" spans="1:2">
      <c r="A732" s="59"/>
      <c r="B732"/>
    </row>
    <row r="733" spans="1:2">
      <c r="A733" s="59"/>
      <c r="B733"/>
    </row>
    <row r="734" spans="1:2">
      <c r="A734" s="59"/>
      <c r="B734"/>
    </row>
    <row r="735" spans="1:2">
      <c r="A735" s="59"/>
      <c r="B735"/>
    </row>
    <row r="736" spans="1:2">
      <c r="A736" s="59"/>
      <c r="B736"/>
    </row>
    <row r="737" spans="1:2">
      <c r="A737" s="59"/>
      <c r="B737"/>
    </row>
    <row r="738" spans="1:2">
      <c r="A738" s="59"/>
      <c r="B738"/>
    </row>
    <row r="739" spans="1:2">
      <c r="A739" s="59"/>
      <c r="B739"/>
    </row>
    <row r="740" spans="1:2">
      <c r="A740" s="59"/>
      <c r="B740"/>
    </row>
    <row r="741" spans="1:2">
      <c r="A741" s="59"/>
      <c r="B741"/>
    </row>
    <row r="742" spans="1:2">
      <c r="A742" s="59"/>
      <c r="B742"/>
    </row>
    <row r="743" spans="1:2">
      <c r="A743" s="59"/>
      <c r="B743"/>
    </row>
    <row r="744" spans="1:2">
      <c r="A744" s="59"/>
      <c r="B744"/>
    </row>
    <row r="745" spans="1:2">
      <c r="A745" s="59"/>
      <c r="B745"/>
    </row>
    <row r="746" spans="1:2">
      <c r="A746" s="59"/>
      <c r="B746"/>
    </row>
    <row r="747" spans="1:2">
      <c r="A747" s="59"/>
      <c r="B747"/>
    </row>
    <row r="748" spans="1:2">
      <c r="A748" s="59"/>
      <c r="B748"/>
    </row>
    <row r="749" spans="1:2">
      <c r="A749" s="59"/>
      <c r="B749"/>
    </row>
    <row r="750" spans="1:2">
      <c r="A750" s="59"/>
      <c r="B750"/>
    </row>
    <row r="751" spans="1:2">
      <c r="A751" s="59"/>
      <c r="B751"/>
    </row>
    <row r="752" spans="1:2">
      <c r="A752" s="59"/>
      <c r="B752"/>
    </row>
    <row r="753" spans="1:2">
      <c r="A753" s="59"/>
      <c r="B753"/>
    </row>
    <row r="754" spans="1:2">
      <c r="A754" s="59"/>
      <c r="B754"/>
    </row>
    <row r="755" spans="1:2">
      <c r="A755" s="59"/>
      <c r="B755"/>
    </row>
    <row r="756" spans="1:2">
      <c r="A756" s="59"/>
      <c r="B756"/>
    </row>
    <row r="757" spans="1:2">
      <c r="A757" s="59"/>
      <c r="B757"/>
    </row>
    <row r="758" spans="1:2">
      <c r="A758" s="59"/>
      <c r="B758"/>
    </row>
    <row r="759" spans="1:2">
      <c r="A759" s="59"/>
      <c r="B759"/>
    </row>
    <row r="760" spans="1:2">
      <c r="A760" s="59"/>
      <c r="B760"/>
    </row>
    <row r="761" spans="1:2">
      <c r="A761" s="59"/>
      <c r="B761"/>
    </row>
    <row r="762" spans="1:2">
      <c r="A762" s="59"/>
      <c r="B762"/>
    </row>
    <row r="763" spans="1:2">
      <c r="A763" s="59"/>
      <c r="B763"/>
    </row>
    <row r="764" spans="1:2">
      <c r="A764" s="59"/>
      <c r="B764"/>
    </row>
    <row r="765" spans="1:2">
      <c r="A765" s="59"/>
      <c r="B765"/>
    </row>
    <row r="766" spans="1:2">
      <c r="A766" s="59"/>
      <c r="B766"/>
    </row>
    <row r="767" spans="1:2">
      <c r="A767" s="59"/>
      <c r="B767"/>
    </row>
    <row r="768" spans="1:2">
      <c r="A768" s="59"/>
      <c r="B768"/>
    </row>
    <row r="769" spans="1:2">
      <c r="A769" s="59"/>
      <c r="B769"/>
    </row>
    <row r="770" spans="1:2">
      <c r="A770" s="59"/>
      <c r="B770"/>
    </row>
    <row r="771" spans="1:2">
      <c r="A771" s="59"/>
      <c r="B771"/>
    </row>
    <row r="772" spans="1:2">
      <c r="A772" s="59"/>
      <c r="B772"/>
    </row>
    <row r="773" spans="1:2">
      <c r="A773" s="59"/>
      <c r="B773"/>
    </row>
    <row r="774" spans="1:2">
      <c r="A774" s="59"/>
      <c r="B774"/>
    </row>
    <row r="775" spans="1:2">
      <c r="A775" s="59"/>
      <c r="B775"/>
    </row>
    <row r="776" spans="1:2">
      <c r="A776" s="59"/>
      <c r="B776"/>
    </row>
    <row r="777" spans="1:2">
      <c r="A777" s="59"/>
      <c r="B777"/>
    </row>
    <row r="778" spans="1:2">
      <c r="A778" s="59"/>
      <c r="B778"/>
    </row>
    <row r="779" spans="1:2">
      <c r="A779" s="59"/>
      <c r="B779"/>
    </row>
    <row r="780" spans="1:2">
      <c r="A780" s="59"/>
      <c r="B780"/>
    </row>
    <row r="781" spans="1:2">
      <c r="A781" s="59"/>
      <c r="B781"/>
    </row>
    <row r="782" spans="1:2">
      <c r="A782" s="59"/>
      <c r="B782"/>
    </row>
    <row r="783" spans="1:2">
      <c r="A783" s="59"/>
      <c r="B783"/>
    </row>
    <row r="784" spans="1:2">
      <c r="A784" s="59"/>
      <c r="B784"/>
    </row>
    <row r="785" spans="1:2">
      <c r="A785" s="59"/>
      <c r="B785"/>
    </row>
    <row r="786" spans="1:2">
      <c r="A786" s="59"/>
      <c r="B786"/>
    </row>
    <row r="787" spans="1:2">
      <c r="A787" s="59"/>
      <c r="B787"/>
    </row>
    <row r="788" spans="1:2">
      <c r="A788" s="59"/>
      <c r="B788"/>
    </row>
    <row r="789" spans="1:2">
      <c r="A789" s="59"/>
      <c r="B789"/>
    </row>
    <row r="790" spans="1:2">
      <c r="A790" s="59"/>
      <c r="B790"/>
    </row>
    <row r="791" spans="1:2">
      <c r="A791" s="59"/>
      <c r="B791"/>
    </row>
    <row r="792" spans="1:2">
      <c r="A792" s="59"/>
      <c r="B792"/>
    </row>
    <row r="793" spans="1:2">
      <c r="A793" s="59"/>
      <c r="B793"/>
    </row>
    <row r="794" spans="1:2">
      <c r="A794" s="59"/>
      <c r="B794"/>
    </row>
    <row r="795" spans="1:2">
      <c r="A795" s="59"/>
      <c r="B795"/>
    </row>
    <row r="796" spans="1:2">
      <c r="A796" s="59"/>
      <c r="B796"/>
    </row>
    <row r="797" spans="1:2">
      <c r="A797" s="59"/>
      <c r="B797"/>
    </row>
    <row r="798" spans="1:2">
      <c r="A798" s="59"/>
      <c r="B798"/>
    </row>
    <row r="799" spans="1:2">
      <c r="A799" s="59"/>
      <c r="B799"/>
    </row>
    <row r="800" spans="1:2">
      <c r="A800" s="59"/>
      <c r="B800"/>
    </row>
    <row r="801" spans="1:2">
      <c r="A801" s="59"/>
      <c r="B801"/>
    </row>
    <row r="802" spans="1:2">
      <c r="A802" s="59"/>
      <c r="B802"/>
    </row>
    <row r="803" spans="1:2">
      <c r="A803" s="59"/>
      <c r="B803"/>
    </row>
    <row r="804" spans="1:2">
      <c r="A804" s="59"/>
      <c r="B804"/>
    </row>
    <row r="805" spans="1:2">
      <c r="A805" s="59"/>
      <c r="B805"/>
    </row>
    <row r="806" spans="1:2">
      <c r="A806" s="59"/>
      <c r="B806"/>
    </row>
    <row r="807" spans="1:2">
      <c r="A807" s="59"/>
      <c r="B807"/>
    </row>
    <row r="808" spans="1:2">
      <c r="A808" s="59"/>
      <c r="B808"/>
    </row>
    <row r="809" spans="1:2">
      <c r="A809" s="59"/>
      <c r="B809"/>
    </row>
    <row r="810" spans="1:2">
      <c r="A810" s="59"/>
      <c r="B810"/>
    </row>
    <row r="811" spans="1:2">
      <c r="A811" s="59"/>
      <c r="B811"/>
    </row>
    <row r="812" spans="1:2">
      <c r="A812" s="59"/>
      <c r="B812"/>
    </row>
    <row r="813" spans="1:2">
      <c r="A813" s="59"/>
      <c r="B813"/>
    </row>
    <row r="814" spans="1:2">
      <c r="A814" s="59"/>
      <c r="B814"/>
    </row>
    <row r="815" spans="1:2">
      <c r="A815" s="59"/>
      <c r="B815"/>
    </row>
    <row r="816" spans="1:2">
      <c r="A816" s="59"/>
      <c r="B816"/>
    </row>
    <row r="817" spans="1:2">
      <c r="A817" s="59"/>
      <c r="B817"/>
    </row>
    <row r="818" spans="1:2">
      <c r="A818" s="59"/>
      <c r="B818"/>
    </row>
    <row r="819" spans="1:2">
      <c r="A819" s="59"/>
      <c r="B819"/>
    </row>
    <row r="820" spans="1:2">
      <c r="A820" s="59"/>
      <c r="B820"/>
    </row>
    <row r="821" spans="1:2">
      <c r="A821" s="59"/>
      <c r="B821"/>
    </row>
    <row r="822" spans="1:2">
      <c r="A822" s="59"/>
      <c r="B822"/>
    </row>
    <row r="823" spans="1:2">
      <c r="A823" s="59"/>
      <c r="B823"/>
    </row>
    <row r="824" spans="1:2">
      <c r="A824" s="59"/>
      <c r="B824"/>
    </row>
    <row r="825" spans="1:2">
      <c r="A825" s="59"/>
      <c r="B825"/>
    </row>
    <row r="826" spans="1:2">
      <c r="A826" s="59"/>
      <c r="B826"/>
    </row>
    <row r="827" spans="1:2">
      <c r="A827" s="59"/>
      <c r="B827"/>
    </row>
    <row r="828" spans="1:2">
      <c r="A828" s="59"/>
      <c r="B828"/>
    </row>
    <row r="829" spans="1:2">
      <c r="A829" s="59"/>
      <c r="B829"/>
    </row>
    <row r="830" spans="1:2">
      <c r="A830" s="59"/>
      <c r="B830"/>
    </row>
    <row r="831" spans="1:2">
      <c r="A831" s="59"/>
      <c r="B831"/>
    </row>
    <row r="832" spans="1:2">
      <c r="A832" s="59"/>
      <c r="B832"/>
    </row>
    <row r="833" spans="1:2">
      <c r="A833" s="59"/>
      <c r="B833"/>
    </row>
    <row r="834" spans="1:2">
      <c r="A834" s="59"/>
      <c r="B834"/>
    </row>
    <row r="835" spans="1:2">
      <c r="A835" s="59"/>
      <c r="B835"/>
    </row>
    <row r="836" spans="1:2">
      <c r="A836" s="59"/>
      <c r="B836"/>
    </row>
    <row r="837" spans="1:2">
      <c r="A837" s="59"/>
      <c r="B837"/>
    </row>
    <row r="838" spans="1:2">
      <c r="A838" s="59"/>
      <c r="B838"/>
    </row>
    <row r="839" spans="1:2">
      <c r="A839" s="59"/>
      <c r="B839"/>
    </row>
    <row r="840" spans="1:2">
      <c r="A840" s="59"/>
      <c r="B840"/>
    </row>
    <row r="841" spans="1:2">
      <c r="A841" s="59"/>
      <c r="B841"/>
    </row>
    <row r="842" spans="1:2">
      <c r="A842" s="59"/>
      <c r="B842"/>
    </row>
    <row r="843" spans="1:2">
      <c r="A843" s="59"/>
      <c r="B843"/>
    </row>
    <row r="844" spans="1:2">
      <c r="A844" s="59"/>
      <c r="B844"/>
    </row>
    <row r="845" spans="1:2">
      <c r="A845" s="59"/>
      <c r="B845"/>
    </row>
    <row r="846" spans="1:2">
      <c r="A846" s="59"/>
      <c r="B846"/>
    </row>
    <row r="847" spans="1:2">
      <c r="A847" s="59"/>
      <c r="B847"/>
    </row>
    <row r="848" spans="1:2">
      <c r="A848" s="59"/>
      <c r="B848"/>
    </row>
    <row r="849" spans="1:2">
      <c r="A849" s="59"/>
      <c r="B849"/>
    </row>
    <row r="850" spans="1:2">
      <c r="A850" s="59"/>
      <c r="B850"/>
    </row>
    <row r="851" spans="1:2">
      <c r="A851" s="59"/>
      <c r="B851"/>
    </row>
    <row r="852" spans="1:2">
      <c r="A852" s="59"/>
      <c r="B852"/>
    </row>
    <row r="853" spans="1:2">
      <c r="A853" s="59"/>
      <c r="B853"/>
    </row>
    <row r="854" spans="1:2">
      <c r="A854" s="59"/>
      <c r="B854"/>
    </row>
    <row r="855" spans="1:2">
      <c r="A855" s="59"/>
      <c r="B855"/>
    </row>
    <row r="856" spans="1:2">
      <c r="A856" s="59"/>
      <c r="B856"/>
    </row>
    <row r="857" spans="1:2">
      <c r="A857" s="59"/>
      <c r="B857"/>
    </row>
    <row r="858" spans="1:2">
      <c r="A858" s="59"/>
      <c r="B858"/>
    </row>
    <row r="859" spans="1:2">
      <c r="A859" s="59"/>
      <c r="B859"/>
    </row>
    <row r="860" spans="1:2">
      <c r="A860" s="59"/>
      <c r="B860"/>
    </row>
    <row r="861" spans="1:2">
      <c r="A861" s="59"/>
      <c r="B861"/>
    </row>
    <row r="862" spans="1:2">
      <c r="A862" s="59"/>
      <c r="B862"/>
    </row>
    <row r="863" spans="1:2">
      <c r="A863" s="59"/>
      <c r="B863"/>
    </row>
    <row r="864" spans="1:2">
      <c r="A864" s="59"/>
      <c r="B864"/>
    </row>
    <row r="865" spans="1:2">
      <c r="A865" s="59"/>
      <c r="B865"/>
    </row>
    <row r="866" spans="1:2">
      <c r="A866" s="59"/>
      <c r="B866"/>
    </row>
    <row r="867" spans="1:2">
      <c r="A867" s="59"/>
      <c r="B867"/>
    </row>
    <row r="868" spans="1:2">
      <c r="A868" s="59"/>
      <c r="B868"/>
    </row>
    <row r="869" spans="1:2">
      <c r="A869" s="59"/>
      <c r="B869"/>
    </row>
    <row r="870" spans="1:2">
      <c r="A870" s="59"/>
      <c r="B870"/>
    </row>
    <row r="871" spans="1:2">
      <c r="A871" s="59"/>
      <c r="B871"/>
    </row>
    <row r="872" spans="1:2">
      <c r="A872" s="59"/>
      <c r="B872"/>
    </row>
    <row r="873" spans="1:2">
      <c r="A873" s="59"/>
      <c r="B873"/>
    </row>
    <row r="874" spans="1:2">
      <c r="A874" s="59"/>
      <c r="B874"/>
    </row>
    <row r="875" spans="1:2">
      <c r="A875" s="59"/>
      <c r="B875"/>
    </row>
    <row r="876" spans="1:2">
      <c r="A876" s="59"/>
      <c r="B876"/>
    </row>
    <row r="877" spans="1:2">
      <c r="A877" s="59"/>
      <c r="B877"/>
    </row>
    <row r="878" spans="1:2">
      <c r="A878" s="59"/>
      <c r="B878"/>
    </row>
    <row r="879" spans="1:2">
      <c r="A879" s="59"/>
      <c r="B879"/>
    </row>
    <row r="880" spans="1:2">
      <c r="A880" s="59"/>
      <c r="B880"/>
    </row>
    <row r="881" spans="1:2">
      <c r="A881" s="59"/>
      <c r="B881"/>
    </row>
    <row r="882" spans="1:2">
      <c r="A882" s="59"/>
      <c r="B882"/>
    </row>
    <row r="883" spans="1:2">
      <c r="A883" s="59"/>
      <c r="B883"/>
    </row>
    <row r="884" spans="1:2">
      <c r="A884" s="59"/>
      <c r="B884"/>
    </row>
    <row r="885" spans="1:2">
      <c r="A885" s="59"/>
      <c r="B885"/>
    </row>
    <row r="886" spans="1:2">
      <c r="A886" s="59"/>
      <c r="B886"/>
    </row>
    <row r="887" spans="1:2">
      <c r="A887" s="59"/>
      <c r="B887"/>
    </row>
    <row r="888" spans="1:2">
      <c r="A888" s="59"/>
      <c r="B888"/>
    </row>
    <row r="889" spans="1:2">
      <c r="A889" s="59"/>
      <c r="B889"/>
    </row>
    <row r="890" spans="1:2">
      <c r="A890" s="59"/>
      <c r="B890"/>
    </row>
    <row r="891" spans="1:2">
      <c r="A891" s="59"/>
      <c r="B891"/>
    </row>
    <row r="892" spans="1:2">
      <c r="A892" s="59"/>
      <c r="B892"/>
    </row>
    <row r="893" spans="1:2">
      <c r="A893" s="59"/>
      <c r="B893"/>
    </row>
    <row r="894" spans="1:2">
      <c r="A894" s="59"/>
      <c r="B894"/>
    </row>
    <row r="895" spans="1:2">
      <c r="A895" s="59"/>
      <c r="B895"/>
    </row>
    <row r="896" spans="1:2">
      <c r="A896" s="59"/>
      <c r="B896"/>
    </row>
    <row r="897" spans="1:2">
      <c r="A897" s="59"/>
      <c r="B897"/>
    </row>
    <row r="898" spans="1:2">
      <c r="A898" s="59"/>
      <c r="B898"/>
    </row>
    <row r="899" spans="1:2">
      <c r="A899" s="59"/>
      <c r="B899"/>
    </row>
    <row r="900" spans="1:2">
      <c r="A900" s="59"/>
      <c r="B900"/>
    </row>
    <row r="901" spans="1:2">
      <c r="A901" s="59"/>
      <c r="B901"/>
    </row>
    <row r="902" spans="1:2">
      <c r="A902" s="59"/>
      <c r="B902"/>
    </row>
    <row r="903" spans="1:2">
      <c r="A903" s="59"/>
      <c r="B903"/>
    </row>
    <row r="904" spans="1:2">
      <c r="A904" s="59"/>
      <c r="B904"/>
    </row>
    <row r="905" spans="1:2">
      <c r="A905" s="59"/>
      <c r="B905"/>
    </row>
    <row r="906" spans="1:2">
      <c r="A906" s="59"/>
      <c r="B906"/>
    </row>
    <row r="907" spans="1:2">
      <c r="A907" s="59"/>
      <c r="B907"/>
    </row>
    <row r="908" spans="1:2">
      <c r="A908" s="59"/>
      <c r="B908"/>
    </row>
    <row r="909" spans="1:2">
      <c r="A909" s="59"/>
      <c r="B909"/>
    </row>
    <row r="910" spans="1:2">
      <c r="A910" s="59"/>
      <c r="B910"/>
    </row>
    <row r="911" spans="1:2">
      <c r="A911" s="59"/>
      <c r="B911"/>
    </row>
    <row r="912" spans="1:2">
      <c r="A912" s="59"/>
      <c r="B912"/>
    </row>
    <row r="913" spans="1:2">
      <c r="A913" s="59"/>
      <c r="B913"/>
    </row>
    <row r="914" spans="1:2">
      <c r="A914" s="59"/>
      <c r="B914"/>
    </row>
    <row r="915" spans="1:2">
      <c r="A915" s="59"/>
      <c r="B915"/>
    </row>
    <row r="916" spans="1:2">
      <c r="A916" s="59"/>
      <c r="B916"/>
    </row>
    <row r="917" spans="1:2">
      <c r="A917" s="59"/>
      <c r="B917"/>
    </row>
    <row r="918" spans="1:2">
      <c r="A918" s="59"/>
      <c r="B918"/>
    </row>
    <row r="919" spans="1:2">
      <c r="A919" s="59"/>
      <c r="B919"/>
    </row>
    <row r="920" spans="1:2">
      <c r="A920" s="59"/>
      <c r="B920"/>
    </row>
    <row r="921" spans="1:2">
      <c r="A921" s="59"/>
      <c r="B921"/>
    </row>
    <row r="922" spans="1:2">
      <c r="A922" s="59"/>
      <c r="B922"/>
    </row>
    <row r="923" spans="1:2">
      <c r="A923" s="59"/>
      <c r="B923"/>
    </row>
    <row r="924" spans="1:2">
      <c r="A924" s="59"/>
      <c r="B924"/>
    </row>
    <row r="925" spans="1:2">
      <c r="A925" s="59"/>
      <c r="B925"/>
    </row>
    <row r="926" spans="1:2">
      <c r="A926" s="59"/>
      <c r="B926"/>
    </row>
    <row r="927" spans="1:2">
      <c r="A927" s="59"/>
      <c r="B927"/>
    </row>
    <row r="928" spans="1:2">
      <c r="A928" s="59"/>
      <c r="B928"/>
    </row>
    <row r="929" spans="1:2">
      <c r="A929" s="59"/>
      <c r="B929"/>
    </row>
    <row r="930" spans="1:2">
      <c r="A930" s="59"/>
      <c r="B930"/>
    </row>
    <row r="931" spans="1:2">
      <c r="A931" s="59"/>
      <c r="B931"/>
    </row>
    <row r="932" spans="1:2">
      <c r="A932" s="59"/>
      <c r="B932"/>
    </row>
    <row r="933" spans="1:2">
      <c r="A933" s="59"/>
      <c r="B933"/>
    </row>
    <row r="934" spans="1:2">
      <c r="A934" s="59"/>
      <c r="B934"/>
    </row>
    <row r="935" spans="1:2">
      <c r="A935" s="59"/>
      <c r="B935"/>
    </row>
    <row r="936" spans="1:2">
      <c r="A936" s="59"/>
      <c r="B936"/>
    </row>
    <row r="937" spans="1:2">
      <c r="A937" s="59"/>
      <c r="B937"/>
    </row>
    <row r="938" spans="1:2">
      <c r="A938" s="59"/>
      <c r="B938"/>
    </row>
    <row r="939" spans="1:2">
      <c r="A939" s="59"/>
      <c r="B939"/>
    </row>
    <row r="940" spans="1:2">
      <c r="A940" s="59"/>
      <c r="B940"/>
    </row>
    <row r="941" spans="1:2">
      <c r="A941" s="59"/>
      <c r="B941"/>
    </row>
    <row r="942" spans="1:2">
      <c r="A942" s="59"/>
      <c r="B942"/>
    </row>
    <row r="943" spans="1:2">
      <c r="A943" s="59"/>
      <c r="B943"/>
    </row>
    <row r="944" spans="1:2">
      <c r="A944" s="59"/>
      <c r="B944"/>
    </row>
    <row r="945" spans="1:2">
      <c r="A945" s="59"/>
      <c r="B945"/>
    </row>
    <row r="946" spans="1:2">
      <c r="A946" s="59"/>
      <c r="B946"/>
    </row>
    <row r="947" spans="1:2">
      <c r="A947" s="59"/>
      <c r="B947"/>
    </row>
    <row r="948" spans="1:2">
      <c r="A948" s="59"/>
      <c r="B948"/>
    </row>
    <row r="949" spans="1:2">
      <c r="A949" s="59"/>
      <c r="B949"/>
    </row>
    <row r="950" spans="1:2">
      <c r="A950" s="59"/>
      <c r="B950"/>
    </row>
    <row r="951" spans="1:2">
      <c r="A951" s="59"/>
      <c r="B951"/>
    </row>
    <row r="952" spans="1:2">
      <c r="A952" s="59"/>
      <c r="B952"/>
    </row>
    <row r="953" spans="1:2">
      <c r="A953" s="59"/>
      <c r="B953"/>
    </row>
    <row r="954" spans="1:2">
      <c r="A954" s="59"/>
      <c r="B954"/>
    </row>
    <row r="955" spans="1:2">
      <c r="A955" s="59"/>
      <c r="B955"/>
    </row>
    <row r="956" spans="1:2">
      <c r="A956" s="59"/>
      <c r="B956"/>
    </row>
    <row r="957" spans="1:2">
      <c r="A957" s="59"/>
      <c r="B957"/>
    </row>
    <row r="958" spans="1:2">
      <c r="A958" s="59"/>
      <c r="B958"/>
    </row>
    <row r="959" spans="1:2">
      <c r="A959" s="59"/>
      <c r="B959"/>
    </row>
    <row r="960" spans="1:2">
      <c r="A960" s="59"/>
      <c r="B960"/>
    </row>
    <row r="961" spans="1:2">
      <c r="A961" s="59"/>
      <c r="B961"/>
    </row>
    <row r="962" spans="1:2">
      <c r="A962" s="59"/>
      <c r="B962"/>
    </row>
    <row r="963" spans="1:2">
      <c r="A963" s="59"/>
      <c r="B963"/>
    </row>
    <row r="964" spans="1:2">
      <c r="A964" s="59"/>
      <c r="B964"/>
    </row>
    <row r="965" spans="1:2">
      <c r="A965" s="59"/>
      <c r="B965"/>
    </row>
    <row r="966" spans="1:2">
      <c r="A966" s="59"/>
      <c r="B966"/>
    </row>
    <row r="967" spans="1:2">
      <c r="A967" s="59"/>
      <c r="B967"/>
    </row>
    <row r="968" spans="1:2">
      <c r="A968" s="59"/>
      <c r="B968"/>
    </row>
    <row r="969" spans="1:2">
      <c r="A969" s="59"/>
      <c r="B969"/>
    </row>
    <row r="970" spans="1:2">
      <c r="A970" s="59"/>
      <c r="B970"/>
    </row>
    <row r="971" spans="1:2">
      <c r="A971" s="59"/>
      <c r="B971"/>
    </row>
    <row r="972" spans="1:2">
      <c r="A972" s="59"/>
      <c r="B972"/>
    </row>
    <row r="973" spans="1:2">
      <c r="A973" s="59"/>
      <c r="B973"/>
    </row>
    <row r="974" spans="1:2">
      <c r="A974" s="59"/>
      <c r="B974"/>
    </row>
    <row r="975" spans="1:2">
      <c r="A975" s="59"/>
      <c r="B975"/>
    </row>
    <row r="976" spans="1:2">
      <c r="A976" s="59"/>
      <c r="B976"/>
    </row>
    <row r="977" spans="1:2">
      <c r="A977" s="59"/>
      <c r="B977"/>
    </row>
    <row r="978" spans="1:2">
      <c r="A978" s="59"/>
      <c r="B978"/>
    </row>
    <row r="979" spans="1:2">
      <c r="A979" s="59"/>
      <c r="B979"/>
    </row>
    <row r="980" spans="1:2">
      <c r="A980" s="59"/>
      <c r="B980"/>
    </row>
    <row r="981" spans="1:2">
      <c r="A981" s="59"/>
      <c r="B981"/>
    </row>
    <row r="982" spans="1:2">
      <c r="A982" s="59"/>
      <c r="B982"/>
    </row>
    <row r="983" spans="1:2">
      <c r="A983" s="59"/>
      <c r="B983"/>
    </row>
    <row r="984" spans="1:2">
      <c r="A984" s="59"/>
      <c r="B984"/>
    </row>
    <row r="985" spans="1:2">
      <c r="A985" s="59"/>
      <c r="B985"/>
    </row>
    <row r="986" spans="1:2">
      <c r="A986" s="59"/>
      <c r="B986"/>
    </row>
    <row r="987" spans="1:2">
      <c r="A987" s="59"/>
      <c r="B987"/>
    </row>
    <row r="988" spans="1:2">
      <c r="A988" s="59"/>
      <c r="B988"/>
    </row>
    <row r="989" spans="1:2">
      <c r="A989" s="59"/>
      <c r="B989"/>
    </row>
    <row r="990" spans="1:2">
      <c r="A990" s="59"/>
      <c r="B990"/>
    </row>
    <row r="991" spans="1:2">
      <c r="A991" s="59"/>
      <c r="B991"/>
    </row>
    <row r="992" spans="1:2">
      <c r="A992" s="59"/>
      <c r="B992"/>
    </row>
    <row r="993" spans="1:2">
      <c r="A993" s="59"/>
      <c r="B993"/>
    </row>
    <row r="994" spans="1:2">
      <c r="A994" s="59"/>
      <c r="B994"/>
    </row>
    <row r="995" spans="1:2">
      <c r="A995" s="59"/>
      <c r="B995"/>
    </row>
    <row r="996" spans="1:2">
      <c r="A996" s="59"/>
      <c r="B996"/>
    </row>
    <row r="997" spans="1:2">
      <c r="A997" s="59"/>
      <c r="B997"/>
    </row>
    <row r="998" spans="1:2">
      <c r="A998" s="59"/>
      <c r="B998"/>
    </row>
    <row r="999" spans="1:2">
      <c r="A999" s="59"/>
      <c r="B999"/>
    </row>
    <row r="1000" spans="1:2">
      <c r="A1000" s="59"/>
      <c r="B1000"/>
    </row>
    <row r="1001" spans="1:2">
      <c r="A1001" s="59"/>
      <c r="B1001"/>
    </row>
    <row r="1002" spans="1:2">
      <c r="A1002" s="59"/>
      <c r="B1002"/>
    </row>
    <row r="1003" spans="1:2">
      <c r="A1003" s="59"/>
      <c r="B1003"/>
    </row>
    <row r="1004" spans="1:2">
      <c r="A1004" s="59"/>
      <c r="B1004"/>
    </row>
    <row r="1005" spans="1:2">
      <c r="A1005" s="59"/>
      <c r="B1005"/>
    </row>
    <row r="1006" spans="1:2">
      <c r="A1006" s="59"/>
      <c r="B1006"/>
    </row>
    <row r="1007" spans="1:2">
      <c r="A1007" s="59"/>
      <c r="B1007"/>
    </row>
    <row r="1008" spans="1:2">
      <c r="A1008" s="59"/>
      <c r="B1008"/>
    </row>
    <row r="1009" spans="1:2">
      <c r="A1009" s="59"/>
      <c r="B1009"/>
    </row>
    <row r="1010" spans="1:2">
      <c r="A1010" s="59"/>
      <c r="B1010"/>
    </row>
    <row r="1011" spans="1:2">
      <c r="A1011" s="59"/>
      <c r="B1011"/>
    </row>
    <row r="1012" spans="1:2">
      <c r="A1012" s="59"/>
      <c r="B1012"/>
    </row>
    <row r="1013" spans="1:2">
      <c r="A1013" s="59"/>
      <c r="B1013"/>
    </row>
    <row r="1014" spans="1:2">
      <c r="A1014" s="59"/>
      <c r="B1014"/>
    </row>
    <row r="1015" spans="1:2">
      <c r="A1015" s="59"/>
      <c r="B1015"/>
    </row>
    <row r="1016" spans="1:2">
      <c r="A1016" s="59"/>
      <c r="B1016"/>
    </row>
    <row r="1017" spans="1:2">
      <c r="A1017" s="59"/>
      <c r="B1017"/>
    </row>
    <row r="1018" spans="1:2">
      <c r="A1018" s="59"/>
      <c r="B1018"/>
    </row>
    <row r="1019" spans="1:2">
      <c r="A1019" s="59"/>
      <c r="B1019"/>
    </row>
    <row r="1020" spans="1:2">
      <c r="A1020" s="59"/>
      <c r="B1020"/>
    </row>
    <row r="1021" spans="1:2">
      <c r="A1021" s="59"/>
      <c r="B1021"/>
    </row>
    <row r="1022" spans="1:2">
      <c r="A1022" s="59"/>
      <c r="B1022"/>
    </row>
    <row r="1023" spans="1:2">
      <c r="A1023" s="59"/>
      <c r="B1023"/>
    </row>
    <row r="1024" spans="1:2">
      <c r="A1024" s="59"/>
      <c r="B1024"/>
    </row>
    <row r="1025" spans="1:2">
      <c r="A1025" s="59"/>
      <c r="B1025"/>
    </row>
    <row r="1026" spans="1:2">
      <c r="A1026" s="59"/>
      <c r="B1026"/>
    </row>
    <row r="1027" spans="1:2">
      <c r="A1027" s="59"/>
      <c r="B1027"/>
    </row>
    <row r="1028" spans="1:2">
      <c r="A1028" s="59"/>
      <c r="B1028"/>
    </row>
    <row r="1029" spans="1:2">
      <c r="A1029" s="59"/>
      <c r="B1029"/>
    </row>
    <row r="1030" spans="1:2">
      <c r="A1030" s="59"/>
      <c r="B1030"/>
    </row>
    <row r="1031" spans="1:2">
      <c r="A1031" s="59"/>
      <c r="B1031"/>
    </row>
    <row r="1032" spans="1:2">
      <c r="A1032" s="59"/>
      <c r="B1032"/>
    </row>
    <row r="1033" spans="1:2">
      <c r="A1033" s="59"/>
      <c r="B1033"/>
    </row>
    <row r="1034" spans="1:2">
      <c r="A1034" s="59"/>
      <c r="B1034"/>
    </row>
    <row r="1035" spans="1:2">
      <c r="A1035" s="59"/>
      <c r="B1035"/>
    </row>
    <row r="1036" spans="1:2">
      <c r="A1036" s="59"/>
      <c r="B1036"/>
    </row>
    <row r="1037" spans="1:2">
      <c r="A1037" s="59"/>
      <c r="B1037"/>
    </row>
    <row r="1038" spans="1:2">
      <c r="A1038" s="59"/>
      <c r="B1038"/>
    </row>
    <row r="1039" spans="1:2">
      <c r="A1039" s="59"/>
      <c r="B1039"/>
    </row>
    <row r="1040" spans="1:2">
      <c r="A1040" s="59"/>
      <c r="B1040"/>
    </row>
    <row r="1041" spans="1:2">
      <c r="A1041" s="59"/>
      <c r="B1041"/>
    </row>
    <row r="1042" spans="1:2">
      <c r="A1042" s="59"/>
      <c r="B1042"/>
    </row>
    <row r="1043" spans="1:2">
      <c r="A1043" s="59"/>
      <c r="B1043"/>
    </row>
    <row r="1044" spans="1:2">
      <c r="A1044" s="59"/>
      <c r="B1044"/>
    </row>
    <row r="1045" spans="1:2">
      <c r="A1045" s="59"/>
      <c r="B1045"/>
    </row>
    <row r="1046" spans="1:2">
      <c r="A1046" s="59"/>
      <c r="B1046"/>
    </row>
    <row r="1047" spans="1:2">
      <c r="A1047" s="59"/>
      <c r="B1047"/>
    </row>
    <row r="1048" spans="1:2">
      <c r="A1048" s="59"/>
      <c r="B1048"/>
    </row>
    <row r="1049" spans="1:2">
      <c r="A1049" s="59"/>
      <c r="B1049"/>
    </row>
    <row r="1050" spans="1:2">
      <c r="A1050" s="59"/>
      <c r="B1050"/>
    </row>
    <row r="1051" spans="1:2">
      <c r="A1051" s="59"/>
      <c r="B1051"/>
    </row>
    <row r="1052" spans="1:2">
      <c r="A1052" s="59"/>
      <c r="B1052"/>
    </row>
    <row r="1053" spans="1:2">
      <c r="A1053" s="59"/>
      <c r="B1053"/>
    </row>
    <row r="1054" spans="1:2">
      <c r="A1054" s="59"/>
      <c r="B1054"/>
    </row>
    <row r="1055" spans="1:2">
      <c r="A1055" s="59"/>
      <c r="B1055"/>
    </row>
    <row r="1056" spans="1:2">
      <c r="A1056" s="59"/>
      <c r="B1056"/>
    </row>
    <row r="1057" spans="1:2">
      <c r="A1057" s="59"/>
      <c r="B1057"/>
    </row>
    <row r="1058" spans="1:2">
      <c r="A1058" s="59"/>
      <c r="B1058"/>
    </row>
    <row r="1059" spans="1:2">
      <c r="A1059" s="59"/>
      <c r="B1059"/>
    </row>
    <row r="1060" spans="1:2">
      <c r="A1060" s="59"/>
      <c r="B1060"/>
    </row>
    <row r="1061" spans="1:2">
      <c r="A1061" s="59"/>
      <c r="B1061"/>
    </row>
    <row r="1062" spans="1:2">
      <c r="A1062" s="59"/>
      <c r="B1062"/>
    </row>
    <row r="1063" spans="1:2">
      <c r="A1063" s="59"/>
      <c r="B1063"/>
    </row>
    <row r="1064" spans="1:2">
      <c r="A1064" s="59"/>
      <c r="B1064"/>
    </row>
    <row r="1065" spans="1:2">
      <c r="A1065" s="59"/>
      <c r="B1065"/>
    </row>
    <row r="1066" spans="1:2">
      <c r="A1066" s="59"/>
      <c r="B1066"/>
    </row>
    <row r="1067" spans="1:2">
      <c r="A1067" s="59"/>
      <c r="B1067"/>
    </row>
    <row r="1068" spans="1:2">
      <c r="A1068" s="59"/>
      <c r="B1068"/>
    </row>
    <row r="1069" spans="1:2">
      <c r="A1069" s="59"/>
      <c r="B1069"/>
    </row>
    <row r="1070" spans="1:2">
      <c r="A1070" s="59"/>
      <c r="B1070"/>
    </row>
    <row r="1071" spans="1:2">
      <c r="A1071" s="59"/>
      <c r="B1071"/>
    </row>
    <row r="1072" spans="1:2">
      <c r="A1072" s="59"/>
      <c r="B1072"/>
    </row>
    <row r="1073" spans="1:2">
      <c r="A1073" s="59"/>
      <c r="B1073"/>
    </row>
    <row r="1074" spans="1:2">
      <c r="A1074" s="59"/>
      <c r="B1074"/>
    </row>
    <row r="1075" spans="1:2">
      <c r="A1075" s="59"/>
      <c r="B1075"/>
    </row>
    <row r="1076" spans="1:2">
      <c r="A1076" s="59"/>
      <c r="B1076"/>
    </row>
    <row r="1077" spans="1:2">
      <c r="A1077" s="59"/>
      <c r="B1077"/>
    </row>
    <row r="1078" spans="1:2">
      <c r="A1078" s="59"/>
      <c r="B1078"/>
    </row>
    <row r="1079" spans="1:2">
      <c r="A1079" s="59"/>
      <c r="B1079"/>
    </row>
    <row r="1080" spans="1:2">
      <c r="A1080" s="59"/>
      <c r="B1080"/>
    </row>
    <row r="1081" spans="1:2">
      <c r="A1081" s="59"/>
      <c r="B1081"/>
    </row>
    <row r="1082" spans="1:2">
      <c r="A1082" s="59"/>
      <c r="B1082"/>
    </row>
    <row r="1083" spans="1:2">
      <c r="A1083" s="59"/>
      <c r="B1083"/>
    </row>
    <row r="1084" spans="1:2">
      <c r="A1084" s="59"/>
      <c r="B1084"/>
    </row>
    <row r="1085" spans="1:2">
      <c r="A1085" s="59"/>
      <c r="B1085"/>
    </row>
    <row r="1086" spans="1:2">
      <c r="A1086" s="59"/>
      <c r="B1086"/>
    </row>
    <row r="1087" spans="1:2">
      <c r="A1087" s="59"/>
      <c r="B1087"/>
    </row>
    <row r="1088" spans="1:2">
      <c r="A1088" s="59"/>
      <c r="B1088"/>
    </row>
    <row r="1089" spans="1:2">
      <c r="A1089" s="59"/>
      <c r="B1089"/>
    </row>
    <row r="1090" spans="1:2">
      <c r="A1090" s="59"/>
      <c r="B1090"/>
    </row>
    <row r="1091" spans="1:2">
      <c r="A1091" s="59"/>
      <c r="B1091"/>
    </row>
    <row r="1092" spans="1:2">
      <c r="A1092" s="59"/>
      <c r="B1092"/>
    </row>
    <row r="1093" spans="1:2">
      <c r="A1093" s="59"/>
      <c r="B1093"/>
    </row>
    <row r="1094" spans="1:2">
      <c r="A1094" s="59"/>
      <c r="B1094"/>
    </row>
    <row r="1095" spans="1:2">
      <c r="A1095" s="59"/>
      <c r="B1095"/>
    </row>
    <row r="1096" spans="1:2">
      <c r="A1096" s="59"/>
      <c r="B1096"/>
    </row>
    <row r="1097" spans="1:2">
      <c r="A1097" s="59"/>
      <c r="B1097"/>
    </row>
    <row r="1098" spans="1:2">
      <c r="A1098" s="59"/>
      <c r="B1098"/>
    </row>
    <row r="1099" spans="1:2">
      <c r="A1099" s="59"/>
      <c r="B1099"/>
    </row>
    <row r="1100" spans="1:2">
      <c r="A1100" s="59"/>
      <c r="B1100"/>
    </row>
    <row r="1101" spans="1:2">
      <c r="A1101" s="59"/>
      <c r="B1101"/>
    </row>
    <row r="1102" spans="1:2">
      <c r="A1102" s="59"/>
      <c r="B1102"/>
    </row>
    <row r="1103" spans="1:2">
      <c r="A1103" s="59"/>
      <c r="B1103"/>
    </row>
    <row r="1104" spans="1:2">
      <c r="A1104" s="59"/>
      <c r="B1104"/>
    </row>
    <row r="1105" spans="1:2">
      <c r="A1105" s="59"/>
      <c r="B1105"/>
    </row>
    <row r="1106" spans="1:2">
      <c r="A1106" s="59"/>
      <c r="B1106"/>
    </row>
    <row r="1107" spans="1:2">
      <c r="A1107" s="59"/>
      <c r="B1107"/>
    </row>
    <row r="1108" spans="1:2">
      <c r="A1108" s="59"/>
      <c r="B1108"/>
    </row>
    <row r="1109" spans="1:2">
      <c r="A1109" s="59"/>
      <c r="B1109"/>
    </row>
    <row r="1110" spans="1:2">
      <c r="A1110" s="59"/>
      <c r="B1110"/>
    </row>
    <row r="1111" spans="1:2">
      <c r="A1111" s="59"/>
      <c r="B1111"/>
    </row>
    <row r="1112" spans="1:2">
      <c r="A1112" s="59"/>
      <c r="B1112"/>
    </row>
    <row r="1113" spans="1:2">
      <c r="A1113" s="59"/>
      <c r="B1113"/>
    </row>
    <row r="1114" spans="1:2">
      <c r="A1114" s="59"/>
      <c r="B1114"/>
    </row>
    <row r="1115" spans="1:2">
      <c r="A1115" s="59"/>
      <c r="B1115"/>
    </row>
    <row r="1116" spans="1:2">
      <c r="A1116" s="59"/>
      <c r="B1116"/>
    </row>
    <row r="1117" spans="1:2">
      <c r="A1117" s="59"/>
      <c r="B1117"/>
    </row>
    <row r="1118" spans="1:2">
      <c r="A1118" s="59"/>
      <c r="B1118"/>
    </row>
    <row r="1119" spans="1:2">
      <c r="A1119" s="59"/>
      <c r="B1119"/>
    </row>
    <row r="1120" spans="1:2">
      <c r="A1120" s="59"/>
      <c r="B1120"/>
    </row>
    <row r="1121" spans="1:2">
      <c r="A1121" s="59"/>
      <c r="B1121"/>
    </row>
    <row r="1122" spans="1:2">
      <c r="A1122" s="59"/>
      <c r="B1122"/>
    </row>
    <row r="1123" spans="1:2">
      <c r="A1123" s="59"/>
      <c r="B1123"/>
    </row>
    <row r="1124" spans="1:2">
      <c r="A1124" s="59"/>
      <c r="B1124"/>
    </row>
    <row r="1125" spans="1:2">
      <c r="A1125" s="59"/>
      <c r="B1125"/>
    </row>
    <row r="1126" spans="1:2">
      <c r="A1126" s="59"/>
      <c r="B1126"/>
    </row>
    <row r="1127" spans="1:2">
      <c r="A1127" s="59"/>
      <c r="B1127"/>
    </row>
    <row r="1128" spans="1:2">
      <c r="A1128" s="59"/>
      <c r="B1128"/>
    </row>
    <row r="1129" spans="1:2">
      <c r="A1129" s="59"/>
      <c r="B1129"/>
    </row>
    <row r="1130" spans="1:2">
      <c r="A1130" s="59"/>
      <c r="B1130"/>
    </row>
    <row r="1131" spans="1:2">
      <c r="A1131" s="59"/>
      <c r="B1131"/>
    </row>
    <row r="1132" spans="1:2">
      <c r="A1132" s="59"/>
      <c r="B1132"/>
    </row>
    <row r="1133" spans="1:2">
      <c r="A1133" s="59"/>
      <c r="B1133"/>
    </row>
    <row r="1134" spans="1:2">
      <c r="A1134" s="59"/>
      <c r="B1134"/>
    </row>
    <row r="1135" spans="1:2">
      <c r="A1135" s="59"/>
      <c r="B1135"/>
    </row>
    <row r="1136" spans="1:2">
      <c r="A1136" s="59"/>
      <c r="B1136"/>
    </row>
    <row r="1137" spans="1:2">
      <c r="A1137" s="59"/>
      <c r="B1137"/>
    </row>
    <row r="1138" spans="1:2">
      <c r="A1138" s="59"/>
      <c r="B1138"/>
    </row>
    <row r="1139" spans="1:2">
      <c r="A1139" s="59"/>
      <c r="B1139"/>
    </row>
    <row r="1140" spans="1:2">
      <c r="A1140" s="59"/>
      <c r="B1140"/>
    </row>
    <row r="1141" spans="1:2">
      <c r="A1141" s="59"/>
      <c r="B1141"/>
    </row>
    <row r="1142" spans="1:2">
      <c r="A1142" s="59"/>
      <c r="B1142"/>
    </row>
    <row r="1143" spans="1:2">
      <c r="A1143" s="59"/>
      <c r="B1143"/>
    </row>
    <row r="1144" spans="1:2">
      <c r="A1144" s="59"/>
      <c r="B1144"/>
    </row>
    <row r="1145" spans="1:2">
      <c r="A1145" s="59"/>
      <c r="B1145"/>
    </row>
    <row r="1146" spans="1:2">
      <c r="A1146" s="59"/>
      <c r="B1146"/>
    </row>
    <row r="1147" spans="1:2">
      <c r="A1147" s="59"/>
      <c r="B1147"/>
    </row>
    <row r="1148" spans="1:2">
      <c r="A1148" s="59"/>
      <c r="B1148"/>
    </row>
    <row r="1149" spans="1:2">
      <c r="A1149" s="59"/>
      <c r="B1149"/>
    </row>
    <row r="1150" spans="1:2">
      <c r="A1150" s="59"/>
      <c r="B1150"/>
    </row>
    <row r="1151" spans="1:2">
      <c r="A1151" s="59"/>
      <c r="B1151"/>
    </row>
    <row r="1152" spans="1:2">
      <c r="A1152" s="59"/>
      <c r="B1152"/>
    </row>
    <row r="1153" spans="1:2">
      <c r="A1153" s="59"/>
      <c r="B1153"/>
    </row>
    <row r="1154" spans="1:2">
      <c r="A1154" s="59"/>
      <c r="B1154"/>
    </row>
    <row r="1155" spans="1:2">
      <c r="A1155" s="59"/>
      <c r="B1155"/>
    </row>
    <row r="1156" spans="1:2">
      <c r="A1156" s="59"/>
      <c r="B1156"/>
    </row>
    <row r="1157" spans="1:2">
      <c r="A1157" s="59"/>
      <c r="B1157"/>
    </row>
    <row r="1158" spans="1:2">
      <c r="A1158" s="59"/>
      <c r="B1158"/>
    </row>
    <row r="1159" spans="1:2">
      <c r="A1159" s="59"/>
      <c r="B1159"/>
    </row>
    <row r="1160" spans="1:2">
      <c r="A1160" s="59"/>
      <c r="B1160"/>
    </row>
    <row r="1161" spans="1:2">
      <c r="A1161" s="59"/>
      <c r="B1161"/>
    </row>
    <row r="1162" spans="1:2">
      <c r="A1162" s="59"/>
      <c r="B1162"/>
    </row>
    <row r="1163" spans="1:2">
      <c r="A1163" s="59"/>
      <c r="B1163"/>
    </row>
    <row r="1164" spans="1:2">
      <c r="A1164" s="59"/>
      <c r="B1164"/>
    </row>
    <row r="1165" spans="1:2">
      <c r="A1165" s="59"/>
      <c r="B1165"/>
    </row>
    <row r="1166" spans="1:2">
      <c r="A1166" s="59"/>
      <c r="B1166"/>
    </row>
    <row r="1167" spans="1:2">
      <c r="A1167" s="59"/>
      <c r="B1167"/>
    </row>
    <row r="1168" spans="1:2">
      <c r="A1168" s="59"/>
      <c r="B1168"/>
    </row>
    <row r="1169" spans="1:2">
      <c r="A1169" s="59"/>
      <c r="B1169"/>
    </row>
    <row r="1170" spans="1:2">
      <c r="A1170" s="59"/>
      <c r="B1170"/>
    </row>
    <row r="1171" spans="1:2">
      <c r="A1171" s="59"/>
      <c r="B1171"/>
    </row>
    <row r="1172" spans="1:2">
      <c r="A1172" s="59"/>
      <c r="B1172"/>
    </row>
    <row r="1173" spans="1:2">
      <c r="A1173" s="59"/>
      <c r="B1173"/>
    </row>
    <row r="1174" spans="1:2">
      <c r="A1174" s="59"/>
      <c r="B1174"/>
    </row>
    <row r="1175" spans="1:2">
      <c r="A1175" s="59"/>
      <c r="B1175"/>
    </row>
    <row r="1176" spans="1:2">
      <c r="A1176" s="59"/>
      <c r="B1176"/>
    </row>
    <row r="1177" spans="1:2">
      <c r="A1177" s="59"/>
      <c r="B1177"/>
    </row>
    <row r="1178" spans="1:2">
      <c r="A1178" s="59"/>
      <c r="B1178"/>
    </row>
    <row r="1179" spans="1:2">
      <c r="A1179" s="59"/>
      <c r="B1179"/>
    </row>
    <row r="1180" spans="1:2">
      <c r="A1180" s="59"/>
      <c r="B1180"/>
    </row>
    <row r="1181" spans="1:2">
      <c r="A1181" s="59"/>
      <c r="B1181"/>
    </row>
    <row r="1182" spans="1:2">
      <c r="A1182" s="59"/>
      <c r="B1182"/>
    </row>
    <row r="1183" spans="1:2">
      <c r="A1183" s="59"/>
      <c r="B1183"/>
    </row>
    <row r="1184" spans="1:2">
      <c r="A1184" s="59"/>
      <c r="B1184"/>
    </row>
    <row r="1185" spans="1:2">
      <c r="A1185" s="59"/>
      <c r="B1185"/>
    </row>
    <row r="1186" spans="1:2">
      <c r="A1186" s="59"/>
      <c r="B1186"/>
    </row>
    <row r="1187" spans="1:2">
      <c r="A1187" s="59"/>
      <c r="B1187"/>
    </row>
    <row r="1188" spans="1:2">
      <c r="A1188" s="59"/>
      <c r="B1188"/>
    </row>
    <row r="1189" spans="1:2">
      <c r="A1189" s="59"/>
      <c r="B1189"/>
    </row>
    <row r="1190" spans="1:2">
      <c r="A1190" s="59"/>
      <c r="B1190"/>
    </row>
    <row r="1191" spans="1:2">
      <c r="A1191" s="59"/>
      <c r="B1191"/>
    </row>
    <row r="1192" spans="1:2">
      <c r="A1192" s="59"/>
      <c r="B1192"/>
    </row>
    <row r="1193" spans="1:2">
      <c r="A1193" s="59"/>
      <c r="B1193"/>
    </row>
    <row r="1194" spans="1:2">
      <c r="A1194" s="59"/>
      <c r="B1194"/>
    </row>
    <row r="1195" spans="1:2">
      <c r="A1195" s="59"/>
      <c r="B1195"/>
    </row>
    <row r="1196" spans="1:2">
      <c r="A1196" s="59"/>
      <c r="B1196"/>
    </row>
    <row r="1197" spans="1:2">
      <c r="A1197" s="59"/>
      <c r="B1197"/>
    </row>
    <row r="1198" spans="1:2">
      <c r="A1198" s="59"/>
      <c r="B1198"/>
    </row>
    <row r="1199" spans="1:2">
      <c r="A1199" s="59"/>
      <c r="B1199"/>
    </row>
    <row r="1200" spans="1:2">
      <c r="A1200" s="59"/>
      <c r="B1200"/>
    </row>
    <row r="1201" spans="1:2">
      <c r="A1201" s="59"/>
      <c r="B1201"/>
    </row>
    <row r="1202" spans="1:2">
      <c r="A1202" s="59"/>
      <c r="B1202"/>
    </row>
    <row r="1203" spans="1:2">
      <c r="A1203" s="59"/>
      <c r="B1203"/>
    </row>
    <row r="1204" spans="1:2">
      <c r="A1204" s="59"/>
      <c r="B1204"/>
    </row>
    <row r="1205" spans="1:2">
      <c r="A1205" s="59"/>
      <c r="B1205"/>
    </row>
    <row r="1206" spans="1:2">
      <c r="A1206" s="59"/>
      <c r="B1206"/>
    </row>
    <row r="1207" spans="1:2">
      <c r="A1207" s="59"/>
      <c r="B1207"/>
    </row>
    <row r="1208" spans="1:2">
      <c r="A1208" s="59"/>
      <c r="B1208"/>
    </row>
    <row r="1209" spans="1:2">
      <c r="A1209" s="59"/>
      <c r="B1209"/>
    </row>
    <row r="1210" spans="1:2">
      <c r="A1210" s="59"/>
      <c r="B1210"/>
    </row>
    <row r="1211" spans="1:2">
      <c r="A1211" s="59"/>
      <c r="B1211"/>
    </row>
    <row r="1212" spans="1:2">
      <c r="A1212" s="59"/>
      <c r="B1212"/>
    </row>
    <row r="1213" spans="1:2">
      <c r="A1213" s="59"/>
      <c r="B1213"/>
    </row>
    <row r="1214" spans="1:2">
      <c r="A1214" s="59"/>
      <c r="B1214"/>
    </row>
    <row r="1215" spans="1:2">
      <c r="A1215" s="59"/>
      <c r="B1215"/>
    </row>
    <row r="1216" spans="1:2">
      <c r="A1216" s="59"/>
      <c r="B1216"/>
    </row>
    <row r="1217" spans="1:2">
      <c r="A1217" s="59"/>
      <c r="B1217"/>
    </row>
    <row r="1218" spans="1:2">
      <c r="A1218" s="59"/>
      <c r="B1218"/>
    </row>
    <row r="1219" spans="1:2">
      <c r="A1219" s="59"/>
      <c r="B1219"/>
    </row>
    <row r="1220" spans="1:2">
      <c r="A1220" s="59"/>
      <c r="B1220"/>
    </row>
    <row r="1221" spans="1:2">
      <c r="A1221" s="59"/>
      <c r="B1221"/>
    </row>
    <row r="1222" spans="1:2">
      <c r="A1222" s="59"/>
      <c r="B1222"/>
    </row>
    <row r="1223" spans="1:2">
      <c r="A1223" s="59"/>
      <c r="B1223"/>
    </row>
    <row r="1224" spans="1:2">
      <c r="A1224" s="59"/>
      <c r="B1224"/>
    </row>
    <row r="1225" spans="1:2">
      <c r="A1225" s="59"/>
      <c r="B1225"/>
    </row>
    <row r="1226" spans="1:2">
      <c r="A1226" s="59"/>
      <c r="B1226"/>
    </row>
    <row r="1227" spans="1:2">
      <c r="A1227" s="59"/>
      <c r="B1227"/>
    </row>
    <row r="1228" spans="1:2">
      <c r="A1228" s="59"/>
      <c r="B1228"/>
    </row>
    <row r="1229" spans="1:2">
      <c r="A1229" s="59"/>
      <c r="B1229"/>
    </row>
    <row r="1230" spans="1:2">
      <c r="A1230" s="59"/>
      <c r="B1230"/>
    </row>
    <row r="1231" spans="1:2">
      <c r="A1231" s="59"/>
      <c r="B1231"/>
    </row>
    <row r="1232" spans="1:2">
      <c r="A1232" s="59"/>
      <c r="B1232"/>
    </row>
    <row r="1233" spans="1:2">
      <c r="A1233" s="59"/>
      <c r="B1233"/>
    </row>
    <row r="1234" spans="1:2">
      <c r="A1234" s="59"/>
      <c r="B1234"/>
    </row>
    <row r="1235" spans="1:2">
      <c r="A1235" s="59"/>
      <c r="B1235"/>
    </row>
    <row r="1236" spans="1:2">
      <c r="A1236" s="59"/>
      <c r="B1236"/>
    </row>
    <row r="1237" spans="1:2">
      <c r="A1237" s="59"/>
      <c r="B1237"/>
    </row>
    <row r="1238" spans="1:2">
      <c r="A1238" s="59"/>
      <c r="B1238"/>
    </row>
    <row r="1239" spans="1:2">
      <c r="A1239" s="59"/>
      <c r="B1239"/>
    </row>
    <row r="1240" spans="1:2">
      <c r="A1240" s="59"/>
      <c r="B1240"/>
    </row>
    <row r="1241" spans="1:2">
      <c r="A1241" s="59"/>
      <c r="B1241"/>
    </row>
    <row r="1242" spans="1:2">
      <c r="A1242" s="59"/>
      <c r="B1242"/>
    </row>
    <row r="1243" spans="1:2">
      <c r="A1243" s="59"/>
      <c r="B1243"/>
    </row>
    <row r="1244" spans="1:2">
      <c r="A1244" s="59"/>
      <c r="B1244"/>
    </row>
    <row r="1245" spans="1:2">
      <c r="A1245" s="59"/>
      <c r="B1245"/>
    </row>
    <row r="1246" spans="1:2">
      <c r="A1246" s="59"/>
      <c r="B1246"/>
    </row>
    <row r="1247" spans="1:2">
      <c r="A1247" s="59"/>
      <c r="B1247"/>
    </row>
    <row r="1248" spans="1:2">
      <c r="A1248" s="59"/>
      <c r="B1248"/>
    </row>
    <row r="1249" spans="1:2">
      <c r="A1249" s="59"/>
      <c r="B1249"/>
    </row>
    <row r="1250" spans="1:2">
      <c r="A1250" s="59"/>
      <c r="B1250"/>
    </row>
    <row r="1251" spans="1:2">
      <c r="A1251" s="59"/>
      <c r="B1251"/>
    </row>
    <row r="1252" spans="1:2">
      <c r="A1252" s="59"/>
      <c r="B1252"/>
    </row>
    <row r="1253" spans="1:2">
      <c r="A1253" s="59"/>
      <c r="B1253"/>
    </row>
    <row r="1254" spans="1:2">
      <c r="A1254" s="59"/>
      <c r="B1254"/>
    </row>
    <row r="1255" spans="1:2">
      <c r="A1255" s="59"/>
      <c r="B1255"/>
    </row>
    <row r="1256" spans="1:2">
      <c r="A1256" s="59"/>
      <c r="B1256"/>
    </row>
    <row r="1257" spans="1:2">
      <c r="A1257" s="59"/>
      <c r="B1257"/>
    </row>
    <row r="1258" spans="1:2">
      <c r="A1258" s="59"/>
      <c r="B1258"/>
    </row>
    <row r="1259" spans="1:2">
      <c r="A1259" s="59"/>
      <c r="B1259"/>
    </row>
    <row r="1260" spans="1:2">
      <c r="A1260" s="59"/>
      <c r="B1260"/>
    </row>
    <row r="1261" spans="1:2">
      <c r="A1261" s="59"/>
      <c r="B1261"/>
    </row>
    <row r="1262" spans="1:2">
      <c r="A1262" s="59"/>
      <c r="B1262"/>
    </row>
    <row r="1263" spans="1:2">
      <c r="A1263" s="59"/>
      <c r="B1263"/>
    </row>
    <row r="1264" spans="1:2">
      <c r="A1264" s="59"/>
      <c r="B1264"/>
    </row>
    <row r="1265" spans="1:2">
      <c r="A1265" s="59"/>
      <c r="B1265"/>
    </row>
    <row r="1266" spans="1:2">
      <c r="A1266" s="59"/>
      <c r="B1266"/>
    </row>
    <row r="1267" spans="1:2">
      <c r="A1267" s="59"/>
      <c r="B1267"/>
    </row>
    <row r="1268" spans="1:2">
      <c r="A1268" s="59"/>
      <c r="B1268"/>
    </row>
    <row r="1269" spans="1:2">
      <c r="A1269" s="59"/>
      <c r="B1269"/>
    </row>
    <row r="1270" spans="1:2">
      <c r="A1270" s="59"/>
      <c r="B1270"/>
    </row>
    <row r="1271" spans="1:2">
      <c r="A1271" s="59"/>
      <c r="B1271"/>
    </row>
    <row r="1272" spans="1:2">
      <c r="A1272" s="59"/>
      <c r="B1272"/>
    </row>
    <row r="1273" spans="1:2">
      <c r="A1273" s="59"/>
      <c r="B1273"/>
    </row>
    <row r="1274" spans="1:2">
      <c r="A1274" s="59"/>
      <c r="B1274"/>
    </row>
    <row r="1275" spans="1:2">
      <c r="A1275" s="59"/>
      <c r="B1275"/>
    </row>
    <row r="1276" spans="1:2">
      <c r="A1276" s="59"/>
      <c r="B1276"/>
    </row>
    <row r="1277" spans="1:2">
      <c r="A1277" s="59"/>
      <c r="B1277"/>
    </row>
    <row r="1278" spans="1:2">
      <c r="A1278" s="59"/>
      <c r="B1278"/>
    </row>
    <row r="1279" spans="1:2">
      <c r="A1279" s="59"/>
      <c r="B1279"/>
    </row>
    <row r="1280" spans="1:2">
      <c r="A1280" s="59"/>
      <c r="B1280"/>
    </row>
    <row r="1281" spans="1:2">
      <c r="A1281" s="59"/>
      <c r="B1281"/>
    </row>
    <row r="1282" spans="1:2">
      <c r="A1282" s="59"/>
      <c r="B1282"/>
    </row>
    <row r="1283" spans="1:2">
      <c r="A1283" s="59"/>
      <c r="B1283"/>
    </row>
    <row r="1284" spans="1:2">
      <c r="A1284" s="59"/>
      <c r="B1284"/>
    </row>
    <row r="1285" spans="1:2">
      <c r="A1285" s="59"/>
      <c r="B1285"/>
    </row>
    <row r="1286" spans="1:2">
      <c r="A1286" s="59"/>
      <c r="B1286"/>
    </row>
    <row r="1287" spans="1:2">
      <c r="A1287" s="59"/>
      <c r="B1287"/>
    </row>
    <row r="1288" spans="1:2">
      <c r="A1288" s="59"/>
      <c r="B1288"/>
    </row>
    <row r="1289" spans="1:2">
      <c r="A1289" s="59"/>
      <c r="B1289"/>
    </row>
    <row r="1290" spans="1:2">
      <c r="A1290" s="59"/>
      <c r="B1290"/>
    </row>
    <row r="1291" spans="1:2">
      <c r="A1291" s="59"/>
      <c r="B1291"/>
    </row>
    <row r="1292" spans="1:2">
      <c r="A1292" s="59"/>
      <c r="B1292"/>
    </row>
    <row r="1293" spans="1:2">
      <c r="A1293" s="59"/>
      <c r="B1293"/>
    </row>
    <row r="1294" spans="1:2">
      <c r="A1294" s="59"/>
      <c r="B1294"/>
    </row>
    <row r="1295" spans="1:2">
      <c r="A1295" s="59"/>
      <c r="B1295"/>
    </row>
    <row r="1296" spans="1:2">
      <c r="A1296" s="59"/>
      <c r="B1296"/>
    </row>
    <row r="1297" spans="1:2">
      <c r="A1297" s="59"/>
      <c r="B1297"/>
    </row>
    <row r="1298" spans="1:2">
      <c r="A1298" s="59"/>
      <c r="B1298"/>
    </row>
    <row r="1299" spans="1:2">
      <c r="A1299" s="59"/>
      <c r="B1299"/>
    </row>
    <row r="1300" spans="1:2">
      <c r="A1300" s="59"/>
      <c r="B1300"/>
    </row>
    <row r="1301" spans="1:2">
      <c r="A1301" s="59"/>
      <c r="B1301"/>
    </row>
    <row r="1302" spans="1:2">
      <c r="A1302" s="59"/>
      <c r="B1302"/>
    </row>
    <row r="1303" spans="1:2">
      <c r="A1303" s="59"/>
      <c r="B1303"/>
    </row>
    <row r="1304" spans="1:2">
      <c r="A1304" s="59"/>
      <c r="B1304"/>
    </row>
    <row r="1305" spans="1:2">
      <c r="A1305" s="59"/>
      <c r="B1305"/>
    </row>
    <row r="1306" spans="1:2">
      <c r="A1306" s="59"/>
      <c r="B1306"/>
    </row>
    <row r="1307" spans="1:2">
      <c r="A1307" s="59"/>
      <c r="B1307"/>
    </row>
    <row r="1308" spans="1:2">
      <c r="A1308" s="59"/>
      <c r="B1308"/>
    </row>
    <row r="1309" spans="1:2">
      <c r="A1309" s="59"/>
      <c r="B1309"/>
    </row>
    <row r="1310" spans="1:2">
      <c r="A1310" s="59"/>
      <c r="B1310"/>
    </row>
    <row r="1311" spans="1:2">
      <c r="A1311" s="59"/>
      <c r="B1311"/>
    </row>
    <row r="1312" spans="1:2">
      <c r="A1312" s="59"/>
      <c r="B1312"/>
    </row>
    <row r="1313" spans="1:2">
      <c r="A1313" s="59"/>
      <c r="B1313"/>
    </row>
    <row r="1314" spans="1:2">
      <c r="A1314" s="59"/>
      <c r="B1314"/>
    </row>
    <row r="1315" spans="1:2">
      <c r="A1315" s="59"/>
      <c r="B1315"/>
    </row>
    <row r="1316" spans="1:2">
      <c r="A1316" s="59"/>
      <c r="B1316"/>
    </row>
    <row r="1317" spans="1:2">
      <c r="A1317" s="59"/>
      <c r="B1317"/>
    </row>
    <row r="1318" spans="1:2">
      <c r="A1318" s="59"/>
      <c r="B1318"/>
    </row>
    <row r="1319" spans="1:2">
      <c r="A1319" s="59"/>
      <c r="B1319"/>
    </row>
    <row r="1320" spans="1:2">
      <c r="A1320" s="59"/>
      <c r="B1320"/>
    </row>
    <row r="1321" spans="1:2">
      <c r="A1321" s="59"/>
      <c r="B1321"/>
    </row>
    <row r="1322" spans="1:2">
      <c r="A1322" s="59"/>
      <c r="B1322"/>
    </row>
    <row r="1323" spans="1:2">
      <c r="A1323" s="59"/>
      <c r="B1323"/>
    </row>
    <row r="1324" spans="1:2">
      <c r="A1324" s="59"/>
      <c r="B1324"/>
    </row>
    <row r="1325" spans="1:2">
      <c r="A1325" s="59"/>
      <c r="B1325"/>
    </row>
    <row r="1326" spans="1:2">
      <c r="A1326" s="59"/>
      <c r="B1326"/>
    </row>
    <row r="1327" spans="1:2">
      <c r="A1327" s="59"/>
      <c r="B1327"/>
    </row>
    <row r="1328" spans="1:2">
      <c r="A1328" s="59"/>
      <c r="B1328"/>
    </row>
    <row r="1329" spans="1:2">
      <c r="A1329" s="59"/>
      <c r="B1329"/>
    </row>
    <row r="1330" spans="1:2">
      <c r="A1330" s="59"/>
      <c r="B1330"/>
    </row>
    <row r="1331" spans="1:2">
      <c r="A1331" s="59"/>
      <c r="B1331"/>
    </row>
    <row r="1332" spans="1:2">
      <c r="A1332" s="59"/>
      <c r="B1332"/>
    </row>
    <row r="1333" spans="1:2">
      <c r="A1333" s="59"/>
      <c r="B1333"/>
    </row>
    <row r="1334" spans="1:2">
      <c r="A1334" s="59"/>
      <c r="B1334"/>
    </row>
    <row r="1335" spans="1:2">
      <c r="A1335" s="59"/>
      <c r="B1335"/>
    </row>
    <row r="1336" spans="1:2">
      <c r="A1336" s="59"/>
      <c r="B1336"/>
    </row>
    <row r="1337" spans="1:2">
      <c r="A1337" s="59"/>
      <c r="B1337"/>
    </row>
    <row r="1338" spans="1:2">
      <c r="A1338" s="59"/>
      <c r="B1338"/>
    </row>
    <row r="1339" spans="1:2">
      <c r="A1339" s="59"/>
      <c r="B1339"/>
    </row>
    <row r="1340" spans="1:2">
      <c r="A1340" s="59"/>
      <c r="B1340"/>
    </row>
    <row r="1341" spans="1:2">
      <c r="A1341" s="59"/>
      <c r="B1341"/>
    </row>
    <row r="1342" spans="1:2">
      <c r="A1342" s="59"/>
      <c r="B1342"/>
    </row>
    <row r="1343" spans="1:2">
      <c r="A1343" s="59"/>
      <c r="B1343"/>
    </row>
    <row r="1344" spans="1:2">
      <c r="A1344" s="59"/>
      <c r="B1344"/>
    </row>
    <row r="1345" spans="1:2">
      <c r="A1345" s="59"/>
      <c r="B1345"/>
    </row>
    <row r="1346" spans="1:2">
      <c r="A1346" s="59"/>
      <c r="B1346"/>
    </row>
    <row r="1347" spans="1:2">
      <c r="A1347" s="59"/>
      <c r="B1347"/>
    </row>
    <row r="1348" spans="1:2">
      <c r="A1348" s="59"/>
      <c r="B1348"/>
    </row>
    <row r="1349" spans="1:2">
      <c r="A1349" s="59"/>
      <c r="B1349"/>
    </row>
    <row r="1350" spans="1:2">
      <c r="A1350" s="59"/>
      <c r="B1350"/>
    </row>
    <row r="1351" spans="1:2">
      <c r="A1351" s="59"/>
      <c r="B1351"/>
    </row>
    <row r="1352" spans="1:2">
      <c r="A1352" s="59"/>
      <c r="B1352"/>
    </row>
    <row r="1353" spans="1:2">
      <c r="A1353" s="59"/>
      <c r="B1353"/>
    </row>
    <row r="1354" spans="1:2">
      <c r="A1354" s="59"/>
      <c r="B1354"/>
    </row>
    <row r="1355" spans="1:2">
      <c r="A1355" s="59"/>
      <c r="B1355"/>
    </row>
    <row r="1356" spans="1:2">
      <c r="A1356" s="59"/>
      <c r="B1356"/>
    </row>
    <row r="1357" spans="1:2">
      <c r="A1357" s="59"/>
      <c r="B1357"/>
    </row>
    <row r="1358" spans="1:2">
      <c r="A1358" s="59"/>
      <c r="B1358"/>
    </row>
    <row r="1359" spans="1:2">
      <c r="A1359" s="59"/>
      <c r="B1359"/>
    </row>
    <row r="1360" spans="1:2">
      <c r="A1360" s="59"/>
      <c r="B1360"/>
    </row>
    <row r="1361" spans="1:2">
      <c r="A1361" s="59"/>
      <c r="B1361"/>
    </row>
    <row r="1362" spans="1:2">
      <c r="A1362" s="59"/>
      <c r="B1362"/>
    </row>
    <row r="1363" spans="1:2">
      <c r="A1363" s="59"/>
      <c r="B1363"/>
    </row>
    <row r="1364" spans="1:2">
      <c r="A1364" s="59"/>
      <c r="B1364"/>
    </row>
    <row r="1365" spans="1:2">
      <c r="A1365" s="59"/>
      <c r="B1365"/>
    </row>
    <row r="1366" spans="1:2">
      <c r="A1366" s="59"/>
      <c r="B1366"/>
    </row>
    <row r="1367" spans="1:2">
      <c r="A1367" s="59"/>
      <c r="B1367"/>
    </row>
    <row r="1368" spans="1:2">
      <c r="A1368" s="59"/>
      <c r="B1368"/>
    </row>
    <row r="1369" spans="1:2">
      <c r="A1369" s="59"/>
      <c r="B1369"/>
    </row>
    <row r="1370" spans="1:2">
      <c r="A1370" s="59"/>
      <c r="B1370"/>
    </row>
    <row r="1371" spans="1:2">
      <c r="A1371" s="59"/>
      <c r="B1371"/>
    </row>
    <row r="1372" spans="1:2">
      <c r="A1372" s="59"/>
      <c r="B1372"/>
    </row>
    <row r="1373" spans="1:2">
      <c r="A1373" s="59"/>
      <c r="B1373"/>
    </row>
    <row r="1374" spans="1:2">
      <c r="A1374" s="59"/>
      <c r="B1374"/>
    </row>
    <row r="1375" spans="1:2">
      <c r="A1375" s="59"/>
      <c r="B1375"/>
    </row>
    <row r="1376" spans="1:2">
      <c r="A1376" s="59"/>
      <c r="B1376"/>
    </row>
    <row r="1377" spans="1:2">
      <c r="A1377" s="59"/>
      <c r="B1377"/>
    </row>
    <row r="1378" spans="1:2">
      <c r="A1378" s="59"/>
      <c r="B1378"/>
    </row>
    <row r="1379" spans="1:2">
      <c r="A1379" s="59"/>
      <c r="B1379"/>
    </row>
    <row r="1380" spans="1:2">
      <c r="A1380" s="59"/>
      <c r="B1380"/>
    </row>
    <row r="1381" spans="1:2">
      <c r="A1381" s="59"/>
      <c r="B1381"/>
    </row>
    <row r="1382" spans="1:2">
      <c r="A1382" s="59"/>
      <c r="B1382"/>
    </row>
    <row r="1383" spans="1:2">
      <c r="A1383" s="59"/>
      <c r="B1383"/>
    </row>
    <row r="1384" spans="1:2">
      <c r="A1384" s="59"/>
      <c r="B1384"/>
    </row>
    <row r="1385" spans="1:2">
      <c r="A1385" s="59"/>
      <c r="B1385"/>
    </row>
    <row r="1386" spans="1:2">
      <c r="A1386" s="59"/>
      <c r="B1386"/>
    </row>
    <row r="1387" spans="1:2">
      <c r="A1387" s="59"/>
      <c r="B1387"/>
    </row>
    <row r="1388" spans="1:2">
      <c r="A1388" s="59"/>
      <c r="B1388"/>
    </row>
    <row r="1389" spans="1:2">
      <c r="A1389" s="59"/>
      <c r="B1389"/>
    </row>
    <row r="1390" spans="1:2">
      <c r="A1390" s="59"/>
      <c r="B1390"/>
    </row>
    <row r="1391" spans="1:2">
      <c r="A1391" s="59"/>
      <c r="B1391"/>
    </row>
    <row r="1392" spans="1:2">
      <c r="A1392" s="59"/>
      <c r="B1392"/>
    </row>
    <row r="1393" spans="1:2">
      <c r="A1393" s="59"/>
      <c r="B1393"/>
    </row>
    <row r="1394" spans="1:2">
      <c r="A1394" s="59"/>
      <c r="B1394"/>
    </row>
    <row r="1395" spans="1:2">
      <c r="A1395" s="59"/>
      <c r="B1395"/>
    </row>
    <row r="1396" spans="1:2">
      <c r="A1396" s="59"/>
      <c r="B1396"/>
    </row>
    <row r="1397" spans="1:2">
      <c r="A1397" s="59"/>
      <c r="B1397"/>
    </row>
    <row r="1398" spans="1:2">
      <c r="A1398" s="59"/>
      <c r="B1398"/>
    </row>
    <row r="1399" spans="1:2">
      <c r="A1399" s="59"/>
      <c r="B1399"/>
    </row>
    <row r="1400" spans="1:2">
      <c r="A1400" s="59"/>
      <c r="B1400"/>
    </row>
    <row r="1401" spans="1:2">
      <c r="A1401" s="59"/>
      <c r="B1401"/>
    </row>
    <row r="1402" spans="1:2">
      <c r="A1402" s="59"/>
      <c r="B1402"/>
    </row>
    <row r="1403" spans="1:2">
      <c r="A1403" s="59"/>
      <c r="B1403"/>
    </row>
    <row r="1404" spans="1:2">
      <c r="A1404" s="59"/>
      <c r="B1404"/>
    </row>
    <row r="1405" spans="1:2">
      <c r="A1405" s="59"/>
      <c r="B1405"/>
    </row>
    <row r="1406" spans="1:2">
      <c r="A1406" s="59"/>
      <c r="B1406"/>
    </row>
    <row r="1407" spans="1:2">
      <c r="A1407" s="59"/>
      <c r="B1407"/>
    </row>
    <row r="1408" spans="1:2">
      <c r="A1408" s="59"/>
      <c r="B1408"/>
    </row>
    <row r="1409" spans="1:2">
      <c r="A1409" s="59"/>
      <c r="B1409"/>
    </row>
    <row r="1410" spans="1:2">
      <c r="A1410" s="59"/>
      <c r="B1410"/>
    </row>
    <row r="1411" spans="1:2">
      <c r="A1411" s="59"/>
      <c r="B1411"/>
    </row>
    <row r="1412" spans="1:2">
      <c r="A1412" s="59"/>
      <c r="B1412"/>
    </row>
    <row r="1413" spans="1:2">
      <c r="A1413" s="59"/>
      <c r="B1413"/>
    </row>
    <row r="1414" spans="1:2">
      <c r="A1414" s="59"/>
      <c r="B1414"/>
    </row>
    <row r="1415" spans="1:2">
      <c r="A1415" s="59"/>
      <c r="B1415"/>
    </row>
    <row r="1416" spans="1:2">
      <c r="A1416" s="59"/>
      <c r="B1416"/>
    </row>
    <row r="1417" spans="1:2">
      <c r="A1417" s="59"/>
      <c r="B1417"/>
    </row>
    <row r="1418" spans="1:2">
      <c r="A1418" s="59"/>
      <c r="B1418"/>
    </row>
    <row r="1419" spans="1:2">
      <c r="A1419" s="59"/>
      <c r="B1419"/>
    </row>
    <row r="1420" spans="1:2">
      <c r="A1420" s="59"/>
      <c r="B1420"/>
    </row>
    <row r="1421" spans="1:2">
      <c r="A1421" s="59"/>
      <c r="B1421"/>
    </row>
    <row r="1422" spans="1:2">
      <c r="A1422" s="59"/>
      <c r="B1422"/>
    </row>
    <row r="1423" spans="1:2">
      <c r="A1423" s="59"/>
      <c r="B1423"/>
    </row>
    <row r="1424" spans="1:2">
      <c r="A1424" s="59"/>
      <c r="B1424"/>
    </row>
    <row r="1425" spans="1:2">
      <c r="A1425" s="59"/>
      <c r="B1425"/>
    </row>
    <row r="1426" spans="1:2">
      <c r="A1426" s="59"/>
      <c r="B1426"/>
    </row>
    <row r="1427" spans="1:2">
      <c r="A1427" s="59"/>
      <c r="B1427"/>
    </row>
    <row r="1428" spans="1:2">
      <c r="A1428" s="59"/>
      <c r="B1428"/>
    </row>
    <row r="1429" spans="1:2">
      <c r="A1429" s="59"/>
      <c r="B1429"/>
    </row>
    <row r="1430" spans="1:2">
      <c r="A1430" s="59"/>
      <c r="B1430"/>
    </row>
    <row r="1431" spans="1:2">
      <c r="A1431" s="59"/>
      <c r="B1431"/>
    </row>
    <row r="1432" spans="1:2">
      <c r="A1432" s="59"/>
      <c r="B1432"/>
    </row>
    <row r="1433" spans="1:2">
      <c r="A1433" s="59"/>
      <c r="B1433"/>
    </row>
    <row r="1434" spans="1:2">
      <c r="A1434" s="59"/>
      <c r="B1434"/>
    </row>
    <row r="1435" spans="1:2">
      <c r="A1435" s="59"/>
      <c r="B1435"/>
    </row>
    <row r="1436" spans="1:2">
      <c r="A1436" s="59"/>
      <c r="B1436"/>
    </row>
    <row r="1437" spans="1:2">
      <c r="A1437" s="59"/>
      <c r="B1437"/>
    </row>
    <row r="1438" spans="1:2">
      <c r="A1438" s="59"/>
      <c r="B1438"/>
    </row>
    <row r="1439" spans="1:2">
      <c r="A1439" s="59"/>
      <c r="B1439"/>
    </row>
    <row r="1440" spans="1:2">
      <c r="A1440" s="59"/>
      <c r="B1440"/>
    </row>
    <row r="1441" spans="1:2">
      <c r="A1441" s="59"/>
      <c r="B1441"/>
    </row>
    <row r="1442" spans="1:2">
      <c r="A1442" s="59"/>
      <c r="B1442"/>
    </row>
    <row r="1443" spans="1:2">
      <c r="A1443" s="59"/>
      <c r="B1443"/>
    </row>
    <row r="1444" spans="1:2">
      <c r="A1444" s="59"/>
      <c r="B1444"/>
    </row>
    <row r="1445" spans="1:2">
      <c r="A1445" s="59"/>
      <c r="B1445"/>
    </row>
    <row r="1446" spans="1:2">
      <c r="A1446" s="59"/>
      <c r="B1446"/>
    </row>
    <row r="1447" spans="1:2">
      <c r="A1447" s="59"/>
      <c r="B1447"/>
    </row>
    <row r="1448" spans="1:2">
      <c r="A1448" s="59"/>
      <c r="B1448"/>
    </row>
    <row r="1449" spans="1:2">
      <c r="A1449" s="59"/>
      <c r="B1449"/>
    </row>
    <row r="1450" spans="1:2">
      <c r="A1450" s="59"/>
      <c r="B1450"/>
    </row>
    <row r="1451" spans="1:2">
      <c r="A1451" s="59"/>
      <c r="B1451"/>
    </row>
    <row r="1452" spans="1:2">
      <c r="A1452" s="59"/>
      <c r="B1452"/>
    </row>
    <row r="1453" spans="1:2">
      <c r="A1453" s="59"/>
      <c r="B1453"/>
    </row>
    <row r="1454" spans="1:2">
      <c r="A1454" s="59"/>
      <c r="B1454"/>
    </row>
    <row r="1455" spans="1:2">
      <c r="A1455" s="59"/>
      <c r="B1455"/>
    </row>
    <row r="1456" spans="1:2">
      <c r="A1456" s="59"/>
      <c r="B1456"/>
    </row>
    <row r="1457" spans="1:2">
      <c r="A1457" s="59"/>
      <c r="B1457"/>
    </row>
    <row r="1458" spans="1:2">
      <c r="A1458" s="59"/>
      <c r="B1458"/>
    </row>
    <row r="1459" spans="1:2">
      <c r="A1459" s="59"/>
      <c r="B1459"/>
    </row>
    <row r="1460" spans="1:2">
      <c r="A1460" s="59"/>
      <c r="B1460"/>
    </row>
    <row r="1461" spans="1:2">
      <c r="A1461" s="59"/>
      <c r="B1461"/>
    </row>
    <row r="1462" spans="1:2">
      <c r="A1462" s="59"/>
      <c r="B1462"/>
    </row>
    <row r="1463" spans="1:2">
      <c r="A1463" s="59"/>
      <c r="B1463"/>
    </row>
    <row r="1464" spans="1:2">
      <c r="A1464" s="59"/>
      <c r="B1464"/>
    </row>
    <row r="1465" spans="1:2">
      <c r="A1465" s="59"/>
      <c r="B1465"/>
    </row>
    <row r="1466" spans="1:2">
      <c r="A1466" s="59"/>
      <c r="B1466"/>
    </row>
    <row r="1467" spans="1:2">
      <c r="A1467" s="59"/>
      <c r="B1467"/>
    </row>
    <row r="1468" spans="1:2">
      <c r="A1468" s="59"/>
      <c r="B1468"/>
    </row>
    <row r="1469" spans="1:2">
      <c r="A1469" s="59"/>
      <c r="B1469"/>
    </row>
    <row r="1470" spans="1:2">
      <c r="A1470" s="59"/>
      <c r="B1470"/>
    </row>
    <row r="1471" spans="1:2">
      <c r="A1471" s="59"/>
      <c r="B1471"/>
    </row>
    <row r="1472" spans="1:2">
      <c r="A1472" s="59"/>
      <c r="B1472"/>
    </row>
    <row r="1473" spans="1:2">
      <c r="A1473" s="59"/>
      <c r="B1473"/>
    </row>
    <row r="1474" spans="1:2">
      <c r="A1474" s="59"/>
      <c r="B1474"/>
    </row>
    <row r="1475" spans="1:2">
      <c r="A1475" s="59"/>
      <c r="B1475"/>
    </row>
    <row r="1476" spans="1:2">
      <c r="A1476" s="59"/>
      <c r="B1476"/>
    </row>
    <row r="1477" spans="1:2">
      <c r="A1477" s="59"/>
      <c r="B1477"/>
    </row>
    <row r="1478" spans="1:2">
      <c r="A1478" s="59"/>
      <c r="B1478"/>
    </row>
    <row r="1479" spans="1:2">
      <c r="A1479" s="59"/>
      <c r="B1479"/>
    </row>
    <row r="1480" spans="1:2">
      <c r="A1480" s="59"/>
      <c r="B1480"/>
    </row>
    <row r="1481" spans="1:2">
      <c r="A1481" s="59"/>
      <c r="B1481"/>
    </row>
    <row r="1482" spans="1:2">
      <c r="A1482" s="59"/>
      <c r="B1482"/>
    </row>
    <row r="1483" spans="1:2">
      <c r="A1483" s="59"/>
      <c r="B1483"/>
    </row>
    <row r="1484" spans="1:2">
      <c r="A1484" s="59"/>
      <c r="B1484"/>
    </row>
    <row r="1485" spans="1:2">
      <c r="A1485" s="59"/>
      <c r="B1485"/>
    </row>
    <row r="1486" spans="1:2">
      <c r="A1486" s="59"/>
      <c r="B1486"/>
    </row>
    <row r="1487" spans="1:2">
      <c r="A1487" s="59"/>
      <c r="B1487"/>
    </row>
    <row r="1488" spans="1:2">
      <c r="A1488" s="59"/>
      <c r="B1488"/>
    </row>
    <row r="1489" spans="1:2">
      <c r="A1489" s="59"/>
      <c r="B1489"/>
    </row>
    <row r="1490" spans="1:2">
      <c r="A1490" s="59"/>
      <c r="B1490"/>
    </row>
    <row r="1491" spans="1:2">
      <c r="A1491" s="59"/>
      <c r="B1491"/>
    </row>
    <row r="1492" spans="1:2">
      <c r="A1492" s="59"/>
      <c r="B1492"/>
    </row>
    <row r="1493" spans="1:2">
      <c r="A1493" s="59"/>
      <c r="B1493"/>
    </row>
    <row r="1494" spans="1:2">
      <c r="A1494" s="59"/>
      <c r="B1494"/>
    </row>
    <row r="1495" spans="1:2">
      <c r="A1495" s="59"/>
      <c r="B1495"/>
    </row>
    <row r="1496" spans="1:2">
      <c r="A1496" s="59"/>
      <c r="B1496"/>
    </row>
    <row r="1497" spans="1:2">
      <c r="A1497" s="59"/>
      <c r="B1497"/>
    </row>
    <row r="1498" spans="1:2">
      <c r="A1498" s="59"/>
      <c r="B1498"/>
    </row>
    <row r="1499" spans="1:2">
      <c r="A1499" s="59"/>
      <c r="B1499"/>
    </row>
    <row r="1500" spans="1:2">
      <c r="A1500" s="59"/>
      <c r="B1500"/>
    </row>
    <row r="1501" spans="1:2">
      <c r="A1501" s="59"/>
      <c r="B1501"/>
    </row>
    <row r="1502" spans="1:2">
      <c r="A1502" s="59"/>
      <c r="B1502"/>
    </row>
    <row r="1503" spans="1:2">
      <c r="A1503" s="59"/>
      <c r="B1503"/>
    </row>
    <row r="1504" spans="1:2">
      <c r="A1504" s="59"/>
      <c r="B1504"/>
    </row>
    <row r="1505" spans="1:2">
      <c r="A1505" s="59"/>
      <c r="B1505"/>
    </row>
    <row r="1506" spans="1:2">
      <c r="A1506" s="59"/>
      <c r="B1506"/>
    </row>
    <row r="1507" spans="1:2">
      <c r="A1507" s="59"/>
      <c r="B1507"/>
    </row>
    <row r="1508" spans="1:2">
      <c r="A1508" s="59"/>
      <c r="B1508"/>
    </row>
    <row r="1509" spans="1:2">
      <c r="A1509" s="59"/>
      <c r="B1509"/>
    </row>
    <row r="1510" spans="1:2">
      <c r="A1510" s="59"/>
      <c r="B1510"/>
    </row>
    <row r="1511" spans="1:2">
      <c r="A1511" s="59"/>
      <c r="B1511"/>
    </row>
    <row r="1512" spans="1:2">
      <c r="A1512" s="59"/>
      <c r="B1512"/>
    </row>
    <row r="1513" spans="1:2">
      <c r="A1513" s="59"/>
      <c r="B1513"/>
    </row>
    <row r="1514" spans="1:2">
      <c r="A1514" s="59"/>
      <c r="B1514"/>
    </row>
    <row r="1515" spans="1:2">
      <c r="A1515" s="59"/>
      <c r="B1515"/>
    </row>
    <row r="1516" spans="1:2">
      <c r="A1516" s="59"/>
      <c r="B1516"/>
    </row>
    <row r="1517" spans="1:2">
      <c r="A1517" s="59"/>
      <c r="B1517"/>
    </row>
    <row r="1518" spans="1:2">
      <c r="A1518" s="59"/>
      <c r="B1518"/>
    </row>
    <row r="1519" spans="1:2">
      <c r="A1519" s="59"/>
      <c r="B1519"/>
    </row>
    <row r="1520" spans="1:2">
      <c r="A1520" s="59"/>
      <c r="B1520"/>
    </row>
    <row r="1521" spans="1:2">
      <c r="A1521" s="59"/>
      <c r="B1521"/>
    </row>
    <row r="1522" spans="1:2">
      <c r="A1522" s="59"/>
      <c r="B1522"/>
    </row>
    <row r="1523" spans="1:2">
      <c r="A1523" s="59"/>
      <c r="B1523"/>
    </row>
    <row r="1524" spans="1:2">
      <c r="A1524" s="59"/>
      <c r="B1524"/>
    </row>
    <row r="1525" spans="1:2">
      <c r="A1525" s="59"/>
      <c r="B1525"/>
    </row>
    <row r="1526" spans="1:2">
      <c r="A1526" s="59"/>
      <c r="B1526"/>
    </row>
    <row r="1527" spans="1:2">
      <c r="A1527" s="59"/>
      <c r="B1527"/>
    </row>
    <row r="1528" spans="1:2">
      <c r="A1528" s="59"/>
      <c r="B1528"/>
    </row>
    <row r="1529" spans="1:2">
      <c r="A1529" s="59"/>
      <c r="B1529"/>
    </row>
    <row r="1530" spans="1:2">
      <c r="A1530" s="59"/>
      <c r="B1530"/>
    </row>
    <row r="1531" spans="1:2">
      <c r="A1531" s="59"/>
      <c r="B1531"/>
    </row>
    <row r="1532" spans="1:2">
      <c r="A1532" s="59"/>
      <c r="B1532"/>
    </row>
    <row r="1533" spans="1:2">
      <c r="A1533" s="59"/>
      <c r="B1533"/>
    </row>
    <row r="1534" spans="1:2">
      <c r="A1534" s="59"/>
      <c r="B1534"/>
    </row>
    <row r="1535" spans="1:2">
      <c r="A1535" s="59"/>
      <c r="B1535"/>
    </row>
    <row r="1536" spans="1:2">
      <c r="A1536" s="59"/>
      <c r="B1536"/>
    </row>
    <row r="1537" spans="1:2">
      <c r="A1537" s="59"/>
      <c r="B1537"/>
    </row>
    <row r="1538" spans="1:2">
      <c r="A1538" s="59"/>
      <c r="B1538"/>
    </row>
    <row r="1539" spans="1:2">
      <c r="A1539" s="59"/>
      <c r="B1539"/>
    </row>
    <row r="1540" spans="1:2">
      <c r="A1540" s="59"/>
      <c r="B1540"/>
    </row>
    <row r="1541" spans="1:2">
      <c r="A1541" s="59"/>
      <c r="B1541"/>
    </row>
    <row r="1542" spans="1:2">
      <c r="A1542" s="59"/>
      <c r="B1542"/>
    </row>
    <row r="1543" spans="1:2">
      <c r="A1543" s="59"/>
      <c r="B1543"/>
    </row>
    <row r="1544" spans="1:2">
      <c r="A1544" s="59"/>
      <c r="B1544"/>
    </row>
    <row r="1545" spans="1:2">
      <c r="A1545" s="59"/>
      <c r="B1545"/>
    </row>
    <row r="1546" spans="1:2">
      <c r="A1546" s="59"/>
      <c r="B1546"/>
    </row>
    <row r="1547" spans="1:2">
      <c r="A1547" s="59"/>
      <c r="B1547"/>
    </row>
    <row r="1548" spans="1:2">
      <c r="A1548" s="59"/>
      <c r="B1548"/>
    </row>
    <row r="1549" spans="1:2">
      <c r="A1549" s="59"/>
      <c r="B1549"/>
    </row>
    <row r="1550" spans="1:2">
      <c r="A1550" s="59"/>
      <c r="B1550"/>
    </row>
    <row r="1551" spans="1:2">
      <c r="A1551" s="59"/>
      <c r="B1551"/>
    </row>
    <row r="1552" spans="1:2">
      <c r="A1552" s="59"/>
      <c r="B1552"/>
    </row>
    <row r="1553" spans="1:2">
      <c r="A1553" s="59"/>
      <c r="B1553"/>
    </row>
    <row r="1554" spans="1:2">
      <c r="A1554" s="59"/>
      <c r="B1554"/>
    </row>
    <row r="1555" spans="1:2">
      <c r="A1555" s="59"/>
      <c r="B1555"/>
    </row>
    <row r="1556" spans="1:2">
      <c r="A1556" s="59"/>
      <c r="B1556"/>
    </row>
    <row r="1557" spans="1:2">
      <c r="A1557" s="59"/>
      <c r="B1557"/>
    </row>
    <row r="1558" spans="1:2">
      <c r="A1558" s="59"/>
      <c r="B1558"/>
    </row>
    <row r="1559" spans="1:2">
      <c r="A1559" s="59"/>
      <c r="B1559"/>
    </row>
    <row r="1560" spans="1:2">
      <c r="A1560" s="59"/>
      <c r="B1560"/>
    </row>
    <row r="1561" spans="1:2">
      <c r="A1561" s="59"/>
      <c r="B1561"/>
    </row>
    <row r="1562" spans="1:2">
      <c r="A1562" s="59"/>
      <c r="B1562"/>
    </row>
    <row r="1563" spans="1:2">
      <c r="A1563" s="59"/>
      <c r="B1563"/>
    </row>
    <row r="1564" spans="1:2">
      <c r="A1564" s="59"/>
      <c r="B1564"/>
    </row>
    <row r="1565" spans="1:2">
      <c r="A1565" s="59"/>
      <c r="B1565"/>
    </row>
    <row r="1566" spans="1:2">
      <c r="A1566" s="59"/>
      <c r="B1566"/>
    </row>
    <row r="1567" spans="1:2">
      <c r="A1567" s="59"/>
      <c r="B1567"/>
    </row>
    <row r="1568" spans="1:2">
      <c r="A1568" s="59"/>
      <c r="B1568"/>
    </row>
    <row r="1569" spans="1:2">
      <c r="A1569" s="59"/>
      <c r="B1569"/>
    </row>
    <row r="1570" spans="1:2">
      <c r="A1570" s="59"/>
      <c r="B1570"/>
    </row>
    <row r="1571" spans="1:2">
      <c r="A1571" s="59"/>
      <c r="B1571"/>
    </row>
    <row r="1572" spans="1:2">
      <c r="A1572" s="59"/>
      <c r="B1572"/>
    </row>
    <row r="1573" spans="1:2">
      <c r="A1573" s="59"/>
      <c r="B1573"/>
    </row>
    <row r="1574" spans="1:2">
      <c r="A1574" s="59"/>
      <c r="B1574"/>
    </row>
    <row r="1575" spans="1:2">
      <c r="A1575" s="59"/>
      <c r="B1575"/>
    </row>
    <row r="1576" spans="1:2">
      <c r="A1576" s="59"/>
      <c r="B1576"/>
    </row>
    <row r="1577" spans="1:2">
      <c r="A1577" s="59"/>
      <c r="B1577"/>
    </row>
    <row r="1578" spans="1:2">
      <c r="A1578" s="59"/>
      <c r="B1578"/>
    </row>
    <row r="1579" spans="1:2">
      <c r="A1579" s="59"/>
      <c r="B1579"/>
    </row>
    <row r="1580" spans="1:2">
      <c r="A1580" s="59"/>
      <c r="B1580"/>
    </row>
    <row r="1581" spans="1:2">
      <c r="A1581" s="59"/>
      <c r="B1581"/>
    </row>
    <row r="1582" spans="1:2">
      <c r="A1582" s="59"/>
      <c r="B1582"/>
    </row>
    <row r="1583" spans="1:2">
      <c r="A1583" s="59"/>
      <c r="B1583"/>
    </row>
    <row r="1584" spans="1:2">
      <c r="A1584" s="59"/>
      <c r="B1584"/>
    </row>
    <row r="1585" spans="1:2">
      <c r="A1585" s="59"/>
      <c r="B1585"/>
    </row>
    <row r="1586" spans="1:2">
      <c r="A1586" s="59"/>
      <c r="B1586"/>
    </row>
    <row r="1587" spans="1:2">
      <c r="A1587" s="59"/>
      <c r="B1587"/>
    </row>
    <row r="1588" spans="1:2">
      <c r="A1588" s="59"/>
      <c r="B1588"/>
    </row>
    <row r="1589" spans="1:2">
      <c r="A1589" s="59"/>
      <c r="B1589"/>
    </row>
    <row r="1590" spans="1:2">
      <c r="A1590" s="59"/>
      <c r="B1590"/>
    </row>
    <row r="1591" spans="1:2">
      <c r="A1591" s="59"/>
      <c r="B1591"/>
    </row>
    <row r="1592" spans="1:2">
      <c r="A1592" s="59"/>
      <c r="B1592"/>
    </row>
    <row r="1593" spans="1:2">
      <c r="A1593" s="59"/>
      <c r="B1593"/>
    </row>
    <row r="1594" spans="1:2">
      <c r="A1594" s="59"/>
      <c r="B1594"/>
    </row>
    <row r="1595" spans="1:2">
      <c r="A1595" s="59"/>
      <c r="B1595"/>
    </row>
    <row r="1596" spans="1:2">
      <c r="A1596" s="59"/>
      <c r="B1596"/>
    </row>
    <row r="1597" spans="1:2">
      <c r="A1597" s="59"/>
      <c r="B1597"/>
    </row>
    <row r="1598" spans="1:2">
      <c r="A1598" s="59"/>
      <c r="B1598"/>
    </row>
    <row r="1599" spans="1:2">
      <c r="A1599" s="59"/>
      <c r="B1599"/>
    </row>
    <row r="1600" spans="1:2">
      <c r="A1600" s="59"/>
      <c r="B1600"/>
    </row>
    <row r="1601" spans="1:2">
      <c r="A1601" s="59"/>
      <c r="B1601"/>
    </row>
    <row r="1602" spans="1:2">
      <c r="A1602" s="59"/>
      <c r="B1602"/>
    </row>
    <row r="1603" spans="1:2">
      <c r="A1603" s="59"/>
      <c r="B1603"/>
    </row>
    <row r="1604" spans="1:2">
      <c r="A1604" s="59"/>
      <c r="B1604"/>
    </row>
    <row r="1605" spans="1:2">
      <c r="A1605" s="59"/>
      <c r="B1605"/>
    </row>
    <row r="1606" spans="1:2">
      <c r="A1606" s="59"/>
      <c r="B1606"/>
    </row>
    <row r="1607" spans="1:2">
      <c r="A1607" s="59"/>
      <c r="B1607"/>
    </row>
    <row r="1608" spans="1:2">
      <c r="A1608" s="59"/>
      <c r="B1608"/>
    </row>
    <row r="1609" spans="1:2">
      <c r="A1609" s="59"/>
      <c r="B1609"/>
    </row>
    <row r="1610" spans="1:2">
      <c r="A1610" s="59"/>
      <c r="B1610"/>
    </row>
    <row r="1611" spans="1:2">
      <c r="A1611" s="59"/>
      <c r="B1611"/>
    </row>
    <row r="1612" spans="1:2">
      <c r="A1612" s="59"/>
      <c r="B1612"/>
    </row>
    <row r="1613" spans="1:2">
      <c r="A1613" s="59"/>
      <c r="B1613"/>
    </row>
    <row r="1614" spans="1:2">
      <c r="A1614" s="59"/>
      <c r="B1614"/>
    </row>
    <row r="1615" spans="1:2">
      <c r="A1615" s="59"/>
      <c r="B1615"/>
    </row>
    <row r="1616" spans="1:2">
      <c r="A1616" s="59"/>
      <c r="B1616"/>
    </row>
    <row r="1617" spans="1:2">
      <c r="A1617" s="59"/>
      <c r="B1617"/>
    </row>
    <row r="1618" spans="1:2">
      <c r="A1618" s="59"/>
      <c r="B1618"/>
    </row>
    <row r="1619" spans="1:2">
      <c r="A1619" s="59"/>
      <c r="B1619"/>
    </row>
    <row r="1620" spans="1:2">
      <c r="A1620" s="59"/>
      <c r="B1620"/>
    </row>
    <row r="1621" spans="1:2">
      <c r="A1621" s="59"/>
      <c r="B1621"/>
    </row>
    <row r="1622" spans="1:2">
      <c r="A1622" s="59"/>
      <c r="B1622"/>
    </row>
    <row r="1623" spans="1:2">
      <c r="A1623" s="59"/>
      <c r="B1623"/>
    </row>
    <row r="1624" spans="1:2">
      <c r="A1624" s="59"/>
      <c r="B1624"/>
    </row>
    <row r="1625" spans="1:2">
      <c r="A1625" s="59"/>
      <c r="B1625"/>
    </row>
    <row r="1626" spans="1:2">
      <c r="A1626" s="59"/>
      <c r="B1626"/>
    </row>
    <row r="1627" spans="1:2">
      <c r="A1627" s="59"/>
      <c r="B1627"/>
    </row>
    <row r="1628" spans="1:2">
      <c r="A1628" s="59"/>
      <c r="B1628"/>
    </row>
    <row r="1629" spans="1:2">
      <c r="A1629" s="59"/>
      <c r="B1629"/>
    </row>
    <row r="1630" spans="1:2">
      <c r="A1630" s="59"/>
      <c r="B1630"/>
    </row>
    <row r="1631" spans="1:2">
      <c r="A1631" s="59"/>
      <c r="B1631"/>
    </row>
    <row r="1632" spans="1:2">
      <c r="A1632" s="59"/>
      <c r="B1632"/>
    </row>
    <row r="1633" spans="1:2">
      <c r="A1633" s="59"/>
      <c r="B1633"/>
    </row>
    <row r="1634" spans="1:2">
      <c r="A1634" s="59"/>
      <c r="B1634"/>
    </row>
    <row r="1635" spans="1:2">
      <c r="A1635" s="59"/>
      <c r="B1635"/>
    </row>
    <row r="1636" spans="1:2">
      <c r="A1636" s="59"/>
      <c r="B1636"/>
    </row>
    <row r="1637" spans="1:2">
      <c r="A1637" s="59"/>
      <c r="B1637"/>
    </row>
    <row r="1638" spans="1:2">
      <c r="A1638" s="59"/>
      <c r="B1638"/>
    </row>
    <row r="1639" spans="1:2">
      <c r="A1639" s="59"/>
      <c r="B1639"/>
    </row>
    <row r="1640" spans="1:2">
      <c r="A1640" s="59"/>
      <c r="B1640"/>
    </row>
    <row r="1641" spans="1:2">
      <c r="A1641" s="59"/>
      <c r="B1641"/>
    </row>
    <row r="1642" spans="1:2">
      <c r="A1642" s="59"/>
      <c r="B1642"/>
    </row>
    <row r="1643" spans="1:2">
      <c r="A1643" s="59"/>
      <c r="B1643"/>
    </row>
    <row r="1644" spans="1:2">
      <c r="A1644" s="59"/>
      <c r="B1644"/>
    </row>
    <row r="1645" spans="1:2">
      <c r="A1645" s="59"/>
      <c r="B1645"/>
    </row>
    <row r="1646" spans="1:2">
      <c r="A1646" s="59"/>
      <c r="B1646"/>
    </row>
    <row r="1647" spans="1:2">
      <c r="A1647" s="59"/>
      <c r="B1647"/>
    </row>
    <row r="1648" spans="1:2">
      <c r="A1648" s="59"/>
      <c r="B1648"/>
    </row>
    <row r="1649" spans="1:2">
      <c r="A1649" s="59"/>
      <c r="B1649"/>
    </row>
    <row r="1650" spans="1:2">
      <c r="A1650" s="59"/>
      <c r="B1650"/>
    </row>
    <row r="1651" spans="1:2">
      <c r="A1651" s="59"/>
      <c r="B1651"/>
    </row>
    <row r="1652" spans="1:2">
      <c r="A1652" s="59"/>
      <c r="B1652"/>
    </row>
    <row r="1653" spans="1:2">
      <c r="A1653" s="59"/>
      <c r="B1653"/>
    </row>
    <row r="1654" spans="1:2">
      <c r="A1654" s="59"/>
      <c r="B1654"/>
    </row>
    <row r="1655" spans="1:2">
      <c r="A1655" s="59"/>
      <c r="B1655"/>
    </row>
    <row r="1656" spans="1:2">
      <c r="A1656" s="59"/>
      <c r="B1656"/>
    </row>
    <row r="1657" spans="1:2">
      <c r="A1657" s="59"/>
      <c r="B1657"/>
    </row>
    <row r="1658" spans="1:2">
      <c r="A1658" s="59"/>
      <c r="B1658"/>
    </row>
    <row r="1659" spans="1:2">
      <c r="A1659" s="59"/>
      <c r="B1659"/>
    </row>
    <row r="1660" spans="1:2">
      <c r="A1660" s="59"/>
      <c r="B1660"/>
    </row>
    <row r="1661" spans="1:2">
      <c r="A1661" s="59"/>
      <c r="B1661"/>
    </row>
    <row r="1662" spans="1:2">
      <c r="A1662" s="59"/>
      <c r="B1662"/>
    </row>
    <row r="1663" spans="1:2">
      <c r="A1663" s="59"/>
      <c r="B1663"/>
    </row>
    <row r="1664" spans="1:2">
      <c r="A1664" s="59"/>
      <c r="B1664"/>
    </row>
    <row r="1665" spans="1:2">
      <c r="A1665" s="59"/>
      <c r="B1665"/>
    </row>
    <row r="1666" spans="1:2">
      <c r="A1666" s="59"/>
      <c r="B1666"/>
    </row>
    <row r="1667" spans="1:2">
      <c r="A1667" s="59"/>
      <c r="B1667"/>
    </row>
    <row r="1668" spans="1:2">
      <c r="A1668" s="59"/>
      <c r="B1668"/>
    </row>
    <row r="1669" spans="1:2">
      <c r="A1669" s="59"/>
      <c r="B1669"/>
    </row>
    <row r="1670" spans="1:2">
      <c r="A1670" s="59"/>
      <c r="B1670"/>
    </row>
    <row r="1671" spans="1:2">
      <c r="A1671" s="59"/>
      <c r="B1671"/>
    </row>
    <row r="1672" spans="1:2">
      <c r="A1672" s="59"/>
      <c r="B1672"/>
    </row>
    <row r="1673" spans="1:2">
      <c r="A1673" s="59"/>
      <c r="B1673"/>
    </row>
    <row r="1674" spans="1:2">
      <c r="A1674" s="59"/>
      <c r="B1674"/>
    </row>
    <row r="1675" spans="1:2">
      <c r="A1675" s="59"/>
      <c r="B1675"/>
    </row>
    <row r="1676" spans="1:2">
      <c r="A1676" s="59"/>
      <c r="B1676"/>
    </row>
    <row r="1677" spans="1:2">
      <c r="A1677" s="59"/>
      <c r="B1677"/>
    </row>
    <row r="1678" spans="1:2">
      <c r="A1678" s="59"/>
      <c r="B1678"/>
    </row>
    <row r="1679" spans="1:2">
      <c r="A1679" s="59"/>
      <c r="B1679"/>
    </row>
    <row r="1680" spans="1:2">
      <c r="A1680" s="59"/>
      <c r="B1680"/>
    </row>
    <row r="1681" spans="1:2">
      <c r="A1681" s="59"/>
      <c r="B1681"/>
    </row>
    <row r="1682" spans="1:2">
      <c r="A1682" s="59"/>
      <c r="B1682"/>
    </row>
    <row r="1683" spans="1:2">
      <c r="A1683" s="59"/>
      <c r="B1683"/>
    </row>
    <row r="1684" spans="1:2">
      <c r="A1684" s="59"/>
      <c r="B1684"/>
    </row>
    <row r="1685" spans="1:2">
      <c r="A1685" s="59"/>
      <c r="B1685"/>
    </row>
    <row r="1686" spans="1:2">
      <c r="A1686" s="59"/>
      <c r="B1686"/>
    </row>
    <row r="1687" spans="1:2">
      <c r="A1687" s="59"/>
      <c r="B1687"/>
    </row>
    <row r="1688" spans="1:2">
      <c r="A1688" s="59"/>
      <c r="B1688"/>
    </row>
    <row r="1689" spans="1:2">
      <c r="A1689" s="59"/>
      <c r="B1689"/>
    </row>
    <row r="1690" spans="1:2">
      <c r="A1690" s="59"/>
      <c r="B1690"/>
    </row>
    <row r="1691" spans="1:2">
      <c r="A1691" s="59"/>
      <c r="B1691"/>
    </row>
    <row r="1692" spans="1:2">
      <c r="A1692" s="59"/>
      <c r="B1692"/>
    </row>
    <row r="1693" spans="1:2">
      <c r="A1693" s="59"/>
      <c r="B1693"/>
    </row>
    <row r="1694" spans="1:2">
      <c r="A1694" s="59"/>
      <c r="B1694"/>
    </row>
    <row r="1695" spans="1:2">
      <c r="A1695" s="59"/>
      <c r="B1695"/>
    </row>
    <row r="1696" spans="1:2">
      <c r="A1696" s="59"/>
      <c r="B1696"/>
    </row>
    <row r="1697" spans="1:2">
      <c r="A1697" s="59"/>
      <c r="B1697"/>
    </row>
    <row r="1698" spans="1:2">
      <c r="A1698" s="59"/>
      <c r="B1698"/>
    </row>
    <row r="1699" spans="1:2">
      <c r="A1699" s="59"/>
      <c r="B1699"/>
    </row>
    <row r="1700" spans="1:2">
      <c r="A1700" s="59"/>
      <c r="B1700"/>
    </row>
    <row r="1701" spans="1:2">
      <c r="A1701" s="59"/>
      <c r="B1701"/>
    </row>
    <row r="1702" spans="1:2">
      <c r="A1702" s="59"/>
      <c r="B1702"/>
    </row>
    <row r="1703" spans="1:2">
      <c r="A1703" s="59"/>
      <c r="B1703"/>
    </row>
    <row r="1704" spans="1:2">
      <c r="A1704" s="59"/>
      <c r="B1704"/>
    </row>
    <row r="1705" spans="1:2">
      <c r="A1705" s="59"/>
      <c r="B1705"/>
    </row>
    <row r="1706" spans="1:2">
      <c r="A1706" s="59"/>
      <c r="B1706"/>
    </row>
    <row r="1707" spans="1:2">
      <c r="A1707" s="59"/>
      <c r="B1707"/>
    </row>
    <row r="1708" spans="1:2">
      <c r="A1708" s="59"/>
      <c r="B1708"/>
    </row>
    <row r="1709" spans="1:2">
      <c r="A1709" s="59"/>
      <c r="B1709"/>
    </row>
    <row r="1710" spans="1:2">
      <c r="A1710" s="59"/>
      <c r="B1710"/>
    </row>
    <row r="1711" spans="1:2">
      <c r="A1711" s="59"/>
      <c r="B1711"/>
    </row>
    <row r="1712" spans="1:2">
      <c r="A1712" s="59"/>
      <c r="B1712"/>
    </row>
    <row r="1713" spans="1:2">
      <c r="A1713" s="59"/>
      <c r="B1713"/>
    </row>
    <row r="1714" spans="1:2">
      <c r="A1714" s="59"/>
      <c r="B1714"/>
    </row>
    <row r="1715" spans="1:2">
      <c r="A1715" s="59"/>
      <c r="B1715"/>
    </row>
    <row r="1716" spans="1:2">
      <c r="A1716" s="59"/>
      <c r="B1716"/>
    </row>
    <row r="1717" spans="1:2">
      <c r="A1717" s="59"/>
      <c r="B1717"/>
    </row>
    <row r="1718" spans="1:2">
      <c r="A1718" s="59"/>
      <c r="B1718"/>
    </row>
    <row r="1719" spans="1:2">
      <c r="A1719" s="59"/>
      <c r="B1719"/>
    </row>
    <row r="1720" spans="1:2">
      <c r="A1720" s="59"/>
      <c r="B1720"/>
    </row>
    <row r="1721" spans="1:2">
      <c r="A1721" s="59"/>
      <c r="B1721"/>
    </row>
    <row r="1722" spans="1:2">
      <c r="A1722" s="59"/>
      <c r="B1722"/>
    </row>
    <row r="1723" spans="1:2">
      <c r="A1723" s="59"/>
      <c r="B1723"/>
    </row>
    <row r="1724" spans="1:2">
      <c r="A1724" s="59"/>
      <c r="B1724"/>
    </row>
    <row r="1725" spans="1:2">
      <c r="A1725" s="59"/>
      <c r="B1725"/>
    </row>
    <row r="1726" spans="1:2">
      <c r="A1726" s="59"/>
      <c r="B1726"/>
    </row>
    <row r="1727" spans="1:2">
      <c r="A1727" s="59"/>
      <c r="B1727"/>
    </row>
    <row r="1728" spans="1:2">
      <c r="A1728" s="59"/>
      <c r="B1728"/>
    </row>
    <row r="1729" spans="1:2">
      <c r="A1729" s="59"/>
      <c r="B1729"/>
    </row>
    <row r="1730" spans="1:2">
      <c r="A1730" s="59"/>
      <c r="B1730"/>
    </row>
    <row r="1731" spans="1:2">
      <c r="A1731" s="59"/>
      <c r="B1731"/>
    </row>
    <row r="1732" spans="1:2">
      <c r="A1732" s="59"/>
      <c r="B1732"/>
    </row>
    <row r="1733" spans="1:2">
      <c r="A1733" s="59"/>
      <c r="B1733"/>
    </row>
    <row r="1734" spans="1:2">
      <c r="A1734" s="59"/>
      <c r="B1734"/>
    </row>
    <row r="1735" spans="1:2">
      <c r="A1735" s="59"/>
      <c r="B1735"/>
    </row>
    <row r="1736" spans="1:2">
      <c r="A1736" s="59"/>
      <c r="B1736"/>
    </row>
    <row r="1737" spans="1:2">
      <c r="A1737" s="59"/>
      <c r="B1737"/>
    </row>
    <row r="1738" spans="1:2">
      <c r="A1738" s="59"/>
      <c r="B1738"/>
    </row>
    <row r="1739" spans="1:2">
      <c r="A1739" s="59"/>
      <c r="B1739"/>
    </row>
    <row r="1740" spans="1:2">
      <c r="A1740" s="59"/>
      <c r="B1740"/>
    </row>
    <row r="1741" spans="1:2">
      <c r="A1741" s="59"/>
      <c r="B1741"/>
    </row>
    <row r="1742" spans="1:2">
      <c r="A1742" s="59"/>
      <c r="B1742"/>
    </row>
    <row r="1743" spans="1:2">
      <c r="A1743" s="59"/>
      <c r="B1743"/>
    </row>
    <row r="1744" spans="1:2">
      <c r="A1744" s="59"/>
      <c r="B1744"/>
    </row>
    <row r="1745" spans="1:2">
      <c r="A1745" s="59"/>
      <c r="B1745"/>
    </row>
    <row r="1746" spans="1:2">
      <c r="A1746" s="59"/>
      <c r="B1746"/>
    </row>
    <row r="1747" spans="1:2">
      <c r="A1747" s="59"/>
      <c r="B1747"/>
    </row>
    <row r="1748" spans="1:2">
      <c r="A1748" s="59"/>
      <c r="B1748"/>
    </row>
    <row r="1749" spans="1:2">
      <c r="A1749" s="59"/>
      <c r="B1749"/>
    </row>
    <row r="1750" spans="1:2">
      <c r="A1750" s="59"/>
      <c r="B1750"/>
    </row>
    <row r="1751" spans="1:2">
      <c r="A1751" s="59"/>
      <c r="B1751"/>
    </row>
    <row r="1752" spans="1:2">
      <c r="A1752" s="59"/>
      <c r="B1752"/>
    </row>
    <row r="1753" spans="1:2">
      <c r="A1753" s="59"/>
      <c r="B1753"/>
    </row>
    <row r="1754" spans="1:2">
      <c r="A1754" s="59"/>
      <c r="B1754"/>
    </row>
    <row r="1755" spans="1:2">
      <c r="A1755" s="59"/>
      <c r="B1755"/>
    </row>
    <row r="1756" spans="1:2">
      <c r="A1756" s="59"/>
      <c r="B1756"/>
    </row>
    <row r="1757" spans="1:2">
      <c r="A1757" s="59"/>
      <c r="B1757"/>
    </row>
    <row r="1758" spans="1:2">
      <c r="A1758" s="59"/>
      <c r="B1758"/>
    </row>
    <row r="1759" spans="1:2">
      <c r="A1759" s="59"/>
      <c r="B1759"/>
    </row>
    <row r="1760" spans="1:2">
      <c r="A1760" s="59"/>
      <c r="B1760"/>
    </row>
    <row r="1761" spans="1:2">
      <c r="A1761" s="59"/>
      <c r="B1761"/>
    </row>
    <row r="1762" spans="1:2">
      <c r="A1762" s="59"/>
      <c r="B1762"/>
    </row>
    <row r="1763" spans="1:2">
      <c r="A1763" s="59"/>
      <c r="B1763"/>
    </row>
    <row r="1764" spans="1:2">
      <c r="A1764" s="59"/>
      <c r="B1764"/>
    </row>
    <row r="1765" spans="1:2">
      <c r="A1765" s="59"/>
      <c r="B1765"/>
    </row>
    <row r="1766" spans="1:2">
      <c r="A1766" s="59"/>
      <c r="B1766"/>
    </row>
    <row r="1767" spans="1:2">
      <c r="A1767" s="59"/>
      <c r="B1767"/>
    </row>
    <row r="1768" spans="1:2">
      <c r="A1768" s="59"/>
      <c r="B1768"/>
    </row>
    <row r="1769" spans="1:2">
      <c r="A1769" s="59"/>
      <c r="B1769"/>
    </row>
    <row r="1770" spans="1:2">
      <c r="A1770" s="59"/>
      <c r="B1770"/>
    </row>
    <row r="1771" spans="1:2">
      <c r="A1771" s="59"/>
      <c r="B1771"/>
    </row>
    <row r="1772" spans="1:2">
      <c r="A1772" s="59"/>
      <c r="B1772"/>
    </row>
    <row r="1773" spans="1:2">
      <c r="A1773" s="59"/>
      <c r="B1773"/>
    </row>
    <row r="1774" spans="1:2">
      <c r="A1774" s="59"/>
      <c r="B1774"/>
    </row>
    <row r="1775" spans="1:2">
      <c r="A1775" s="59"/>
      <c r="B1775"/>
    </row>
    <row r="1776" spans="1:2">
      <c r="A1776" s="59"/>
      <c r="B1776"/>
    </row>
    <row r="1777" spans="1:2">
      <c r="A1777" s="59"/>
      <c r="B1777"/>
    </row>
    <row r="1778" spans="1:2">
      <c r="A1778" s="59"/>
      <c r="B1778"/>
    </row>
    <row r="1779" spans="1:2">
      <c r="A1779" s="59"/>
      <c r="B1779"/>
    </row>
    <row r="1780" spans="1:2">
      <c r="A1780" s="59"/>
      <c r="B1780"/>
    </row>
    <row r="1781" spans="1:2">
      <c r="A1781" s="59"/>
      <c r="B1781"/>
    </row>
    <row r="1782" spans="1:2">
      <c r="A1782" s="59"/>
      <c r="B1782"/>
    </row>
    <row r="1783" spans="1:2">
      <c r="A1783" s="59"/>
      <c r="B1783"/>
    </row>
    <row r="1784" spans="1:2">
      <c r="A1784" s="59"/>
      <c r="B1784"/>
    </row>
    <row r="1785" spans="1:2">
      <c r="A1785" s="59"/>
      <c r="B1785"/>
    </row>
    <row r="1786" spans="1:2">
      <c r="A1786" s="59"/>
      <c r="B1786"/>
    </row>
    <row r="1787" spans="1:2">
      <c r="A1787" s="59"/>
      <c r="B1787"/>
    </row>
    <row r="1788" spans="1:2">
      <c r="A1788" s="59"/>
      <c r="B1788"/>
    </row>
    <row r="1789" spans="1:2">
      <c r="A1789" s="59"/>
      <c r="B1789"/>
    </row>
    <row r="1790" spans="1:2">
      <c r="A1790" s="59"/>
      <c r="B1790"/>
    </row>
    <row r="1791" spans="1:2">
      <c r="A1791" s="59"/>
      <c r="B1791"/>
    </row>
    <row r="1792" spans="1:2">
      <c r="A1792" s="59"/>
      <c r="B1792"/>
    </row>
    <row r="1793" spans="1:2">
      <c r="A1793" s="59"/>
      <c r="B1793"/>
    </row>
    <row r="1794" spans="1:2">
      <c r="A1794" s="59"/>
      <c r="B1794"/>
    </row>
    <row r="1795" spans="1:2">
      <c r="A1795" s="59"/>
      <c r="B1795"/>
    </row>
    <row r="1796" spans="1:2">
      <c r="A1796" s="59"/>
      <c r="B1796"/>
    </row>
    <row r="1797" spans="1:2">
      <c r="A1797" s="59"/>
      <c r="B1797"/>
    </row>
    <row r="1798" spans="1:2">
      <c r="A1798" s="59"/>
      <c r="B1798"/>
    </row>
    <row r="1799" spans="1:2">
      <c r="A1799" s="59"/>
      <c r="B1799"/>
    </row>
    <row r="1800" spans="1:2">
      <c r="A1800" s="59"/>
      <c r="B1800"/>
    </row>
    <row r="1801" spans="1:2">
      <c r="A1801" s="59"/>
      <c r="B1801"/>
    </row>
    <row r="1802" spans="1:2">
      <c r="A1802" s="59"/>
      <c r="B1802"/>
    </row>
    <row r="1803" spans="1:2">
      <c r="A1803" s="59"/>
      <c r="B1803"/>
    </row>
    <row r="1804" spans="1:2">
      <c r="A1804" s="59"/>
      <c r="B1804"/>
    </row>
    <row r="1805" spans="1:2">
      <c r="A1805" s="59"/>
      <c r="B1805"/>
    </row>
    <row r="1806" spans="1:2">
      <c r="A1806" s="59"/>
      <c r="B1806"/>
    </row>
    <row r="1807" spans="1:2">
      <c r="A1807" s="59"/>
      <c r="B1807"/>
    </row>
    <row r="1808" spans="1:2">
      <c r="A1808" s="59"/>
      <c r="B1808"/>
    </row>
    <row r="1809" spans="1:2">
      <c r="A1809" s="59"/>
      <c r="B1809"/>
    </row>
    <row r="1810" spans="1:2">
      <c r="A1810" s="59"/>
      <c r="B1810"/>
    </row>
    <row r="1811" spans="1:2">
      <c r="A1811" s="59"/>
      <c r="B1811"/>
    </row>
    <row r="1812" spans="1:2">
      <c r="A1812" s="59"/>
      <c r="B1812"/>
    </row>
    <row r="1813" spans="1:2">
      <c r="A1813" s="59"/>
      <c r="B1813"/>
    </row>
    <row r="1814" spans="1:2">
      <c r="A1814" s="59"/>
      <c r="B1814"/>
    </row>
    <row r="1815" spans="1:2">
      <c r="A1815" s="59"/>
      <c r="B1815"/>
    </row>
    <row r="1816" spans="1:2">
      <c r="A1816" s="59"/>
      <c r="B1816"/>
    </row>
    <row r="1817" spans="1:2">
      <c r="A1817" s="59"/>
      <c r="B1817"/>
    </row>
    <row r="1818" spans="1:2">
      <c r="A1818" s="59"/>
      <c r="B1818"/>
    </row>
    <row r="1819" spans="1:2">
      <c r="A1819" s="59"/>
      <c r="B1819"/>
    </row>
    <row r="1820" spans="1:2">
      <c r="A1820" s="59"/>
      <c r="B1820"/>
    </row>
    <row r="1821" spans="1:2">
      <c r="A1821" s="59"/>
      <c r="B1821"/>
    </row>
    <row r="1822" spans="1:2">
      <c r="A1822" s="59"/>
      <c r="B1822"/>
    </row>
    <row r="1823" spans="1:2">
      <c r="A1823" s="59"/>
      <c r="B1823"/>
    </row>
    <row r="1824" spans="1:2">
      <c r="A1824" s="59"/>
      <c r="B1824"/>
    </row>
    <row r="1825" spans="1:2">
      <c r="A1825" s="59"/>
      <c r="B1825"/>
    </row>
    <row r="1826" spans="1:2">
      <c r="A1826" s="59"/>
      <c r="B1826"/>
    </row>
    <row r="1827" spans="1:2">
      <c r="A1827" s="59"/>
      <c r="B1827"/>
    </row>
    <row r="1828" spans="1:2">
      <c r="A1828" s="59"/>
      <c r="B1828"/>
    </row>
    <row r="1829" spans="1:2">
      <c r="A1829" s="59"/>
      <c r="B1829"/>
    </row>
    <row r="1830" spans="1:2">
      <c r="A1830" s="59"/>
      <c r="B1830"/>
    </row>
    <row r="1831" spans="1:2">
      <c r="A1831" s="59"/>
      <c r="B1831"/>
    </row>
    <row r="1832" spans="1:2">
      <c r="A1832" s="59"/>
      <c r="B1832"/>
    </row>
    <row r="1833" spans="1:2">
      <c r="A1833" s="59"/>
      <c r="B1833"/>
    </row>
    <row r="1834" spans="1:2">
      <c r="A1834" s="59"/>
      <c r="B1834"/>
    </row>
    <row r="1835" spans="1:2">
      <c r="A1835" s="59"/>
      <c r="B1835"/>
    </row>
    <row r="1836" spans="1:2">
      <c r="A1836" s="59"/>
      <c r="B1836"/>
    </row>
    <row r="1837" spans="1:2">
      <c r="A1837" s="59"/>
      <c r="B1837"/>
    </row>
    <row r="1838" spans="1:2">
      <c r="A1838" s="59"/>
      <c r="B1838"/>
    </row>
    <row r="1839" spans="1:2">
      <c r="A1839" s="59"/>
      <c r="B1839"/>
    </row>
    <row r="1840" spans="1:2">
      <c r="A1840" s="59"/>
      <c r="B1840"/>
    </row>
    <row r="1841" spans="1:2">
      <c r="A1841" s="59"/>
      <c r="B1841"/>
    </row>
    <row r="1842" spans="1:2">
      <c r="A1842" s="59"/>
      <c r="B1842"/>
    </row>
    <row r="1843" spans="1:2">
      <c r="A1843" s="59"/>
      <c r="B1843"/>
    </row>
    <row r="1844" spans="1:2">
      <c r="A1844" s="59"/>
      <c r="B1844"/>
    </row>
    <row r="1845" spans="1:2">
      <c r="A1845" s="59"/>
      <c r="B1845"/>
    </row>
    <row r="1846" spans="1:2">
      <c r="A1846" s="59"/>
      <c r="B1846"/>
    </row>
    <row r="1847" spans="1:2">
      <c r="A1847" s="59"/>
      <c r="B1847"/>
    </row>
    <row r="1848" spans="1:2">
      <c r="A1848" s="59"/>
      <c r="B1848"/>
    </row>
    <row r="1849" spans="1:2">
      <c r="A1849" s="59"/>
      <c r="B1849"/>
    </row>
    <row r="1850" spans="1:2">
      <c r="A1850" s="59"/>
      <c r="B1850"/>
    </row>
    <row r="1851" spans="1:2">
      <c r="A1851" s="59"/>
      <c r="B1851"/>
    </row>
    <row r="1852" spans="1:2">
      <c r="A1852" s="59"/>
      <c r="B1852"/>
    </row>
    <row r="1853" spans="1:2">
      <c r="A1853" s="59"/>
      <c r="B1853"/>
    </row>
    <row r="1854" spans="1:2">
      <c r="A1854" s="59"/>
      <c r="B1854"/>
    </row>
    <row r="1855" spans="1:2">
      <c r="A1855" s="59"/>
      <c r="B1855"/>
    </row>
    <row r="1856" spans="1:2">
      <c r="A1856" s="59"/>
      <c r="B1856"/>
    </row>
    <row r="1857" spans="1:2">
      <c r="A1857" s="59"/>
      <c r="B1857"/>
    </row>
    <row r="1858" spans="1:2">
      <c r="A1858" s="59"/>
      <c r="B1858"/>
    </row>
    <row r="1859" spans="1:2">
      <c r="A1859" s="59"/>
      <c r="B1859"/>
    </row>
    <row r="1860" spans="1:2">
      <c r="A1860" s="59"/>
      <c r="B1860"/>
    </row>
    <row r="1861" spans="1:2">
      <c r="A1861" s="59"/>
      <c r="B1861"/>
    </row>
    <row r="1862" spans="1:2">
      <c r="A1862" s="59"/>
      <c r="B1862"/>
    </row>
    <row r="1863" spans="1:2">
      <c r="A1863" s="59"/>
      <c r="B1863"/>
    </row>
    <row r="1864" spans="1:2">
      <c r="A1864" s="59"/>
      <c r="B1864"/>
    </row>
    <row r="1865" spans="1:2">
      <c r="A1865" s="59"/>
      <c r="B1865"/>
    </row>
    <row r="1866" spans="1:2">
      <c r="A1866" s="59"/>
      <c r="B1866"/>
    </row>
    <row r="1867" spans="1:2">
      <c r="A1867" s="59"/>
      <c r="B1867"/>
    </row>
    <row r="1868" spans="1:2">
      <c r="A1868" s="59"/>
      <c r="B1868"/>
    </row>
    <row r="1869" spans="1:2">
      <c r="A1869" s="59"/>
      <c r="B1869"/>
    </row>
    <row r="1870" spans="1:2">
      <c r="A1870" s="59"/>
      <c r="B1870"/>
    </row>
    <row r="1871" spans="1:2">
      <c r="A1871" s="59"/>
      <c r="B1871"/>
    </row>
    <row r="1872" spans="1:2">
      <c r="A1872" s="59"/>
      <c r="B1872"/>
    </row>
    <row r="1873" spans="1:2">
      <c r="A1873" s="59"/>
      <c r="B1873"/>
    </row>
    <row r="1874" spans="1:2">
      <c r="A1874" s="59"/>
      <c r="B1874"/>
    </row>
    <row r="1875" spans="1:2">
      <c r="A1875" s="59"/>
      <c r="B1875"/>
    </row>
    <row r="1876" spans="1:2">
      <c r="A1876" s="59"/>
      <c r="B1876"/>
    </row>
    <row r="1877" spans="1:2">
      <c r="A1877" s="59"/>
      <c r="B1877"/>
    </row>
    <row r="1878" spans="1:2">
      <c r="A1878" s="59"/>
      <c r="B1878"/>
    </row>
    <row r="1879" spans="1:2">
      <c r="A1879" s="59"/>
      <c r="B1879"/>
    </row>
    <row r="1880" spans="1:2">
      <c r="A1880" s="59"/>
      <c r="B1880"/>
    </row>
    <row r="1881" spans="1:2">
      <c r="A1881" s="59"/>
      <c r="B1881"/>
    </row>
    <row r="1882" spans="1:2">
      <c r="A1882" s="59"/>
      <c r="B1882"/>
    </row>
    <row r="1883" spans="1:2">
      <c r="A1883" s="59"/>
      <c r="B1883"/>
    </row>
    <row r="1884" spans="1:2">
      <c r="A1884" s="59"/>
      <c r="B1884"/>
    </row>
    <row r="1885" spans="1:2">
      <c r="A1885" s="59"/>
      <c r="B1885"/>
    </row>
    <row r="1886" spans="1:2">
      <c r="A1886" s="59"/>
      <c r="B1886"/>
    </row>
    <row r="1887" spans="1:2">
      <c r="A1887" s="59"/>
      <c r="B1887"/>
    </row>
    <row r="1888" spans="1:2">
      <c r="A1888" s="59"/>
      <c r="B1888"/>
    </row>
    <row r="1889" spans="1:2">
      <c r="A1889" s="59"/>
      <c r="B1889"/>
    </row>
    <row r="1890" spans="1:2">
      <c r="A1890" s="59"/>
      <c r="B1890"/>
    </row>
    <row r="1891" spans="1:2">
      <c r="A1891" s="59"/>
      <c r="B1891"/>
    </row>
    <row r="1892" spans="1:2">
      <c r="A1892" s="59"/>
      <c r="B1892"/>
    </row>
    <row r="1893" spans="1:2">
      <c r="A1893" s="59"/>
      <c r="B1893"/>
    </row>
    <row r="1894" spans="1:2">
      <c r="A1894" s="59"/>
      <c r="B1894"/>
    </row>
    <row r="1895" spans="1:2">
      <c r="A1895" s="59"/>
      <c r="B1895"/>
    </row>
    <row r="1896" spans="1:2">
      <c r="A1896" s="59"/>
      <c r="B1896"/>
    </row>
    <row r="1897" spans="1:2">
      <c r="A1897" s="59"/>
      <c r="B1897"/>
    </row>
    <row r="1898" spans="1:2">
      <c r="A1898" s="59"/>
      <c r="B1898"/>
    </row>
    <row r="1899" spans="1:2">
      <c r="A1899" s="59"/>
      <c r="B1899"/>
    </row>
    <row r="1900" spans="1:2">
      <c r="A1900" s="59"/>
      <c r="B1900"/>
    </row>
    <row r="1901" spans="1:2">
      <c r="A1901" s="59"/>
      <c r="B1901"/>
    </row>
    <row r="1902" spans="1:2">
      <c r="A1902" s="59"/>
      <c r="B1902"/>
    </row>
    <row r="1903" spans="1:2">
      <c r="A1903" s="59"/>
      <c r="B1903"/>
    </row>
    <row r="1904" spans="1:2">
      <c r="A1904" s="59"/>
      <c r="B1904"/>
    </row>
    <row r="1905" spans="1:2">
      <c r="A1905" s="59"/>
      <c r="B1905"/>
    </row>
    <row r="1906" spans="1:2">
      <c r="A1906" s="59"/>
      <c r="B1906"/>
    </row>
    <row r="1907" spans="1:2">
      <c r="A1907" s="59"/>
      <c r="B1907"/>
    </row>
    <row r="1908" spans="1:2">
      <c r="A1908" s="59"/>
      <c r="B1908"/>
    </row>
    <row r="1909" spans="1:2">
      <c r="A1909" s="59"/>
      <c r="B1909"/>
    </row>
    <row r="1910" spans="1:2">
      <c r="A1910" s="59"/>
      <c r="B1910"/>
    </row>
    <row r="1911" spans="1:2">
      <c r="A1911" s="59"/>
      <c r="B1911"/>
    </row>
    <row r="1912" spans="1:2">
      <c r="A1912" s="59"/>
      <c r="B1912"/>
    </row>
    <row r="1913" spans="1:2">
      <c r="A1913" s="59"/>
      <c r="B1913"/>
    </row>
    <row r="1914" spans="1:2">
      <c r="A1914" s="59"/>
      <c r="B1914"/>
    </row>
    <row r="1915" spans="1:2">
      <c r="A1915" s="59"/>
      <c r="B1915"/>
    </row>
    <row r="1916" spans="1:2">
      <c r="A1916" s="59"/>
      <c r="B1916"/>
    </row>
    <row r="1917" spans="1:2">
      <c r="A1917" s="59"/>
      <c r="B1917"/>
    </row>
    <row r="1918" spans="1:2">
      <c r="A1918" s="59"/>
      <c r="B1918"/>
    </row>
    <row r="1919" spans="1:2">
      <c r="A1919" s="59"/>
      <c r="B1919"/>
    </row>
    <row r="1920" spans="1:2">
      <c r="A1920" s="59"/>
      <c r="B1920"/>
    </row>
    <row r="1921" spans="1:2">
      <c r="A1921" s="59"/>
      <c r="B1921"/>
    </row>
    <row r="1922" spans="1:2">
      <c r="A1922" s="59"/>
      <c r="B1922"/>
    </row>
    <row r="1923" spans="1:2">
      <c r="A1923" s="59"/>
      <c r="B1923"/>
    </row>
    <row r="1924" spans="1:2">
      <c r="A1924" s="59"/>
      <c r="B1924"/>
    </row>
    <row r="1925" spans="1:2">
      <c r="A1925" s="59"/>
      <c r="B1925"/>
    </row>
    <row r="1926" spans="1:2">
      <c r="A1926" s="59"/>
      <c r="B1926"/>
    </row>
    <row r="1927" spans="1:2">
      <c r="A1927" s="59"/>
      <c r="B1927"/>
    </row>
    <row r="1928" spans="1:2">
      <c r="A1928" s="59"/>
      <c r="B1928"/>
    </row>
    <row r="1929" spans="1:2">
      <c r="A1929" s="59"/>
      <c r="B1929"/>
    </row>
    <row r="1930" spans="1:2">
      <c r="A1930" s="59"/>
      <c r="B1930"/>
    </row>
    <row r="1931" spans="1:2">
      <c r="A1931" s="59"/>
      <c r="B1931"/>
    </row>
    <row r="1932" spans="1:2">
      <c r="A1932" s="59"/>
      <c r="B1932"/>
    </row>
    <row r="1933" spans="1:2">
      <c r="A1933" s="59"/>
      <c r="B1933"/>
    </row>
    <row r="1934" spans="1:2">
      <c r="A1934" s="59"/>
      <c r="B1934"/>
    </row>
    <row r="1935" spans="1:2">
      <c r="A1935" s="59"/>
      <c r="B1935"/>
    </row>
    <row r="1936" spans="1:2">
      <c r="A1936" s="59"/>
      <c r="B1936"/>
    </row>
    <row r="1937" spans="1:2">
      <c r="A1937" s="59"/>
      <c r="B1937"/>
    </row>
    <row r="1938" spans="1:2">
      <c r="A1938" s="59"/>
      <c r="B1938"/>
    </row>
    <row r="1939" spans="1:2">
      <c r="A1939" s="59"/>
      <c r="B1939"/>
    </row>
    <row r="1940" spans="1:2">
      <c r="A1940" s="59"/>
      <c r="B1940"/>
    </row>
    <row r="1941" spans="1:2">
      <c r="A1941" s="59"/>
      <c r="B1941"/>
    </row>
    <row r="1942" spans="1:2">
      <c r="A1942" s="59"/>
      <c r="B1942"/>
    </row>
    <row r="1943" spans="1:2">
      <c r="A1943" s="59"/>
      <c r="B1943"/>
    </row>
    <row r="1944" spans="1:2">
      <c r="A1944" s="59"/>
      <c r="B1944"/>
    </row>
    <row r="1945" spans="1:2">
      <c r="A1945" s="59"/>
      <c r="B1945"/>
    </row>
    <row r="1946" spans="1:2">
      <c r="A1946" s="59"/>
      <c r="B1946"/>
    </row>
    <row r="1947" spans="1:2">
      <c r="A1947" s="59"/>
      <c r="B1947"/>
    </row>
    <row r="1948" spans="1:2">
      <c r="A1948" s="59"/>
      <c r="B1948"/>
    </row>
    <row r="1949" spans="1:2">
      <c r="A1949" s="59"/>
      <c r="B1949"/>
    </row>
    <row r="1950" spans="1:2">
      <c r="A1950" s="59"/>
      <c r="B1950"/>
    </row>
    <row r="1951" spans="1:2">
      <c r="A1951" s="59"/>
      <c r="B1951"/>
    </row>
    <row r="1952" spans="1:2">
      <c r="A1952" s="59"/>
      <c r="B1952"/>
    </row>
    <row r="1953" spans="1:2">
      <c r="A1953" s="59"/>
      <c r="B1953"/>
    </row>
    <row r="1954" spans="1:2">
      <c r="A1954" s="59"/>
      <c r="B1954"/>
    </row>
    <row r="1955" spans="1:2">
      <c r="A1955" s="59"/>
      <c r="B1955"/>
    </row>
    <row r="1956" spans="1:2">
      <c r="A1956" s="59"/>
      <c r="B1956"/>
    </row>
    <row r="1957" spans="1:2">
      <c r="A1957" s="59"/>
      <c r="B1957"/>
    </row>
    <row r="1958" spans="1:2">
      <c r="A1958" s="59"/>
      <c r="B1958"/>
    </row>
    <row r="1959" spans="1:2">
      <c r="A1959" s="59"/>
      <c r="B1959"/>
    </row>
    <row r="1960" spans="1:2">
      <c r="A1960" s="59"/>
      <c r="B1960"/>
    </row>
    <row r="1961" spans="1:2">
      <c r="A1961" s="59"/>
      <c r="B1961"/>
    </row>
    <row r="1962" spans="1:2">
      <c r="A1962" s="59"/>
      <c r="B1962"/>
    </row>
    <row r="1963" spans="1:2">
      <c r="A1963" s="59"/>
      <c r="B1963"/>
    </row>
    <row r="1964" spans="1:2">
      <c r="A1964" s="59"/>
      <c r="B1964"/>
    </row>
    <row r="1965" spans="1:2">
      <c r="A1965" s="59"/>
      <c r="B1965"/>
    </row>
    <row r="1966" spans="1:2">
      <c r="A1966" s="59"/>
      <c r="B1966"/>
    </row>
    <row r="1967" spans="1:2">
      <c r="A1967" s="59"/>
      <c r="B1967"/>
    </row>
    <row r="1968" spans="1:2">
      <c r="A1968" s="59"/>
      <c r="B1968"/>
    </row>
    <row r="1969" spans="1:2">
      <c r="A1969" s="59"/>
      <c r="B1969"/>
    </row>
    <row r="1970" spans="1:2">
      <c r="A1970" s="59"/>
      <c r="B1970"/>
    </row>
    <row r="1971" spans="1:2">
      <c r="A1971" s="59"/>
      <c r="B1971"/>
    </row>
    <row r="1972" spans="1:2">
      <c r="A1972" s="59"/>
      <c r="B1972"/>
    </row>
    <row r="1973" spans="1:2">
      <c r="A1973" s="59"/>
      <c r="B1973"/>
    </row>
    <row r="1974" spans="1:2">
      <c r="A1974" s="59"/>
      <c r="B1974"/>
    </row>
    <row r="1975" spans="1:2">
      <c r="A1975" s="59"/>
      <c r="B1975"/>
    </row>
    <row r="1976" spans="1:2">
      <c r="A1976" s="59"/>
      <c r="B1976"/>
    </row>
    <row r="1977" spans="1:2">
      <c r="A1977" s="59"/>
      <c r="B1977"/>
    </row>
    <row r="1978" spans="1:2">
      <c r="A1978" s="59"/>
      <c r="B1978"/>
    </row>
    <row r="1979" spans="1:2">
      <c r="A1979" s="59"/>
      <c r="B1979"/>
    </row>
    <row r="1980" spans="1:2">
      <c r="A1980" s="59"/>
      <c r="B1980"/>
    </row>
    <row r="1981" spans="1:2">
      <c r="A1981" s="59"/>
      <c r="B1981"/>
    </row>
    <row r="1982" spans="1:2">
      <c r="A1982" s="59"/>
      <c r="B1982"/>
    </row>
    <row r="1983" spans="1:2">
      <c r="A1983" s="59"/>
      <c r="B1983"/>
    </row>
    <row r="1984" spans="1:2">
      <c r="A1984" s="59"/>
      <c r="B1984"/>
    </row>
    <row r="1985" spans="1:2">
      <c r="A1985" s="59"/>
      <c r="B1985"/>
    </row>
    <row r="1986" spans="1:2">
      <c r="A1986" s="59"/>
      <c r="B1986"/>
    </row>
    <row r="1987" spans="1:2">
      <c r="A1987" s="59"/>
      <c r="B1987"/>
    </row>
    <row r="1988" spans="1:2">
      <c r="A1988" s="59"/>
      <c r="B1988"/>
    </row>
    <row r="1989" spans="1:2">
      <c r="A1989" s="59"/>
      <c r="B1989"/>
    </row>
    <row r="1990" spans="1:2">
      <c r="A1990" s="59"/>
      <c r="B1990"/>
    </row>
    <row r="1991" spans="1:2">
      <c r="A1991" s="59"/>
      <c r="B1991"/>
    </row>
    <row r="1992" spans="1:2">
      <c r="A1992" s="59"/>
      <c r="B1992"/>
    </row>
    <row r="1993" spans="1:2">
      <c r="A1993" s="59"/>
      <c r="B1993"/>
    </row>
    <row r="1994" spans="1:2">
      <c r="A1994" s="59"/>
      <c r="B1994"/>
    </row>
    <row r="1995" spans="1:2">
      <c r="A1995" s="59"/>
      <c r="B1995"/>
    </row>
    <row r="1996" spans="1:2">
      <c r="A1996" s="59"/>
      <c r="B1996"/>
    </row>
    <row r="1997" spans="1:2">
      <c r="A1997" s="59"/>
      <c r="B1997"/>
    </row>
    <row r="1998" spans="1:2">
      <c r="A1998" s="59"/>
      <c r="B1998"/>
    </row>
    <row r="1999" spans="1:2">
      <c r="A1999" s="59"/>
      <c r="B1999"/>
    </row>
    <row r="2000" spans="1:2">
      <c r="A2000" s="59"/>
      <c r="B2000"/>
    </row>
    <row r="2001" spans="1:2">
      <c r="A2001" s="59"/>
      <c r="B2001"/>
    </row>
    <row r="2002" spans="1:2">
      <c r="A2002" s="59"/>
      <c r="B2002"/>
    </row>
    <row r="2003" spans="1:2">
      <c r="A2003" s="59"/>
      <c r="B2003"/>
    </row>
    <row r="2004" spans="1:2">
      <c r="A2004" s="59"/>
      <c r="B2004"/>
    </row>
    <row r="2005" spans="1:2">
      <c r="A2005" s="59"/>
      <c r="B2005"/>
    </row>
    <row r="2006" spans="1:2">
      <c r="A2006" s="59"/>
      <c r="B2006"/>
    </row>
    <row r="2007" spans="1:2">
      <c r="A2007" s="59"/>
      <c r="B2007"/>
    </row>
    <row r="2008" spans="1:2">
      <c r="A2008" s="59"/>
      <c r="B2008"/>
    </row>
    <row r="2009" spans="1:2">
      <c r="A2009" s="59"/>
      <c r="B2009"/>
    </row>
    <row r="2010" spans="1:2">
      <c r="A2010" s="59"/>
      <c r="B2010"/>
    </row>
    <row r="2011" spans="1:2">
      <c r="A2011" s="59"/>
      <c r="B2011"/>
    </row>
    <row r="2012" spans="1:2">
      <c r="A2012" s="59"/>
      <c r="B2012"/>
    </row>
    <row r="2013" spans="1:2">
      <c r="A2013" s="59"/>
      <c r="B2013"/>
    </row>
    <row r="2014" spans="1:2">
      <c r="A2014" s="59"/>
      <c r="B2014"/>
    </row>
    <row r="2015" spans="1:2">
      <c r="A2015" s="59"/>
      <c r="B2015"/>
    </row>
    <row r="2016" spans="1:2">
      <c r="A2016" s="59"/>
      <c r="B2016"/>
    </row>
    <row r="2017" spans="1:2">
      <c r="A2017" s="59"/>
      <c r="B2017"/>
    </row>
    <row r="2018" spans="1:2">
      <c r="A2018" s="59"/>
      <c r="B2018"/>
    </row>
    <row r="2019" spans="1:2">
      <c r="A2019" s="59"/>
      <c r="B2019"/>
    </row>
    <row r="2020" spans="1:2">
      <c r="A2020" s="59"/>
      <c r="B2020"/>
    </row>
    <row r="2021" spans="1:2">
      <c r="A2021" s="59"/>
      <c r="B2021"/>
    </row>
    <row r="2022" spans="1:2">
      <c r="A2022" s="59"/>
      <c r="B2022"/>
    </row>
    <row r="2023" spans="1:2">
      <c r="A2023" s="59"/>
      <c r="B2023"/>
    </row>
    <row r="2024" spans="1:2">
      <c r="A2024" s="59"/>
      <c r="B2024"/>
    </row>
    <row r="2025" spans="1:2">
      <c r="A2025" s="59"/>
      <c r="B2025"/>
    </row>
    <row r="2026" spans="1:2">
      <c r="A2026" s="59"/>
      <c r="B2026"/>
    </row>
    <row r="2027" spans="1:2">
      <c r="A2027" s="59"/>
      <c r="B2027"/>
    </row>
    <row r="2028" spans="1:2">
      <c r="A2028" s="59"/>
      <c r="B2028"/>
    </row>
    <row r="2029" spans="1:2">
      <c r="A2029" s="59"/>
      <c r="B2029"/>
    </row>
    <row r="2030" spans="1:2">
      <c r="A2030" s="59"/>
      <c r="B2030"/>
    </row>
    <row r="2031" spans="1:2">
      <c r="A2031" s="59"/>
      <c r="B2031"/>
    </row>
    <row r="2032" spans="1:2">
      <c r="A2032" s="59"/>
      <c r="B2032"/>
    </row>
    <row r="2033" spans="1:2">
      <c r="A2033" s="59"/>
      <c r="B2033"/>
    </row>
    <row r="2034" spans="1:2">
      <c r="A2034" s="59"/>
      <c r="B2034"/>
    </row>
    <row r="2035" spans="1:2">
      <c r="A2035" s="59"/>
      <c r="B2035"/>
    </row>
    <row r="2036" spans="1:2">
      <c r="A2036" s="59"/>
      <c r="B2036"/>
    </row>
    <row r="2037" spans="1:2">
      <c r="A2037" s="59"/>
      <c r="B2037"/>
    </row>
    <row r="2038" spans="1:2">
      <c r="A2038" s="59"/>
      <c r="B2038"/>
    </row>
    <row r="2039" spans="1:2">
      <c r="A2039" s="59"/>
      <c r="B2039"/>
    </row>
    <row r="2040" spans="1:2">
      <c r="A2040" s="59"/>
      <c r="B2040"/>
    </row>
    <row r="2041" spans="1:2">
      <c r="A2041" s="59"/>
      <c r="B2041"/>
    </row>
    <row r="2042" spans="1:2">
      <c r="A2042" s="59"/>
      <c r="B2042"/>
    </row>
    <row r="2043" spans="1:2">
      <c r="A2043" s="59"/>
      <c r="B2043"/>
    </row>
    <row r="2044" spans="1:2">
      <c r="A2044" s="59"/>
      <c r="B2044"/>
    </row>
    <row r="2045" spans="1:2">
      <c r="A2045" s="59"/>
      <c r="B2045"/>
    </row>
    <row r="2046" spans="1:2">
      <c r="A2046" s="59"/>
      <c r="B2046"/>
    </row>
    <row r="2047" spans="1:2">
      <c r="A2047" s="59"/>
      <c r="B2047"/>
    </row>
    <row r="2048" spans="1:2">
      <c r="A2048" s="59"/>
      <c r="B2048"/>
    </row>
    <row r="2049" spans="1:2">
      <c r="A2049" s="59"/>
      <c r="B2049"/>
    </row>
    <row r="2050" spans="1:2">
      <c r="A2050" s="59"/>
      <c r="B2050"/>
    </row>
    <row r="2051" spans="1:2">
      <c r="A2051" s="59"/>
      <c r="B2051"/>
    </row>
    <row r="2052" spans="1:2">
      <c r="A2052" s="59"/>
      <c r="B2052"/>
    </row>
    <row r="2053" spans="1:2">
      <c r="A2053" s="59"/>
      <c r="B2053"/>
    </row>
    <row r="2054" spans="1:2">
      <c r="A2054" s="59"/>
      <c r="B2054"/>
    </row>
    <row r="2055" spans="1:2">
      <c r="A2055" s="59"/>
      <c r="B2055"/>
    </row>
    <row r="2056" spans="1:2">
      <c r="A2056" s="59"/>
      <c r="B2056"/>
    </row>
    <row r="2057" spans="1:2">
      <c r="A2057" s="59"/>
      <c r="B2057"/>
    </row>
    <row r="2058" spans="1:2">
      <c r="A2058" s="59"/>
      <c r="B2058"/>
    </row>
    <row r="2059" spans="1:2">
      <c r="A2059" s="59"/>
      <c r="B2059"/>
    </row>
    <row r="2060" spans="1:2">
      <c r="A2060" s="59"/>
      <c r="B2060"/>
    </row>
    <row r="2061" spans="1:2">
      <c r="A2061" s="59"/>
      <c r="B2061"/>
    </row>
    <row r="2062" spans="1:2">
      <c r="A2062" s="59"/>
      <c r="B2062"/>
    </row>
    <row r="2063" spans="1:2">
      <c r="A2063" s="59"/>
      <c r="B2063"/>
    </row>
    <row r="2064" spans="1:2">
      <c r="A2064" s="59"/>
      <c r="B2064"/>
    </row>
    <row r="2065" spans="1:2">
      <c r="A2065" s="59"/>
      <c r="B2065"/>
    </row>
    <row r="2066" spans="1:2">
      <c r="A2066" s="59"/>
      <c r="B2066"/>
    </row>
    <row r="2067" spans="1:2">
      <c r="A2067" s="59"/>
      <c r="B2067"/>
    </row>
    <row r="2068" spans="1:2">
      <c r="A2068" s="59"/>
      <c r="B2068"/>
    </row>
    <row r="2069" spans="1:2">
      <c r="A2069" s="59"/>
      <c r="B2069"/>
    </row>
    <row r="2070" spans="1:2">
      <c r="A2070" s="59"/>
      <c r="B2070"/>
    </row>
    <row r="2071" spans="1:2">
      <c r="A2071" s="59"/>
      <c r="B2071"/>
    </row>
    <row r="2072" spans="1:2">
      <c r="A2072" s="59"/>
      <c r="B2072"/>
    </row>
    <row r="2073" spans="1:2">
      <c r="A2073" s="59"/>
      <c r="B2073"/>
    </row>
    <row r="2074" spans="1:2">
      <c r="A2074" s="59"/>
      <c r="B2074"/>
    </row>
    <row r="2075" spans="1:2">
      <c r="A2075" s="59"/>
      <c r="B2075"/>
    </row>
    <row r="2076" spans="1:2">
      <c r="A2076" s="59"/>
      <c r="B2076"/>
    </row>
    <row r="2077" spans="1:2">
      <c r="A2077" s="59"/>
      <c r="B2077"/>
    </row>
    <row r="2078" spans="1:2">
      <c r="A2078" s="59"/>
      <c r="B2078"/>
    </row>
    <row r="2079" spans="1:2">
      <c r="A2079" s="59"/>
      <c r="B2079"/>
    </row>
    <row r="2080" spans="1:2">
      <c r="A2080" s="59"/>
      <c r="B2080"/>
    </row>
    <row r="2081" spans="1:2">
      <c r="A2081" s="59"/>
      <c r="B2081"/>
    </row>
    <row r="2082" spans="1:2">
      <c r="A2082" s="59"/>
      <c r="B2082"/>
    </row>
    <row r="2083" spans="1:2">
      <c r="A2083" s="59"/>
      <c r="B2083"/>
    </row>
    <row r="2084" spans="1:2">
      <c r="A2084" s="59"/>
      <c r="B2084"/>
    </row>
    <row r="2085" spans="1:2">
      <c r="A2085" s="59"/>
      <c r="B2085"/>
    </row>
    <row r="2086" spans="1:2">
      <c r="A2086" s="59"/>
      <c r="B2086"/>
    </row>
    <row r="2087" spans="1:2">
      <c r="A2087" s="59"/>
      <c r="B2087"/>
    </row>
    <row r="2088" spans="1:2">
      <c r="A2088" s="59"/>
      <c r="B2088"/>
    </row>
    <row r="2089" spans="1:2">
      <c r="A2089" s="59"/>
      <c r="B2089"/>
    </row>
    <row r="2090" spans="1:2">
      <c r="A2090" s="59"/>
      <c r="B2090"/>
    </row>
    <row r="2091" spans="1:2">
      <c r="A2091" s="59"/>
      <c r="B2091"/>
    </row>
    <row r="2092" spans="1:2">
      <c r="A2092" s="59"/>
      <c r="B2092"/>
    </row>
    <row r="2093" spans="1:2">
      <c r="A2093" s="59"/>
      <c r="B2093"/>
    </row>
    <row r="2094" spans="1:2">
      <c r="A2094" s="59"/>
      <c r="B2094"/>
    </row>
    <row r="2095" spans="1:2">
      <c r="A2095" s="59"/>
      <c r="B2095"/>
    </row>
    <row r="2096" spans="1:2">
      <c r="A2096" s="59"/>
      <c r="B2096"/>
    </row>
    <row r="2097" spans="1:2">
      <c r="A2097" s="59"/>
      <c r="B2097"/>
    </row>
    <row r="2098" spans="1:2">
      <c r="A2098" s="59"/>
      <c r="B2098"/>
    </row>
    <row r="2099" spans="1:2">
      <c r="A2099" s="59"/>
      <c r="B2099"/>
    </row>
    <row r="2100" spans="1:2">
      <c r="A2100" s="59"/>
      <c r="B2100"/>
    </row>
    <row r="2101" spans="1:2">
      <c r="A2101" s="59"/>
      <c r="B2101"/>
    </row>
    <row r="2102" spans="1:2">
      <c r="A2102" s="59"/>
      <c r="B2102"/>
    </row>
    <row r="2103" spans="1:2">
      <c r="A2103" s="59"/>
      <c r="B2103"/>
    </row>
    <row r="2104" spans="1:2">
      <c r="A2104" s="59"/>
      <c r="B2104"/>
    </row>
    <row r="2105" spans="1:2">
      <c r="A2105" s="59"/>
      <c r="B2105"/>
    </row>
    <row r="2106" spans="1:2">
      <c r="A2106" s="59"/>
      <c r="B2106"/>
    </row>
    <row r="2107" spans="1:2">
      <c r="A2107" s="59"/>
      <c r="B2107"/>
    </row>
    <row r="2108" spans="1:2">
      <c r="A2108" s="59"/>
      <c r="B2108"/>
    </row>
    <row r="2109" spans="1:2">
      <c r="A2109" s="59"/>
      <c r="B2109"/>
    </row>
    <row r="2110" spans="1:2">
      <c r="A2110" s="59"/>
      <c r="B2110"/>
    </row>
    <row r="2111" spans="1:2">
      <c r="A2111" s="59"/>
      <c r="B2111"/>
    </row>
    <row r="2112" spans="1:2">
      <c r="A2112" s="59"/>
      <c r="B2112"/>
    </row>
    <row r="2113" spans="1:2">
      <c r="A2113" s="59"/>
      <c r="B2113"/>
    </row>
    <row r="2114" spans="1:2">
      <c r="A2114" s="59"/>
      <c r="B2114"/>
    </row>
    <row r="2115" spans="1:2">
      <c r="A2115" s="59"/>
      <c r="B2115"/>
    </row>
    <row r="2116" spans="1:2">
      <c r="A2116" s="59"/>
      <c r="B2116"/>
    </row>
    <row r="2117" spans="1:2">
      <c r="A2117" s="59"/>
      <c r="B2117"/>
    </row>
    <row r="2118" spans="1:2">
      <c r="A2118" s="59"/>
      <c r="B2118"/>
    </row>
    <row r="2119" spans="1:2">
      <c r="A2119" s="59"/>
      <c r="B2119"/>
    </row>
    <row r="2120" spans="1:2">
      <c r="A2120" s="59"/>
      <c r="B2120"/>
    </row>
    <row r="2121" spans="1:2">
      <c r="A2121" s="59"/>
      <c r="B2121"/>
    </row>
    <row r="2122" spans="1:2">
      <c r="A2122" s="59"/>
      <c r="B2122"/>
    </row>
    <row r="2123" spans="1:2">
      <c r="A2123" s="59"/>
      <c r="B2123"/>
    </row>
    <row r="2124" spans="1:2">
      <c r="A2124" s="59"/>
      <c r="B2124"/>
    </row>
    <row r="2125" spans="1:2">
      <c r="A2125" s="59"/>
      <c r="B2125"/>
    </row>
    <row r="2126" spans="1:2">
      <c r="A2126" s="59"/>
      <c r="B2126"/>
    </row>
    <row r="2127" spans="1:2">
      <c r="A2127" s="59"/>
      <c r="B2127"/>
    </row>
    <row r="2128" spans="1:2">
      <c r="A2128" s="59"/>
      <c r="B2128"/>
    </row>
    <row r="2129" spans="1:2">
      <c r="A2129" s="59"/>
      <c r="B2129"/>
    </row>
    <row r="2130" spans="1:2">
      <c r="A2130" s="59"/>
      <c r="B2130"/>
    </row>
    <row r="2131" spans="1:2">
      <c r="A2131" s="59"/>
      <c r="B2131"/>
    </row>
    <row r="2132" spans="1:2">
      <c r="A2132" s="59"/>
      <c r="B2132"/>
    </row>
    <row r="2133" spans="1:2">
      <c r="A2133" s="59"/>
      <c r="B2133"/>
    </row>
    <row r="2134" spans="1:2">
      <c r="A2134" s="59"/>
      <c r="B2134"/>
    </row>
    <row r="2135" spans="1:2">
      <c r="A2135" s="59"/>
      <c r="B2135"/>
    </row>
    <row r="2136" spans="1:2">
      <c r="A2136" s="59"/>
      <c r="B2136"/>
    </row>
    <row r="2137" spans="1:2">
      <c r="A2137" s="59"/>
      <c r="B2137"/>
    </row>
    <row r="2138" spans="1:2">
      <c r="A2138" s="59"/>
      <c r="B2138"/>
    </row>
    <row r="2139" spans="1:2">
      <c r="A2139" s="59"/>
      <c r="B2139"/>
    </row>
    <row r="2140" spans="1:2">
      <c r="A2140" s="59"/>
      <c r="B2140"/>
    </row>
    <row r="2141" spans="1:2">
      <c r="A2141" s="59"/>
      <c r="B2141"/>
    </row>
    <row r="2142" spans="1:2">
      <c r="A2142" s="59"/>
      <c r="B2142"/>
    </row>
    <row r="2143" spans="1:2">
      <c r="A2143" s="59"/>
      <c r="B2143"/>
    </row>
    <row r="2144" spans="1:2">
      <c r="A2144" s="59"/>
      <c r="B2144"/>
    </row>
    <row r="2145" spans="1:2">
      <c r="A2145" s="59"/>
      <c r="B2145"/>
    </row>
    <row r="2146" spans="1:2">
      <c r="A2146" s="59"/>
      <c r="B2146"/>
    </row>
    <row r="2147" spans="1:2">
      <c r="A2147" s="59"/>
      <c r="B2147"/>
    </row>
    <row r="2148" spans="1:2">
      <c r="A2148" s="59"/>
      <c r="B2148"/>
    </row>
    <row r="2149" spans="1:2">
      <c r="A2149" s="59"/>
      <c r="B2149"/>
    </row>
    <row r="2150" spans="1:2">
      <c r="A2150" s="59"/>
      <c r="B2150"/>
    </row>
    <row r="2151" spans="1:2">
      <c r="A2151" s="59"/>
      <c r="B2151"/>
    </row>
    <row r="2152" spans="1:2">
      <c r="A2152" s="59"/>
      <c r="B2152"/>
    </row>
    <row r="2153" spans="1:2">
      <c r="A2153" s="59"/>
      <c r="B2153"/>
    </row>
    <row r="2154" spans="1:2">
      <c r="A2154" s="59"/>
      <c r="B2154"/>
    </row>
    <row r="2155" spans="1:2">
      <c r="A2155" s="59"/>
      <c r="B2155"/>
    </row>
    <row r="2156" spans="1:2">
      <c r="A2156" s="59"/>
      <c r="B2156"/>
    </row>
    <row r="2157" spans="1:2">
      <c r="A2157" s="59"/>
      <c r="B2157"/>
    </row>
    <row r="2158" spans="1:2">
      <c r="A2158" s="59"/>
      <c r="B2158"/>
    </row>
    <row r="2159" spans="1:2">
      <c r="A2159" s="59"/>
      <c r="B2159"/>
    </row>
    <row r="2160" spans="1:2">
      <c r="A2160" s="59"/>
      <c r="B2160"/>
    </row>
    <row r="2161" spans="1:2">
      <c r="A2161" s="59"/>
      <c r="B2161"/>
    </row>
    <row r="2162" spans="1:2">
      <c r="A2162" s="59"/>
      <c r="B2162"/>
    </row>
    <row r="2163" spans="1:2">
      <c r="A2163" s="59"/>
      <c r="B2163"/>
    </row>
    <row r="2164" spans="1:2">
      <c r="A2164" s="59"/>
      <c r="B2164"/>
    </row>
    <row r="2165" spans="1:2">
      <c r="A2165" s="59"/>
      <c r="B2165"/>
    </row>
    <row r="2166" spans="1:2">
      <c r="A2166" s="59"/>
      <c r="B2166"/>
    </row>
    <row r="2167" spans="1:2">
      <c r="A2167" s="59"/>
      <c r="B2167"/>
    </row>
    <row r="2168" spans="1:2">
      <c r="A2168" s="59"/>
      <c r="B2168"/>
    </row>
    <row r="2169" spans="1:2">
      <c r="A2169" s="59"/>
      <c r="B2169"/>
    </row>
    <row r="2170" spans="1:2">
      <c r="A2170" s="59"/>
      <c r="B2170"/>
    </row>
    <row r="2171" spans="1:2">
      <c r="A2171" s="59"/>
      <c r="B2171"/>
    </row>
    <row r="2172" spans="1:2">
      <c r="A2172" s="59"/>
      <c r="B2172"/>
    </row>
    <row r="2173" spans="1:2">
      <c r="A2173" s="59"/>
      <c r="B2173"/>
    </row>
    <row r="2174" spans="1:2">
      <c r="A2174" s="59"/>
      <c r="B2174"/>
    </row>
    <row r="2175" spans="1:2">
      <c r="A2175" s="59"/>
      <c r="B2175"/>
    </row>
    <row r="2176" spans="1:2">
      <c r="A2176" s="59"/>
      <c r="B2176"/>
    </row>
    <row r="2177" spans="1:2">
      <c r="A2177" s="59"/>
      <c r="B2177"/>
    </row>
    <row r="2178" spans="1:2">
      <c r="A2178" s="59"/>
      <c r="B2178"/>
    </row>
    <row r="2179" spans="1:2">
      <c r="A2179" s="59"/>
      <c r="B2179"/>
    </row>
    <row r="2180" spans="1:2">
      <c r="A2180" s="59"/>
      <c r="B2180"/>
    </row>
    <row r="2181" spans="1:2">
      <c r="A2181" s="59"/>
      <c r="B2181"/>
    </row>
    <row r="2182" spans="1:2">
      <c r="A2182" s="59"/>
      <c r="B2182"/>
    </row>
    <row r="2183" spans="1:2">
      <c r="A2183" s="59"/>
      <c r="B2183"/>
    </row>
    <row r="2184" spans="1:2">
      <c r="A2184" s="59"/>
      <c r="B2184"/>
    </row>
    <row r="2185" spans="1:2">
      <c r="A2185" s="59"/>
      <c r="B2185"/>
    </row>
    <row r="2186" spans="1:2">
      <c r="A2186" s="59"/>
      <c r="B2186"/>
    </row>
    <row r="2187" spans="1:2">
      <c r="A2187" s="59"/>
      <c r="B2187"/>
    </row>
    <row r="2188" spans="1:2">
      <c r="A2188" s="59"/>
      <c r="B2188"/>
    </row>
    <row r="2189" spans="1:2">
      <c r="A2189" s="59"/>
      <c r="B2189"/>
    </row>
    <row r="2190" spans="1:2">
      <c r="A2190" s="59"/>
      <c r="B2190"/>
    </row>
    <row r="2191" spans="1:2">
      <c r="A2191" s="59"/>
      <c r="B2191"/>
    </row>
    <row r="2192" spans="1:2">
      <c r="A2192" s="59"/>
      <c r="B2192"/>
    </row>
    <row r="2193" spans="1:2">
      <c r="A2193" s="59"/>
      <c r="B2193"/>
    </row>
    <row r="2194" spans="1:2">
      <c r="A2194" s="59"/>
      <c r="B2194"/>
    </row>
    <row r="2195" spans="1:2">
      <c r="A2195" s="59"/>
      <c r="B2195"/>
    </row>
    <row r="2196" spans="1:2">
      <c r="A2196" s="59"/>
      <c r="B2196"/>
    </row>
    <row r="2197" spans="1:2">
      <c r="A2197" s="59"/>
      <c r="B2197"/>
    </row>
    <row r="2198" spans="1:2">
      <c r="A2198" s="59"/>
      <c r="B2198"/>
    </row>
    <row r="2199" spans="1:2">
      <c r="A2199" s="59"/>
      <c r="B2199"/>
    </row>
    <row r="2200" spans="1:2">
      <c r="A2200" s="59"/>
      <c r="B2200"/>
    </row>
    <row r="2201" spans="1:2">
      <c r="A2201" s="59"/>
      <c r="B2201"/>
    </row>
    <row r="2202" spans="1:2">
      <c r="A2202" s="59"/>
      <c r="B2202"/>
    </row>
    <row r="2203" spans="1:2">
      <c r="A2203" s="59"/>
      <c r="B2203"/>
    </row>
    <row r="2204" spans="1:2">
      <c r="A2204" s="59"/>
      <c r="B2204"/>
    </row>
    <row r="2205" spans="1:2">
      <c r="A2205" s="59"/>
      <c r="B2205"/>
    </row>
    <row r="2206" spans="1:2">
      <c r="A2206" s="59"/>
      <c r="B2206"/>
    </row>
    <row r="2207" spans="1:2">
      <c r="A2207" s="59"/>
      <c r="B2207"/>
    </row>
    <row r="2208" spans="1:2">
      <c r="A2208" s="59"/>
      <c r="B2208"/>
    </row>
    <row r="2209" spans="1:2">
      <c r="A2209" s="59"/>
      <c r="B2209"/>
    </row>
    <row r="2210" spans="1:2">
      <c r="A2210" s="59"/>
      <c r="B2210"/>
    </row>
    <row r="2211" spans="1:2">
      <c r="A2211" s="59"/>
      <c r="B2211"/>
    </row>
    <row r="2212" spans="1:2">
      <c r="A2212" s="59"/>
      <c r="B2212"/>
    </row>
    <row r="2213" spans="1:2">
      <c r="A2213" s="59"/>
      <c r="B2213"/>
    </row>
    <row r="2214" spans="1:2">
      <c r="A2214" s="59"/>
      <c r="B2214"/>
    </row>
    <row r="2215" spans="1:2">
      <c r="A2215" s="59"/>
      <c r="B2215"/>
    </row>
    <row r="2216" spans="1:2">
      <c r="A2216" s="59"/>
      <c r="B2216"/>
    </row>
    <row r="2217" spans="1:2">
      <c r="A2217" s="59"/>
      <c r="B2217"/>
    </row>
    <row r="2218" spans="1:2">
      <c r="A2218" s="59"/>
      <c r="B2218"/>
    </row>
    <row r="2219" spans="1:2">
      <c r="A2219" s="59"/>
      <c r="B2219"/>
    </row>
    <row r="2220" spans="1:2">
      <c r="A2220" s="59"/>
      <c r="B2220"/>
    </row>
    <row r="2221" spans="1:2">
      <c r="A2221" s="59"/>
      <c r="B2221"/>
    </row>
    <row r="2222" spans="1:2">
      <c r="A2222" s="59"/>
      <c r="B2222"/>
    </row>
    <row r="2223" spans="1:2">
      <c r="A2223" s="59"/>
      <c r="B2223"/>
    </row>
    <row r="2224" spans="1:2">
      <c r="A2224" s="59"/>
      <c r="B2224"/>
    </row>
    <row r="2225" spans="1:2">
      <c r="A2225" s="59"/>
      <c r="B2225"/>
    </row>
    <row r="2226" spans="1:2">
      <c r="A2226" s="59"/>
      <c r="B2226"/>
    </row>
    <row r="2227" spans="1:2">
      <c r="A2227" s="59"/>
      <c r="B2227"/>
    </row>
    <row r="2228" spans="1:2">
      <c r="A2228" s="59"/>
      <c r="B2228"/>
    </row>
    <row r="2229" spans="1:2">
      <c r="A2229" s="59"/>
      <c r="B2229"/>
    </row>
    <row r="2230" spans="1:2">
      <c r="A2230" s="59"/>
      <c r="B2230"/>
    </row>
    <row r="2231" spans="1:2">
      <c r="A2231" s="59"/>
      <c r="B2231"/>
    </row>
    <row r="2232" spans="1:2">
      <c r="A2232" s="59"/>
      <c r="B2232"/>
    </row>
    <row r="2233" spans="1:2">
      <c r="A2233" s="59"/>
      <c r="B2233"/>
    </row>
    <row r="2234" spans="1:2">
      <c r="A2234" s="59"/>
      <c r="B2234"/>
    </row>
    <row r="2235" spans="1:2">
      <c r="A2235" s="59"/>
      <c r="B2235"/>
    </row>
    <row r="2236" spans="1:2">
      <c r="A2236" s="59"/>
      <c r="B2236"/>
    </row>
    <row r="2237" spans="1:2">
      <c r="A2237" s="59"/>
      <c r="B2237"/>
    </row>
    <row r="2238" spans="1:2">
      <c r="A2238" s="59"/>
      <c r="B2238"/>
    </row>
    <row r="2239" spans="1:2">
      <c r="A2239" s="59"/>
      <c r="B2239"/>
    </row>
    <row r="2240" spans="1:2">
      <c r="A2240" s="59"/>
      <c r="B2240"/>
    </row>
    <row r="2241" spans="1:2">
      <c r="A2241" s="59"/>
      <c r="B2241"/>
    </row>
    <row r="2242" spans="1:2">
      <c r="A2242" s="59"/>
      <c r="B2242"/>
    </row>
    <row r="2243" spans="1:2">
      <c r="A2243" s="59"/>
      <c r="B2243"/>
    </row>
    <row r="2244" spans="1:2">
      <c r="A2244" s="59"/>
      <c r="B2244"/>
    </row>
    <row r="2245" spans="1:2">
      <c r="A2245" s="59"/>
      <c r="B2245"/>
    </row>
    <row r="2246" spans="1:2">
      <c r="A2246" s="59"/>
      <c r="B2246"/>
    </row>
    <row r="2247" spans="1:2">
      <c r="A2247" s="59"/>
      <c r="B2247"/>
    </row>
    <row r="2248" spans="1:2">
      <c r="A2248" s="59"/>
      <c r="B2248"/>
    </row>
    <row r="2249" spans="1:2">
      <c r="A2249" s="59"/>
      <c r="B2249"/>
    </row>
    <row r="2250" spans="1:2">
      <c r="A2250" s="59"/>
      <c r="B2250"/>
    </row>
    <row r="2251" spans="1:2">
      <c r="A2251" s="59"/>
      <c r="B2251"/>
    </row>
    <row r="2252" spans="1:2">
      <c r="A2252" s="59"/>
      <c r="B2252"/>
    </row>
    <row r="2253" spans="1:2">
      <c r="A2253" s="59"/>
      <c r="B2253"/>
    </row>
    <row r="2254" spans="1:2">
      <c r="A2254" s="59"/>
      <c r="B2254"/>
    </row>
    <row r="2255" spans="1:2">
      <c r="A2255" s="59"/>
      <c r="B2255"/>
    </row>
    <row r="2256" spans="1:2">
      <c r="A2256" s="59"/>
      <c r="B2256"/>
    </row>
    <row r="2257" spans="1:2">
      <c r="A2257" s="59"/>
      <c r="B2257"/>
    </row>
    <row r="2258" spans="1:2">
      <c r="A2258" s="59"/>
      <c r="B2258"/>
    </row>
    <row r="2259" spans="1:2">
      <c r="A2259" s="59"/>
      <c r="B2259"/>
    </row>
    <row r="2260" spans="1:2">
      <c r="A2260" s="59"/>
      <c r="B2260"/>
    </row>
    <row r="2261" spans="1:2">
      <c r="A2261" s="59"/>
      <c r="B2261"/>
    </row>
    <row r="2262" spans="1:2">
      <c r="A2262" s="59"/>
      <c r="B2262"/>
    </row>
    <row r="2263" spans="1:2">
      <c r="A2263" s="59"/>
      <c r="B2263"/>
    </row>
    <row r="2264" spans="1:2">
      <c r="A2264" s="59"/>
      <c r="B2264"/>
    </row>
    <row r="2265" spans="1:2">
      <c r="A2265" s="59"/>
      <c r="B2265"/>
    </row>
    <row r="2266" spans="1:2">
      <c r="A2266" s="59"/>
      <c r="B2266"/>
    </row>
    <row r="2267" spans="1:2">
      <c r="A2267" s="59"/>
      <c r="B2267"/>
    </row>
    <row r="2268" spans="1:2">
      <c r="A2268" s="59"/>
      <c r="B2268"/>
    </row>
    <row r="2269" spans="1:2">
      <c r="A2269" s="59"/>
      <c r="B2269"/>
    </row>
    <row r="2270" spans="1:2">
      <c r="A2270" s="59"/>
      <c r="B2270"/>
    </row>
    <row r="2271" spans="1:2">
      <c r="A2271" s="59"/>
      <c r="B2271"/>
    </row>
    <row r="2272" spans="1:2">
      <c r="A2272" s="59"/>
      <c r="B2272"/>
    </row>
    <row r="2273" spans="1:2">
      <c r="A2273" s="59"/>
      <c r="B2273"/>
    </row>
    <row r="2274" spans="1:2">
      <c r="A2274" s="59"/>
      <c r="B2274"/>
    </row>
    <row r="2275" spans="1:2">
      <c r="A2275" s="59"/>
      <c r="B2275"/>
    </row>
    <row r="2276" spans="1:2">
      <c r="A2276" s="59"/>
      <c r="B2276"/>
    </row>
    <row r="2277" spans="1:2">
      <c r="A2277" s="59"/>
      <c r="B2277"/>
    </row>
    <row r="2278" spans="1:2">
      <c r="A2278" s="59"/>
      <c r="B2278"/>
    </row>
    <row r="2279" spans="1:2">
      <c r="A2279" s="59"/>
      <c r="B2279"/>
    </row>
    <row r="2280" spans="1:2">
      <c r="A2280" s="59"/>
      <c r="B2280"/>
    </row>
    <row r="2281" spans="1:2">
      <c r="A2281" s="59"/>
      <c r="B2281"/>
    </row>
    <row r="2282" spans="1:2">
      <c r="A2282" s="59"/>
      <c r="B2282"/>
    </row>
    <row r="2283" spans="1:2">
      <c r="A2283" s="59"/>
      <c r="B2283"/>
    </row>
    <row r="2284" spans="1:2">
      <c r="A2284" s="59"/>
      <c r="B2284"/>
    </row>
    <row r="2285" spans="1:2">
      <c r="A2285" s="59"/>
      <c r="B2285"/>
    </row>
    <row r="2286" spans="1:2">
      <c r="A2286" s="59"/>
      <c r="B2286"/>
    </row>
    <row r="2287" spans="1:2">
      <c r="A2287" s="59"/>
      <c r="B2287"/>
    </row>
    <row r="2288" spans="1:2">
      <c r="A2288" s="59"/>
      <c r="B2288"/>
    </row>
    <row r="2289" spans="1:2">
      <c r="A2289" s="59"/>
      <c r="B2289"/>
    </row>
    <row r="2290" spans="1:2">
      <c r="A2290" s="59"/>
      <c r="B2290"/>
    </row>
    <row r="2291" spans="1:2">
      <c r="A2291" s="59"/>
      <c r="B2291"/>
    </row>
    <row r="2292" spans="1:2">
      <c r="A2292" s="59"/>
      <c r="B2292"/>
    </row>
    <row r="2293" spans="1:2">
      <c r="A2293" s="59"/>
      <c r="B2293"/>
    </row>
    <row r="2294" spans="1:2">
      <c r="A2294" s="59"/>
      <c r="B2294"/>
    </row>
    <row r="2295" spans="1:2">
      <c r="A2295" s="59"/>
      <c r="B2295"/>
    </row>
    <row r="2296" spans="1:2">
      <c r="A2296" s="59"/>
      <c r="B2296"/>
    </row>
    <row r="2297" spans="1:2">
      <c r="A2297" s="59"/>
      <c r="B2297"/>
    </row>
    <row r="2298" spans="1:2">
      <c r="A2298" s="59"/>
      <c r="B2298"/>
    </row>
    <row r="2299" spans="1:2">
      <c r="A2299" s="59"/>
      <c r="B2299"/>
    </row>
    <row r="2300" spans="1:2">
      <c r="A2300" s="59"/>
      <c r="B2300"/>
    </row>
    <row r="2301" spans="1:2">
      <c r="A2301" s="59"/>
      <c r="B2301"/>
    </row>
    <row r="2302" spans="1:2">
      <c r="A2302" s="59"/>
      <c r="B2302"/>
    </row>
    <row r="2303" spans="1:2">
      <c r="A2303" s="59"/>
      <c r="B2303"/>
    </row>
    <row r="2304" spans="1:2">
      <c r="A2304" s="59"/>
      <c r="B2304"/>
    </row>
    <row r="2305" spans="1:2">
      <c r="A2305" s="59"/>
      <c r="B2305"/>
    </row>
    <row r="2306" spans="1:2">
      <c r="A2306" s="59"/>
      <c r="B2306"/>
    </row>
    <row r="2307" spans="1:2">
      <c r="A2307" s="59"/>
      <c r="B2307"/>
    </row>
    <row r="2308" spans="1:2">
      <c r="A2308" s="59"/>
      <c r="B2308"/>
    </row>
    <row r="2309" spans="1:2">
      <c r="A2309" s="59"/>
      <c r="B2309"/>
    </row>
    <row r="2310" spans="1:2">
      <c r="A2310" s="59"/>
      <c r="B2310"/>
    </row>
    <row r="2311" spans="1:2">
      <c r="A2311" s="59"/>
      <c r="B2311"/>
    </row>
    <row r="2312" spans="1:2">
      <c r="A2312" s="59"/>
      <c r="B2312"/>
    </row>
    <row r="2313" spans="1:2">
      <c r="A2313" s="59"/>
      <c r="B2313"/>
    </row>
    <row r="2314" spans="1:2">
      <c r="A2314" s="59"/>
      <c r="B2314"/>
    </row>
    <row r="2315" spans="1:2">
      <c r="A2315" s="59"/>
      <c r="B2315"/>
    </row>
    <row r="2316" spans="1:2">
      <c r="A2316" s="59"/>
      <c r="B2316"/>
    </row>
    <row r="2317" spans="1:2">
      <c r="A2317" s="59"/>
      <c r="B2317"/>
    </row>
    <row r="2318" spans="1:2">
      <c r="A2318" s="59"/>
      <c r="B2318"/>
    </row>
    <row r="2319" spans="1:2">
      <c r="A2319" s="59"/>
      <c r="B2319"/>
    </row>
    <row r="2320" spans="1:2">
      <c r="A2320" s="59"/>
      <c r="B2320"/>
    </row>
    <row r="2321" spans="1:2">
      <c r="A2321" s="59"/>
      <c r="B2321"/>
    </row>
    <row r="2322" spans="1:2">
      <c r="A2322" s="59"/>
      <c r="B2322"/>
    </row>
    <row r="2323" spans="1:2">
      <c r="A2323" s="59"/>
      <c r="B2323"/>
    </row>
    <row r="2324" spans="1:2">
      <c r="A2324" s="59"/>
      <c r="B2324"/>
    </row>
    <row r="2325" spans="1:2">
      <c r="A2325" s="59"/>
      <c r="B2325"/>
    </row>
    <row r="2326" spans="1:2">
      <c r="A2326" s="59"/>
      <c r="B2326"/>
    </row>
    <row r="2327" spans="1:2">
      <c r="A2327" s="59"/>
      <c r="B2327"/>
    </row>
    <row r="2328" spans="1:2">
      <c r="A2328" s="59"/>
      <c r="B2328"/>
    </row>
    <row r="2329" spans="1:2">
      <c r="A2329" s="59"/>
      <c r="B2329"/>
    </row>
    <row r="2330" spans="1:2">
      <c r="A2330" s="59"/>
      <c r="B2330"/>
    </row>
    <row r="2331" spans="1:2">
      <c r="A2331" s="59"/>
      <c r="B2331"/>
    </row>
    <row r="2332" spans="1:2">
      <c r="A2332" s="59"/>
      <c r="B2332"/>
    </row>
    <row r="2333" spans="1:2">
      <c r="A2333" s="59"/>
      <c r="B2333"/>
    </row>
    <row r="2334" spans="1:2">
      <c r="A2334" s="59"/>
      <c r="B2334"/>
    </row>
    <row r="2335" spans="1:2">
      <c r="A2335" s="59"/>
      <c r="B2335"/>
    </row>
    <row r="2336" spans="1:2">
      <c r="A2336" s="59"/>
      <c r="B2336"/>
    </row>
    <row r="2337" spans="1:2">
      <c r="A2337" s="59"/>
      <c r="B2337"/>
    </row>
    <row r="2338" spans="1:2">
      <c r="A2338" s="59"/>
      <c r="B2338"/>
    </row>
    <row r="2339" spans="1:2">
      <c r="A2339" s="59"/>
      <c r="B2339"/>
    </row>
    <row r="2340" spans="1:2">
      <c r="A2340" s="59"/>
      <c r="B2340"/>
    </row>
    <row r="2341" spans="1:2">
      <c r="A2341" s="59"/>
      <c r="B2341"/>
    </row>
    <row r="2342" spans="1:2">
      <c r="A2342" s="59"/>
      <c r="B2342"/>
    </row>
    <row r="2343" spans="1:2">
      <c r="A2343" s="59"/>
      <c r="B2343"/>
    </row>
    <row r="2344" spans="1:2">
      <c r="A2344" s="59"/>
      <c r="B2344"/>
    </row>
    <row r="2345" spans="1:2">
      <c r="A2345" s="59"/>
      <c r="B2345"/>
    </row>
    <row r="2346" spans="1:2">
      <c r="A2346" s="59"/>
      <c r="B2346"/>
    </row>
    <row r="2347" spans="1:2">
      <c r="A2347" s="59"/>
      <c r="B2347"/>
    </row>
    <row r="2348" spans="1:2">
      <c r="A2348" s="59"/>
      <c r="B2348"/>
    </row>
    <row r="2349" spans="1:2">
      <c r="A2349" s="59"/>
      <c r="B2349"/>
    </row>
    <row r="2350" spans="1:2">
      <c r="A2350" s="59"/>
      <c r="B2350"/>
    </row>
    <row r="2351" spans="1:2">
      <c r="A2351" s="59"/>
      <c r="B2351"/>
    </row>
    <row r="2352" spans="1:2">
      <c r="A2352" s="59"/>
      <c r="B2352"/>
    </row>
    <row r="2353" spans="1:2">
      <c r="A2353" s="59"/>
      <c r="B2353"/>
    </row>
    <row r="2354" spans="1:2">
      <c r="A2354" s="59"/>
      <c r="B2354"/>
    </row>
    <row r="2355" spans="1:2">
      <c r="A2355" s="59"/>
      <c r="B2355"/>
    </row>
    <row r="2356" spans="1:2">
      <c r="A2356" s="59"/>
      <c r="B2356"/>
    </row>
    <row r="2357" spans="1:2">
      <c r="A2357" s="59"/>
      <c r="B2357"/>
    </row>
    <row r="2358" spans="1:2">
      <c r="A2358" s="59"/>
      <c r="B2358"/>
    </row>
    <row r="2359" spans="1:2">
      <c r="A2359" s="59"/>
      <c r="B2359"/>
    </row>
    <row r="2360" spans="1:2">
      <c r="A2360" s="59"/>
      <c r="B2360"/>
    </row>
    <row r="2361" spans="1:2">
      <c r="A2361" s="59"/>
      <c r="B2361"/>
    </row>
    <row r="2362" spans="1:2">
      <c r="A2362" s="59"/>
      <c r="B2362"/>
    </row>
    <row r="2363" spans="1:2">
      <c r="A2363" s="59"/>
      <c r="B2363"/>
    </row>
    <row r="2364" spans="1:2">
      <c r="A2364" s="59"/>
      <c r="B2364"/>
    </row>
    <row r="2365" spans="1:2">
      <c r="A2365" s="59"/>
      <c r="B2365"/>
    </row>
    <row r="2366" spans="1:2">
      <c r="A2366" s="59"/>
      <c r="B2366"/>
    </row>
    <row r="2367" spans="1:2">
      <c r="A2367" s="59"/>
      <c r="B2367"/>
    </row>
    <row r="2368" spans="1:2">
      <c r="A2368" s="59"/>
      <c r="B2368"/>
    </row>
    <row r="2369" spans="1:2">
      <c r="A2369" s="59"/>
      <c r="B2369"/>
    </row>
    <row r="2370" spans="1:2">
      <c r="A2370" s="59"/>
      <c r="B2370"/>
    </row>
    <row r="2371" spans="1:2">
      <c r="A2371" s="59"/>
      <c r="B2371"/>
    </row>
    <row r="2372" spans="1:2">
      <c r="A2372" s="59"/>
      <c r="B2372"/>
    </row>
    <row r="2373" spans="1:2">
      <c r="A2373" s="59"/>
      <c r="B2373"/>
    </row>
    <row r="2374" spans="1:2">
      <c r="A2374" s="59"/>
      <c r="B2374"/>
    </row>
    <row r="2375" spans="1:2">
      <c r="A2375" s="59"/>
      <c r="B2375"/>
    </row>
    <row r="2376" spans="1:2">
      <c r="A2376" s="59"/>
      <c r="B2376"/>
    </row>
    <row r="2377" spans="1:2">
      <c r="A2377" s="59"/>
      <c r="B2377"/>
    </row>
    <row r="2378" spans="1:2">
      <c r="A2378" s="59"/>
      <c r="B2378"/>
    </row>
    <row r="2379" spans="1:2">
      <c r="A2379" s="59"/>
      <c r="B2379"/>
    </row>
    <row r="2380" spans="1:2">
      <c r="A2380" s="59"/>
      <c r="B2380"/>
    </row>
    <row r="2381" spans="1:2">
      <c r="A2381" s="59"/>
      <c r="B2381"/>
    </row>
    <row r="2382" spans="1:2">
      <c r="A2382" s="59"/>
      <c r="B2382"/>
    </row>
    <row r="2383" spans="1:2">
      <c r="A2383" s="59"/>
      <c r="B2383"/>
    </row>
    <row r="2384" spans="1:2">
      <c r="A2384" s="59"/>
      <c r="B2384"/>
    </row>
    <row r="2385" spans="1:2">
      <c r="A2385" s="59"/>
      <c r="B2385"/>
    </row>
    <row r="2386" spans="1:2">
      <c r="A2386" s="59"/>
      <c r="B2386"/>
    </row>
    <row r="2387" spans="1:2">
      <c r="A2387" s="59"/>
      <c r="B2387"/>
    </row>
    <row r="2388" spans="1:2">
      <c r="A2388" s="59"/>
      <c r="B2388"/>
    </row>
    <row r="2389" spans="1:2">
      <c r="A2389" s="59"/>
      <c r="B2389"/>
    </row>
    <row r="2390" spans="1:2">
      <c r="A2390" s="59"/>
      <c r="B2390"/>
    </row>
    <row r="2391" spans="1:2">
      <c r="A2391" s="59"/>
      <c r="B2391"/>
    </row>
    <row r="2392" spans="1:2">
      <c r="A2392" s="59"/>
      <c r="B2392"/>
    </row>
    <row r="2393" spans="1:2">
      <c r="A2393" s="59"/>
      <c r="B2393"/>
    </row>
    <row r="2394" spans="1:2">
      <c r="A2394" s="59"/>
      <c r="B2394"/>
    </row>
    <row r="2395" spans="1:2">
      <c r="A2395" s="59"/>
      <c r="B2395"/>
    </row>
    <row r="2396" spans="1:2">
      <c r="A2396" s="59"/>
      <c r="B2396"/>
    </row>
    <row r="2397" spans="1:2">
      <c r="A2397" s="59"/>
      <c r="B2397"/>
    </row>
    <row r="2398" spans="1:2">
      <c r="A2398" s="59"/>
      <c r="B2398"/>
    </row>
    <row r="2399" spans="1:2">
      <c r="A2399" s="59"/>
      <c r="B2399"/>
    </row>
    <row r="2400" spans="1:2">
      <c r="A2400" s="59"/>
      <c r="B2400"/>
    </row>
    <row r="2401" spans="1:2">
      <c r="A2401" s="59"/>
      <c r="B2401"/>
    </row>
    <row r="2402" spans="1:2">
      <c r="A2402" s="59"/>
      <c r="B2402"/>
    </row>
    <row r="2403" spans="1:2">
      <c r="A2403" s="59"/>
      <c r="B2403"/>
    </row>
    <row r="2404" spans="1:2">
      <c r="A2404" s="59"/>
      <c r="B2404"/>
    </row>
    <row r="2405" spans="1:2">
      <c r="A2405" s="59"/>
      <c r="B2405"/>
    </row>
    <row r="2406" spans="1:2">
      <c r="A2406" s="59"/>
      <c r="B2406"/>
    </row>
    <row r="2407" spans="1:2">
      <c r="A2407" s="59"/>
      <c r="B2407"/>
    </row>
    <row r="2408" spans="1:2">
      <c r="A2408" s="59"/>
      <c r="B2408"/>
    </row>
    <row r="2409" spans="1:2">
      <c r="A2409" s="59"/>
      <c r="B2409"/>
    </row>
    <row r="2410" spans="1:2">
      <c r="A2410" s="59"/>
      <c r="B2410"/>
    </row>
    <row r="2411" spans="1:2">
      <c r="A2411" s="59"/>
      <c r="B2411"/>
    </row>
    <row r="2412" spans="1:2">
      <c r="A2412" s="59"/>
      <c r="B2412"/>
    </row>
    <row r="2413" spans="1:2">
      <c r="A2413" s="59"/>
      <c r="B2413"/>
    </row>
    <row r="2414" spans="1:2">
      <c r="A2414" s="59"/>
      <c r="B2414"/>
    </row>
    <row r="2415" spans="1:2">
      <c r="A2415" s="59"/>
      <c r="B2415"/>
    </row>
    <row r="2416" spans="1:2">
      <c r="A2416" s="59"/>
      <c r="B2416"/>
    </row>
    <row r="2417" spans="1:2">
      <c r="A2417" s="59"/>
      <c r="B2417"/>
    </row>
    <row r="2418" spans="1:2">
      <c r="A2418" s="59"/>
      <c r="B2418"/>
    </row>
    <row r="2419" spans="1:2">
      <c r="A2419" s="59"/>
      <c r="B2419"/>
    </row>
    <row r="2420" spans="1:2">
      <c r="A2420" s="59"/>
      <c r="B2420"/>
    </row>
    <row r="2421" spans="1:2">
      <c r="A2421" s="59"/>
      <c r="B2421"/>
    </row>
    <row r="2422" spans="1:2">
      <c r="A2422" s="59"/>
      <c r="B2422"/>
    </row>
    <row r="2423" spans="1:2">
      <c r="A2423" s="59"/>
      <c r="B2423"/>
    </row>
    <row r="2424" spans="1:2">
      <c r="A2424" s="59"/>
      <c r="B2424"/>
    </row>
    <row r="2425" spans="1:2">
      <c r="A2425" s="59"/>
      <c r="B2425"/>
    </row>
    <row r="2426" spans="1:2">
      <c r="A2426" s="59"/>
      <c r="B2426"/>
    </row>
    <row r="2427" spans="1:2">
      <c r="A2427" s="59"/>
      <c r="B2427"/>
    </row>
    <row r="2428" spans="1:2">
      <c r="A2428" s="59"/>
      <c r="B2428"/>
    </row>
    <row r="2429" spans="1:2">
      <c r="A2429" s="59"/>
      <c r="B2429"/>
    </row>
    <row r="2430" spans="1:2">
      <c r="A2430" s="59"/>
      <c r="B2430"/>
    </row>
    <row r="2431" spans="1:2">
      <c r="A2431" s="59"/>
      <c r="B2431"/>
    </row>
    <row r="2432" spans="1:2">
      <c r="A2432" s="59"/>
      <c r="B2432"/>
    </row>
    <row r="2433" spans="1:2">
      <c r="A2433" s="59"/>
      <c r="B2433"/>
    </row>
    <row r="2434" spans="1:2">
      <c r="A2434" s="59"/>
      <c r="B2434"/>
    </row>
    <row r="2435" spans="1:2">
      <c r="A2435" s="59"/>
      <c r="B2435"/>
    </row>
    <row r="2436" spans="1:2">
      <c r="A2436" s="59"/>
      <c r="B2436"/>
    </row>
    <row r="2437" spans="1:2">
      <c r="A2437" s="59"/>
      <c r="B2437"/>
    </row>
    <row r="2438" spans="1:2">
      <c r="A2438" s="59"/>
      <c r="B2438"/>
    </row>
    <row r="2439" spans="1:2">
      <c r="A2439" s="59"/>
      <c r="B2439"/>
    </row>
    <row r="2440" spans="1:2">
      <c r="A2440" s="59"/>
      <c r="B2440"/>
    </row>
    <row r="2441" spans="1:2">
      <c r="A2441" s="59"/>
      <c r="B2441"/>
    </row>
    <row r="2442" spans="1:2">
      <c r="A2442" s="59"/>
      <c r="B2442"/>
    </row>
    <row r="2443" spans="1:2">
      <c r="A2443" s="59"/>
      <c r="B2443"/>
    </row>
    <row r="2444" spans="1:2">
      <c r="A2444" s="59"/>
      <c r="B2444"/>
    </row>
    <row r="2445" spans="1:2">
      <c r="A2445" s="59"/>
      <c r="B2445"/>
    </row>
    <row r="2446" spans="1:2">
      <c r="A2446" s="59"/>
      <c r="B2446"/>
    </row>
    <row r="2447" spans="1:2">
      <c r="A2447" s="59"/>
      <c r="B2447"/>
    </row>
    <row r="2448" spans="1:2">
      <c r="A2448" s="59"/>
      <c r="B2448"/>
    </row>
    <row r="2449" spans="1:2">
      <c r="A2449" s="59"/>
      <c r="B2449"/>
    </row>
    <row r="2450" spans="1:2">
      <c r="A2450" s="59"/>
      <c r="B2450"/>
    </row>
    <row r="2451" spans="1:2">
      <c r="A2451" s="59"/>
      <c r="B2451"/>
    </row>
    <row r="2452" spans="1:2">
      <c r="A2452" s="59"/>
      <c r="B2452"/>
    </row>
    <row r="2453" spans="1:2">
      <c r="A2453" s="59"/>
      <c r="B2453"/>
    </row>
    <row r="2454" spans="1:2">
      <c r="A2454" s="59"/>
      <c r="B2454"/>
    </row>
    <row r="2455" spans="1:2">
      <c r="A2455" s="59"/>
      <c r="B2455"/>
    </row>
    <row r="2456" spans="1:2">
      <c r="A2456" s="59"/>
      <c r="B2456"/>
    </row>
    <row r="2457" spans="1:2">
      <c r="A2457" s="59"/>
      <c r="B2457"/>
    </row>
    <row r="2458" spans="1:2">
      <c r="A2458" s="59"/>
      <c r="B2458"/>
    </row>
    <row r="2459" spans="1:2">
      <c r="A2459" s="59"/>
      <c r="B2459"/>
    </row>
    <row r="2460" spans="1:2">
      <c r="A2460" s="59"/>
      <c r="B2460"/>
    </row>
    <row r="2461" spans="1:2">
      <c r="A2461" s="59"/>
      <c r="B2461"/>
    </row>
    <row r="2462" spans="1:2">
      <c r="A2462" s="59"/>
      <c r="B2462"/>
    </row>
    <row r="2463" spans="1:2">
      <c r="A2463" s="59"/>
      <c r="B2463"/>
    </row>
    <row r="2464" spans="1:2">
      <c r="A2464" s="59"/>
      <c r="B2464"/>
    </row>
    <row r="2465" spans="1:2">
      <c r="A2465" s="59"/>
      <c r="B2465"/>
    </row>
    <row r="2466" spans="1:2">
      <c r="A2466" s="59"/>
      <c r="B2466"/>
    </row>
    <row r="2467" spans="1:2">
      <c r="A2467" s="59"/>
      <c r="B2467"/>
    </row>
    <row r="2468" spans="1:2">
      <c r="A2468" s="59"/>
      <c r="B2468"/>
    </row>
    <row r="2469" spans="1:2">
      <c r="A2469" s="59"/>
      <c r="B2469"/>
    </row>
    <row r="2470" spans="1:2">
      <c r="A2470" s="59"/>
      <c r="B2470"/>
    </row>
    <row r="2471" spans="1:2">
      <c r="A2471" s="59"/>
      <c r="B2471"/>
    </row>
    <row r="2472" spans="1:2">
      <c r="A2472" s="59"/>
      <c r="B2472"/>
    </row>
    <row r="2473" spans="1:2">
      <c r="A2473" s="59"/>
      <c r="B2473"/>
    </row>
    <row r="2474" spans="1:2">
      <c r="A2474" s="59"/>
      <c r="B2474"/>
    </row>
    <row r="2475" spans="1:2">
      <c r="A2475" s="59"/>
      <c r="B2475"/>
    </row>
    <row r="2476" spans="1:2">
      <c r="A2476" s="59"/>
      <c r="B2476"/>
    </row>
    <row r="2477" spans="1:2">
      <c r="A2477" s="59"/>
      <c r="B2477"/>
    </row>
    <row r="2478" spans="1:2">
      <c r="A2478" s="59"/>
      <c r="B2478"/>
    </row>
    <row r="2479" spans="1:2">
      <c r="A2479" s="59"/>
      <c r="B2479"/>
    </row>
    <row r="2480" spans="1:2">
      <c r="A2480" s="59"/>
      <c r="B2480"/>
    </row>
    <row r="2481" spans="1:2">
      <c r="A2481" s="59"/>
      <c r="B2481"/>
    </row>
    <row r="2482" spans="1:2">
      <c r="A2482" s="59"/>
      <c r="B2482"/>
    </row>
    <row r="2483" spans="1:2">
      <c r="A2483" s="59"/>
      <c r="B2483"/>
    </row>
    <row r="2484" spans="1:2">
      <c r="A2484" s="59"/>
      <c r="B2484"/>
    </row>
    <row r="2485" spans="1:2">
      <c r="A2485" s="59"/>
      <c r="B2485"/>
    </row>
    <row r="2486" spans="1:2">
      <c r="A2486" s="59"/>
      <c r="B2486"/>
    </row>
    <row r="2487" spans="1:2">
      <c r="A2487" s="59"/>
      <c r="B2487"/>
    </row>
    <row r="2488" spans="1:2">
      <c r="A2488" s="59"/>
      <c r="B2488"/>
    </row>
    <row r="2489" spans="1:2">
      <c r="A2489" s="59"/>
      <c r="B2489"/>
    </row>
    <row r="2490" spans="1:2">
      <c r="A2490" s="59"/>
      <c r="B2490"/>
    </row>
    <row r="2491" spans="1:2">
      <c r="A2491" s="59"/>
      <c r="B2491"/>
    </row>
    <row r="2492" spans="1:2">
      <c r="A2492" s="59"/>
      <c r="B2492"/>
    </row>
    <row r="2493" spans="1:2">
      <c r="A2493" s="59"/>
      <c r="B2493"/>
    </row>
    <row r="2494" spans="1:2">
      <c r="A2494" s="59"/>
      <c r="B2494"/>
    </row>
    <row r="2495" spans="1:2">
      <c r="A2495" s="59"/>
      <c r="B2495"/>
    </row>
    <row r="2496" spans="1:2">
      <c r="A2496" s="59"/>
      <c r="B2496"/>
    </row>
    <row r="2497" spans="1:2">
      <c r="A2497" s="59"/>
      <c r="B2497"/>
    </row>
    <row r="2498" spans="1:2">
      <c r="A2498" s="59"/>
      <c r="B2498"/>
    </row>
    <row r="2499" spans="1:2">
      <c r="A2499" s="59"/>
      <c r="B2499"/>
    </row>
    <row r="2500" spans="1:2">
      <c r="A2500" s="59"/>
      <c r="B2500"/>
    </row>
    <row r="2501" spans="1:2">
      <c r="A2501" s="59"/>
      <c r="B2501"/>
    </row>
    <row r="2502" spans="1:2">
      <c r="A2502" s="59"/>
      <c r="B2502"/>
    </row>
    <row r="2503" spans="1:2">
      <c r="A2503" s="59"/>
      <c r="B2503"/>
    </row>
    <row r="2504" spans="1:2">
      <c r="A2504" s="59"/>
      <c r="B2504"/>
    </row>
    <row r="2505" spans="1:2">
      <c r="A2505" s="59"/>
      <c r="B2505"/>
    </row>
    <row r="2506" spans="1:2">
      <c r="A2506" s="59"/>
      <c r="B2506"/>
    </row>
    <row r="2507" spans="1:2">
      <c r="A2507" s="59"/>
      <c r="B2507"/>
    </row>
    <row r="2508" spans="1:2">
      <c r="A2508" s="59"/>
      <c r="B2508"/>
    </row>
    <row r="2509" spans="1:2">
      <c r="A2509" s="59"/>
      <c r="B2509"/>
    </row>
    <row r="2510" spans="1:2">
      <c r="A2510" s="59"/>
      <c r="B2510"/>
    </row>
    <row r="2511" spans="1:2">
      <c r="A2511" s="59"/>
      <c r="B2511"/>
    </row>
    <row r="2512" spans="1:2">
      <c r="A2512" s="59"/>
      <c r="B2512"/>
    </row>
    <row r="2513" spans="1:2">
      <c r="A2513" s="59"/>
      <c r="B2513"/>
    </row>
    <row r="2514" spans="1:2">
      <c r="A2514" s="59"/>
      <c r="B2514"/>
    </row>
    <row r="2515" spans="1:2">
      <c r="A2515" s="59"/>
      <c r="B2515"/>
    </row>
    <row r="2516" spans="1:2">
      <c r="A2516" s="59"/>
      <c r="B2516"/>
    </row>
    <row r="2517" spans="1:2">
      <c r="A2517" s="59"/>
      <c r="B2517"/>
    </row>
    <row r="2518" spans="1:2">
      <c r="A2518" s="59"/>
      <c r="B2518"/>
    </row>
    <row r="2519" spans="1:2">
      <c r="A2519" s="59"/>
      <c r="B2519"/>
    </row>
    <row r="2520" spans="1:2">
      <c r="A2520" s="59"/>
      <c r="B2520"/>
    </row>
    <row r="2521" spans="1:2">
      <c r="A2521" s="59"/>
      <c r="B2521"/>
    </row>
    <row r="2522" spans="1:2">
      <c r="A2522" s="59"/>
      <c r="B2522"/>
    </row>
    <row r="2523" spans="1:2">
      <c r="A2523" s="59"/>
      <c r="B2523"/>
    </row>
    <row r="2524" spans="1:2">
      <c r="A2524" s="59"/>
      <c r="B2524"/>
    </row>
    <row r="2525" spans="1:2">
      <c r="A2525" s="59"/>
      <c r="B2525"/>
    </row>
    <row r="2526" spans="1:2">
      <c r="A2526" s="59"/>
      <c r="B2526"/>
    </row>
    <row r="2527" spans="1:2">
      <c r="A2527" s="59"/>
      <c r="B2527"/>
    </row>
    <row r="2528" spans="1:2">
      <c r="A2528" s="59"/>
      <c r="B2528"/>
    </row>
    <row r="2529" spans="1:2">
      <c r="A2529" s="59"/>
      <c r="B2529"/>
    </row>
    <row r="2530" spans="1:2">
      <c r="A2530" s="59"/>
      <c r="B2530"/>
    </row>
    <row r="2531" spans="1:2">
      <c r="A2531" s="59"/>
      <c r="B2531"/>
    </row>
    <row r="2532" spans="1:2">
      <c r="A2532" s="59"/>
      <c r="B2532"/>
    </row>
    <row r="2533" spans="1:2">
      <c r="A2533" s="59"/>
      <c r="B2533"/>
    </row>
    <row r="2534" spans="1:2">
      <c r="A2534" s="59"/>
      <c r="B2534"/>
    </row>
    <row r="2535" spans="1:2">
      <c r="A2535" s="59"/>
      <c r="B2535"/>
    </row>
    <row r="2536" spans="1:2">
      <c r="A2536" s="59"/>
      <c r="B2536"/>
    </row>
    <row r="2537" spans="1:2">
      <c r="A2537" s="59"/>
      <c r="B2537"/>
    </row>
    <row r="2538" spans="1:2">
      <c r="A2538" s="59"/>
      <c r="B2538"/>
    </row>
    <row r="2539" spans="1:2">
      <c r="A2539" s="59"/>
      <c r="B2539"/>
    </row>
    <row r="2540" spans="1:2">
      <c r="A2540" s="59"/>
      <c r="B2540"/>
    </row>
    <row r="2541" spans="1:2">
      <c r="A2541" s="59"/>
      <c r="B2541"/>
    </row>
    <row r="2542" spans="1:2">
      <c r="A2542" s="59"/>
      <c r="B2542"/>
    </row>
    <row r="2543" spans="1:2">
      <c r="A2543" s="59"/>
      <c r="B2543"/>
    </row>
    <row r="2544" spans="1:2">
      <c r="A2544" s="59"/>
      <c r="B2544"/>
    </row>
    <row r="2545" spans="1:2">
      <c r="A2545" s="59"/>
      <c r="B2545"/>
    </row>
    <row r="2546" spans="1:2">
      <c r="A2546" s="59"/>
      <c r="B2546"/>
    </row>
    <row r="2547" spans="1:2">
      <c r="A2547" s="59"/>
      <c r="B2547"/>
    </row>
    <row r="2548" spans="1:2">
      <c r="A2548" s="59"/>
      <c r="B2548"/>
    </row>
    <row r="2549" spans="1:2">
      <c r="A2549" s="59"/>
      <c r="B2549"/>
    </row>
    <row r="2550" spans="1:2">
      <c r="A2550" s="59"/>
      <c r="B2550"/>
    </row>
    <row r="2551" spans="1:2">
      <c r="A2551" s="59"/>
      <c r="B2551"/>
    </row>
    <row r="2552" spans="1:2">
      <c r="A2552" s="59"/>
      <c r="B2552"/>
    </row>
    <row r="2553" spans="1:2">
      <c r="A2553" s="59"/>
      <c r="B2553"/>
    </row>
    <row r="2554" spans="1:2">
      <c r="A2554" s="59"/>
      <c r="B2554"/>
    </row>
    <row r="2555" spans="1:2">
      <c r="A2555" s="59"/>
      <c r="B2555"/>
    </row>
    <row r="2556" spans="1:2">
      <c r="A2556" s="59"/>
      <c r="B2556"/>
    </row>
    <row r="2557" spans="1:2">
      <c r="A2557" s="59"/>
      <c r="B2557"/>
    </row>
    <row r="2558" spans="1:2">
      <c r="A2558" s="59"/>
      <c r="B2558"/>
    </row>
    <row r="2559" spans="1:2">
      <c r="A2559" s="59"/>
      <c r="B2559"/>
    </row>
    <row r="2560" spans="1:2">
      <c r="A2560" s="59"/>
      <c r="B2560"/>
    </row>
    <row r="2561" spans="1:2">
      <c r="A2561" s="59"/>
      <c r="B2561"/>
    </row>
    <row r="2562" spans="1:2">
      <c r="A2562" s="59"/>
      <c r="B2562"/>
    </row>
    <row r="2563" spans="1:2">
      <c r="A2563" s="59"/>
      <c r="B2563"/>
    </row>
    <row r="2564" spans="1:2">
      <c r="A2564" s="59"/>
      <c r="B2564"/>
    </row>
    <row r="2565" spans="1:2">
      <c r="A2565" s="59"/>
      <c r="B2565"/>
    </row>
    <row r="2566" spans="1:2">
      <c r="A2566" s="59"/>
      <c r="B2566"/>
    </row>
    <row r="2567" spans="1:2">
      <c r="A2567" s="59"/>
      <c r="B2567"/>
    </row>
    <row r="2568" spans="1:2">
      <c r="A2568" s="59"/>
      <c r="B2568"/>
    </row>
    <row r="2569" spans="1:2">
      <c r="A2569" s="59"/>
      <c r="B2569"/>
    </row>
    <row r="2570" spans="1:2">
      <c r="A2570" s="59"/>
      <c r="B2570"/>
    </row>
    <row r="2571" spans="1:2">
      <c r="A2571" s="59"/>
      <c r="B2571"/>
    </row>
    <row r="2572" spans="1:2">
      <c r="A2572" s="59"/>
      <c r="B2572"/>
    </row>
    <row r="2573" spans="1:2">
      <c r="A2573" s="59"/>
      <c r="B2573"/>
    </row>
    <row r="2574" spans="1:2">
      <c r="A2574" s="59"/>
      <c r="B2574"/>
    </row>
    <row r="2575" spans="1:2">
      <c r="A2575" s="59"/>
      <c r="B2575"/>
    </row>
    <row r="2576" spans="1:2">
      <c r="A2576" s="59"/>
      <c r="B2576"/>
    </row>
    <row r="2577" spans="1:2">
      <c r="A2577" s="59"/>
      <c r="B2577"/>
    </row>
    <row r="2578" spans="1:2">
      <c r="A2578" s="59"/>
      <c r="B2578"/>
    </row>
    <row r="2579" spans="1:2">
      <c r="A2579" s="59"/>
      <c r="B2579"/>
    </row>
    <row r="2580" spans="1:2">
      <c r="A2580" s="59"/>
      <c r="B2580"/>
    </row>
    <row r="2581" spans="1:2">
      <c r="A2581" s="59"/>
      <c r="B2581"/>
    </row>
    <row r="2582" spans="1:2">
      <c r="A2582" s="59"/>
      <c r="B2582"/>
    </row>
    <row r="2583" spans="1:2">
      <c r="A2583" s="59"/>
      <c r="B2583"/>
    </row>
    <row r="2584" spans="1:2">
      <c r="A2584" s="59"/>
      <c r="B2584"/>
    </row>
    <row r="2585" spans="1:2">
      <c r="A2585" s="59"/>
      <c r="B2585"/>
    </row>
    <row r="2586" spans="1:2">
      <c r="A2586" s="59"/>
      <c r="B2586"/>
    </row>
    <row r="2587" spans="1:2">
      <c r="A2587" s="59"/>
      <c r="B2587"/>
    </row>
    <row r="2588" spans="1:2">
      <c r="A2588" s="59"/>
      <c r="B2588"/>
    </row>
    <row r="2589" spans="1:2">
      <c r="A2589" s="59"/>
      <c r="B2589"/>
    </row>
    <row r="2590" spans="1:2">
      <c r="A2590" s="59"/>
      <c r="B2590"/>
    </row>
    <row r="2591" spans="1:2">
      <c r="A2591" s="59"/>
      <c r="B2591"/>
    </row>
    <row r="2592" spans="1:2">
      <c r="A2592" s="59"/>
      <c r="B2592"/>
    </row>
    <row r="2593" spans="1:2">
      <c r="A2593" s="59"/>
      <c r="B2593"/>
    </row>
    <row r="2594" spans="1:2">
      <c r="A2594" s="59"/>
      <c r="B2594"/>
    </row>
    <row r="2595" spans="1:2">
      <c r="A2595" s="59"/>
      <c r="B2595"/>
    </row>
    <row r="2596" spans="1:2">
      <c r="A2596" s="59"/>
      <c r="B2596"/>
    </row>
    <row r="2597" spans="1:2">
      <c r="A2597" s="59"/>
      <c r="B2597"/>
    </row>
    <row r="2598" spans="1:2">
      <c r="A2598" s="59"/>
      <c r="B2598"/>
    </row>
    <row r="2599" spans="1:2">
      <c r="A2599" s="59"/>
      <c r="B2599"/>
    </row>
    <row r="2600" spans="1:2">
      <c r="A2600" s="59"/>
      <c r="B2600"/>
    </row>
    <row r="2601" spans="1:2">
      <c r="A2601" s="59"/>
      <c r="B2601"/>
    </row>
    <row r="2602" spans="1:2">
      <c r="A2602" s="59"/>
      <c r="B2602"/>
    </row>
    <row r="2603" spans="1:2">
      <c r="A2603" s="59"/>
      <c r="B2603"/>
    </row>
    <row r="2604" spans="1:2">
      <c r="A2604" s="59"/>
      <c r="B2604"/>
    </row>
    <row r="2605" spans="1:2">
      <c r="A2605" s="59"/>
      <c r="B2605"/>
    </row>
    <row r="2606" spans="1:2">
      <c r="A2606" s="59"/>
      <c r="B2606"/>
    </row>
    <row r="2607" spans="1:2">
      <c r="A2607" s="59"/>
      <c r="B2607"/>
    </row>
    <row r="2608" spans="1:2">
      <c r="A2608" s="59"/>
      <c r="B2608"/>
    </row>
    <row r="2609" spans="1:2">
      <c r="A2609" s="59"/>
      <c r="B2609"/>
    </row>
    <row r="2610" spans="1:2">
      <c r="A2610" s="59"/>
      <c r="B2610"/>
    </row>
    <row r="2611" spans="1:2">
      <c r="A2611" s="59"/>
      <c r="B2611"/>
    </row>
    <row r="2612" spans="1:2">
      <c r="A2612" s="59"/>
      <c r="B2612"/>
    </row>
    <row r="2613" spans="1:2">
      <c r="A2613" s="59"/>
      <c r="B2613"/>
    </row>
    <row r="2614" spans="1:2">
      <c r="A2614" s="59"/>
      <c r="B2614"/>
    </row>
    <row r="2615" spans="1:2">
      <c r="A2615" s="59"/>
      <c r="B2615"/>
    </row>
    <row r="2616" spans="1:2">
      <c r="A2616" s="59"/>
      <c r="B2616"/>
    </row>
    <row r="2617" spans="1:2">
      <c r="A2617" s="59"/>
      <c r="B2617"/>
    </row>
    <row r="2618" spans="1:2">
      <c r="A2618" s="59"/>
      <c r="B2618"/>
    </row>
    <row r="2619" spans="1:2">
      <c r="A2619" s="59"/>
      <c r="B2619"/>
    </row>
    <row r="2620" spans="1:2">
      <c r="A2620" s="59"/>
      <c r="B2620"/>
    </row>
    <row r="2621" spans="1:2">
      <c r="A2621" s="59"/>
      <c r="B2621"/>
    </row>
    <row r="2622" spans="1:2">
      <c r="A2622" s="59"/>
      <c r="B2622"/>
    </row>
    <row r="2623" spans="1:2">
      <c r="A2623" s="59"/>
      <c r="B2623"/>
    </row>
    <row r="2624" spans="1:2">
      <c r="A2624" s="59"/>
      <c r="B2624"/>
    </row>
    <row r="2625" spans="1:2">
      <c r="A2625" s="59"/>
      <c r="B2625"/>
    </row>
    <row r="2626" spans="1:2">
      <c r="A2626" s="59"/>
      <c r="B2626"/>
    </row>
    <row r="2627" spans="1:2">
      <c r="A2627" s="59"/>
      <c r="B2627"/>
    </row>
    <row r="2628" spans="1:2">
      <c r="A2628" s="59"/>
      <c r="B2628"/>
    </row>
    <row r="2629" spans="1:2">
      <c r="A2629" s="59"/>
      <c r="B2629"/>
    </row>
    <row r="2630" spans="1:2">
      <c r="A2630" s="59"/>
      <c r="B2630"/>
    </row>
    <row r="2631" spans="1:2">
      <c r="A2631" s="59"/>
      <c r="B2631"/>
    </row>
    <row r="2632" spans="1:2">
      <c r="A2632" s="59"/>
      <c r="B2632"/>
    </row>
    <row r="2633" spans="1:2">
      <c r="A2633" s="59"/>
      <c r="B2633"/>
    </row>
    <row r="2634" spans="1:2">
      <c r="A2634" s="59"/>
      <c r="B2634"/>
    </row>
    <row r="2635" spans="1:2">
      <c r="A2635" s="59"/>
      <c r="B2635"/>
    </row>
    <row r="2636" spans="1:2">
      <c r="A2636" s="59"/>
      <c r="B2636"/>
    </row>
    <row r="2637" spans="1:2">
      <c r="A2637" s="59"/>
      <c r="B2637"/>
    </row>
    <row r="2638" spans="1:2">
      <c r="A2638" s="59"/>
      <c r="B2638"/>
    </row>
    <row r="2639" spans="1:2">
      <c r="A2639" s="59"/>
      <c r="B2639"/>
    </row>
    <row r="2640" spans="1:2">
      <c r="A2640" s="59"/>
      <c r="B2640"/>
    </row>
    <row r="2641" spans="1:2">
      <c r="A2641" s="59"/>
      <c r="B2641"/>
    </row>
    <row r="2642" spans="1:2">
      <c r="A2642" s="59"/>
      <c r="B2642"/>
    </row>
    <row r="2643" spans="1:2">
      <c r="A2643" s="59"/>
      <c r="B2643"/>
    </row>
    <row r="2644" spans="1:2">
      <c r="A2644" s="59"/>
      <c r="B2644"/>
    </row>
    <row r="2645" spans="1:2">
      <c r="A2645" s="59"/>
      <c r="B2645"/>
    </row>
    <row r="2646" spans="1:2">
      <c r="A2646" s="59"/>
      <c r="B2646"/>
    </row>
    <row r="2647" spans="1:2">
      <c r="A2647" s="59"/>
      <c r="B2647"/>
    </row>
    <row r="2648" spans="1:2">
      <c r="A2648" s="59"/>
      <c r="B2648"/>
    </row>
    <row r="2649" spans="1:2">
      <c r="A2649" s="59"/>
      <c r="B2649"/>
    </row>
    <row r="2650" spans="1:2">
      <c r="A2650" s="59"/>
      <c r="B2650"/>
    </row>
    <row r="2651" spans="1:2">
      <c r="A2651" s="59"/>
      <c r="B2651"/>
    </row>
    <row r="2652" spans="1:2">
      <c r="A2652" s="59"/>
      <c r="B2652"/>
    </row>
    <row r="2653" spans="1:2">
      <c r="A2653" s="59"/>
      <c r="B2653"/>
    </row>
    <row r="2654" spans="1:2">
      <c r="A2654" s="59"/>
      <c r="B2654"/>
    </row>
    <row r="2655" spans="1:2">
      <c r="A2655" s="59"/>
      <c r="B2655"/>
    </row>
    <row r="2656" spans="1:2">
      <c r="A2656" s="59"/>
      <c r="B2656"/>
    </row>
    <row r="2657" spans="1:2">
      <c r="A2657" s="59"/>
      <c r="B2657"/>
    </row>
    <row r="2658" spans="1:2">
      <c r="A2658" s="59"/>
      <c r="B2658"/>
    </row>
    <row r="2659" spans="1:2">
      <c r="A2659" s="59"/>
      <c r="B2659"/>
    </row>
    <row r="2660" spans="1:2">
      <c r="A2660" s="59"/>
      <c r="B2660"/>
    </row>
    <row r="2661" spans="1:2">
      <c r="A2661" s="59"/>
      <c r="B2661"/>
    </row>
    <row r="2662" spans="1:2">
      <c r="A2662" s="59"/>
      <c r="B2662"/>
    </row>
    <row r="2663" spans="1:2">
      <c r="A2663" s="59"/>
      <c r="B2663"/>
    </row>
    <row r="2664" spans="1:2">
      <c r="A2664" s="59"/>
      <c r="B2664"/>
    </row>
    <row r="2665" spans="1:2">
      <c r="A2665" s="59"/>
      <c r="B2665"/>
    </row>
    <row r="2666" spans="1:2">
      <c r="A2666" s="59"/>
      <c r="B2666"/>
    </row>
    <row r="2667" spans="1:2">
      <c r="A2667" s="59"/>
      <c r="B2667"/>
    </row>
    <row r="2668" spans="1:2">
      <c r="A2668" s="59"/>
      <c r="B2668"/>
    </row>
    <row r="2669" spans="1:2">
      <c r="A2669" s="59"/>
      <c r="B2669"/>
    </row>
    <row r="2670" spans="1:2">
      <c r="A2670" s="59"/>
      <c r="B2670"/>
    </row>
    <row r="2671" spans="1:2">
      <c r="A2671" s="59"/>
      <c r="B2671"/>
    </row>
    <row r="2672" spans="1:2">
      <c r="A2672" s="59"/>
      <c r="B2672"/>
    </row>
    <row r="2673" spans="1:2">
      <c r="A2673" s="59"/>
      <c r="B2673"/>
    </row>
    <row r="2674" spans="1:2">
      <c r="A2674" s="59"/>
      <c r="B2674"/>
    </row>
    <row r="2675" spans="1:2">
      <c r="A2675" s="59"/>
      <c r="B2675"/>
    </row>
    <row r="2676" spans="1:2">
      <c r="A2676" s="59"/>
      <c r="B2676"/>
    </row>
    <row r="2677" spans="1:2">
      <c r="A2677" s="59"/>
      <c r="B2677"/>
    </row>
    <row r="2678" spans="1:2">
      <c r="A2678" s="59"/>
      <c r="B2678"/>
    </row>
    <row r="2679" spans="1:2">
      <c r="A2679" s="59"/>
      <c r="B2679"/>
    </row>
    <row r="2680" spans="1:2">
      <c r="A2680" s="59"/>
      <c r="B2680"/>
    </row>
    <row r="2681" spans="1:2">
      <c r="A2681" s="59"/>
      <c r="B2681"/>
    </row>
    <row r="2682" spans="1:2">
      <c r="A2682" s="59"/>
      <c r="B2682"/>
    </row>
    <row r="2683" spans="1:2">
      <c r="A2683" s="59"/>
      <c r="B2683"/>
    </row>
    <row r="2684" spans="1:2">
      <c r="A2684" s="59"/>
      <c r="B2684"/>
    </row>
    <row r="2685" spans="1:2">
      <c r="A2685" s="59"/>
      <c r="B2685"/>
    </row>
    <row r="2686" spans="1:2">
      <c r="A2686" s="59"/>
      <c r="B2686"/>
    </row>
    <row r="2687" spans="1:2">
      <c r="A2687" s="59"/>
      <c r="B2687"/>
    </row>
    <row r="2688" spans="1:2">
      <c r="A2688" s="59"/>
      <c r="B2688"/>
    </row>
    <row r="2689" spans="1:2">
      <c r="A2689" s="59"/>
      <c r="B2689"/>
    </row>
    <row r="2690" spans="1:2">
      <c r="A2690" s="59"/>
      <c r="B2690"/>
    </row>
    <row r="2691" spans="1:2">
      <c r="A2691" s="59"/>
      <c r="B2691"/>
    </row>
    <row r="2692" spans="1:2">
      <c r="A2692" s="59"/>
      <c r="B2692"/>
    </row>
    <row r="2693" spans="1:2">
      <c r="A2693" s="59"/>
      <c r="B2693"/>
    </row>
    <row r="2694" spans="1:2">
      <c r="A2694" s="59"/>
      <c r="B2694"/>
    </row>
    <row r="2695" spans="1:2">
      <c r="A2695" s="59"/>
      <c r="B2695"/>
    </row>
    <row r="2696" spans="1:2">
      <c r="A2696" s="59"/>
      <c r="B2696"/>
    </row>
    <row r="2697" spans="1:2">
      <c r="A2697" s="59"/>
      <c r="B2697"/>
    </row>
    <row r="2698" spans="1:2">
      <c r="A2698" s="59"/>
      <c r="B2698"/>
    </row>
    <row r="2699" spans="1:2">
      <c r="A2699" s="59"/>
      <c r="B2699"/>
    </row>
    <row r="2700" spans="1:2">
      <c r="A2700" s="59"/>
      <c r="B2700"/>
    </row>
    <row r="2701" spans="1:2">
      <c r="A2701" s="59"/>
      <c r="B2701"/>
    </row>
    <row r="2702" spans="1:2">
      <c r="A2702" s="59"/>
      <c r="B2702"/>
    </row>
    <row r="2703" spans="1:2">
      <c r="A2703" s="59"/>
      <c r="B2703"/>
    </row>
    <row r="2704" spans="1:2">
      <c r="A2704" s="59"/>
      <c r="B2704"/>
    </row>
    <row r="2705" spans="1:2">
      <c r="A2705" s="59"/>
      <c r="B2705"/>
    </row>
    <row r="2706" spans="1:2">
      <c r="A2706" s="59"/>
      <c r="B2706"/>
    </row>
    <row r="2707" spans="1:2">
      <c r="A2707" s="59"/>
      <c r="B2707"/>
    </row>
    <row r="2708" spans="1:2">
      <c r="A2708" s="59"/>
      <c r="B2708"/>
    </row>
    <row r="2709" spans="1:2">
      <c r="A2709" s="59"/>
      <c r="B2709"/>
    </row>
    <row r="2710" spans="1:2">
      <c r="A2710" s="59"/>
      <c r="B2710"/>
    </row>
    <row r="2711" spans="1:2">
      <c r="A2711" s="59"/>
      <c r="B2711"/>
    </row>
    <row r="2712" spans="1:2">
      <c r="A2712" s="59"/>
      <c r="B2712"/>
    </row>
    <row r="2713" spans="1:2">
      <c r="A2713" s="59"/>
      <c r="B2713"/>
    </row>
    <row r="2714" spans="1:2">
      <c r="A2714" s="59"/>
      <c r="B2714"/>
    </row>
    <row r="2715" spans="1:2">
      <c r="A2715" s="59"/>
      <c r="B2715"/>
    </row>
    <row r="2716" spans="1:2">
      <c r="A2716" s="59"/>
      <c r="B2716"/>
    </row>
    <row r="2717" spans="1:2">
      <c r="A2717" s="59"/>
      <c r="B2717"/>
    </row>
    <row r="2718" spans="1:2">
      <c r="A2718" s="59"/>
      <c r="B2718"/>
    </row>
    <row r="2719" spans="1:2">
      <c r="A2719" s="59"/>
      <c r="B2719"/>
    </row>
    <row r="2720" spans="1:2">
      <c r="A2720" s="59"/>
      <c r="B2720"/>
    </row>
    <row r="2721" spans="1:2">
      <c r="A2721" s="59"/>
      <c r="B2721"/>
    </row>
    <row r="2722" spans="1:2">
      <c r="A2722" s="59"/>
      <c r="B2722"/>
    </row>
    <row r="2723" spans="1:2">
      <c r="A2723" s="59"/>
      <c r="B2723"/>
    </row>
    <row r="2724" spans="1:2">
      <c r="A2724" s="59"/>
      <c r="B2724"/>
    </row>
    <row r="2725" spans="1:2">
      <c r="A2725" s="59"/>
      <c r="B2725"/>
    </row>
    <row r="2726" spans="1:2">
      <c r="A2726" s="59"/>
      <c r="B2726"/>
    </row>
    <row r="2727" spans="1:2">
      <c r="A2727" s="59"/>
      <c r="B2727"/>
    </row>
    <row r="2728" spans="1:2">
      <c r="A2728" s="59"/>
      <c r="B2728"/>
    </row>
    <row r="2729" spans="1:2">
      <c r="A2729" s="59"/>
      <c r="B2729"/>
    </row>
    <row r="2730" spans="1:2">
      <c r="A2730" s="59"/>
      <c r="B2730"/>
    </row>
    <row r="2731" spans="1:2">
      <c r="A2731" s="59"/>
      <c r="B2731"/>
    </row>
    <row r="2732" spans="1:2">
      <c r="A2732" s="59"/>
      <c r="B2732"/>
    </row>
    <row r="2733" spans="1:2">
      <c r="A2733" s="59"/>
      <c r="B2733"/>
    </row>
    <row r="2734" spans="1:2">
      <c r="A2734" s="59"/>
      <c r="B2734"/>
    </row>
    <row r="2735" spans="1:2">
      <c r="A2735" s="59"/>
      <c r="B2735"/>
    </row>
    <row r="2736" spans="1:2">
      <c r="A2736" s="59"/>
      <c r="B2736"/>
    </row>
    <row r="2737" spans="1:2">
      <c r="A2737" s="59"/>
      <c r="B2737"/>
    </row>
    <row r="2738" spans="1:2">
      <c r="A2738" s="59"/>
      <c r="B2738"/>
    </row>
    <row r="2739" spans="1:2">
      <c r="A2739" s="59"/>
      <c r="B2739"/>
    </row>
    <row r="2740" spans="1:2">
      <c r="A2740" s="59"/>
      <c r="B2740"/>
    </row>
    <row r="2741" spans="1:2">
      <c r="A2741" s="59"/>
      <c r="B2741"/>
    </row>
    <row r="2742" spans="1:2">
      <c r="A2742" s="59"/>
      <c r="B2742"/>
    </row>
    <row r="2743" spans="1:2">
      <c r="A2743" s="59"/>
      <c r="B2743"/>
    </row>
    <row r="2744" spans="1:2">
      <c r="A2744" s="59"/>
      <c r="B2744"/>
    </row>
    <row r="2745" spans="1:2">
      <c r="A2745" s="59"/>
      <c r="B2745"/>
    </row>
    <row r="2746" spans="1:2">
      <c r="A2746" s="59"/>
      <c r="B2746"/>
    </row>
    <row r="2747" spans="1:2">
      <c r="A2747" s="59"/>
      <c r="B2747"/>
    </row>
    <row r="2748" spans="1:2">
      <c r="A2748" s="59"/>
      <c r="B2748"/>
    </row>
    <row r="2749" spans="1:2">
      <c r="A2749" s="59"/>
      <c r="B2749"/>
    </row>
    <row r="2750" spans="1:2">
      <c r="A2750" s="59"/>
      <c r="B2750"/>
    </row>
    <row r="2751" spans="1:2">
      <c r="A2751" s="59"/>
      <c r="B2751"/>
    </row>
    <row r="2752" spans="1:2">
      <c r="A2752" s="59"/>
      <c r="B2752"/>
    </row>
    <row r="2753" spans="1:2">
      <c r="A2753" s="59"/>
      <c r="B2753"/>
    </row>
    <row r="2754" spans="1:2">
      <c r="A2754" s="59"/>
      <c r="B2754"/>
    </row>
    <row r="2755" spans="1:2">
      <c r="A2755" s="59"/>
      <c r="B2755"/>
    </row>
    <row r="2756" spans="1:2">
      <c r="A2756" s="59"/>
      <c r="B2756"/>
    </row>
    <row r="2757" spans="1:2">
      <c r="A2757" s="59"/>
      <c r="B2757"/>
    </row>
    <row r="2758" spans="1:2">
      <c r="A2758" s="59"/>
      <c r="B2758"/>
    </row>
    <row r="2759" spans="1:2">
      <c r="A2759" s="59"/>
      <c r="B2759"/>
    </row>
    <row r="2760" spans="1:2">
      <c r="A2760" s="59"/>
      <c r="B2760"/>
    </row>
    <row r="2761" spans="1:2">
      <c r="A2761" s="59"/>
      <c r="B2761"/>
    </row>
    <row r="2762" spans="1:2">
      <c r="A2762" s="59"/>
      <c r="B2762"/>
    </row>
    <row r="2763" spans="1:2">
      <c r="A2763" s="59"/>
      <c r="B2763"/>
    </row>
    <row r="2764" spans="1:2">
      <c r="A2764" s="59"/>
      <c r="B2764"/>
    </row>
    <row r="2765" spans="1:2">
      <c r="A2765" s="59"/>
      <c r="B2765"/>
    </row>
    <row r="2766" spans="1:2">
      <c r="A2766" s="59"/>
      <c r="B2766"/>
    </row>
    <row r="2767" spans="1:2">
      <c r="A2767" s="59"/>
      <c r="B2767"/>
    </row>
    <row r="2768" spans="1:2">
      <c r="A2768" s="59"/>
      <c r="B2768"/>
    </row>
    <row r="2769" spans="1:2">
      <c r="A2769" s="59"/>
      <c r="B2769"/>
    </row>
    <row r="2770" spans="1:2">
      <c r="A2770" s="59"/>
      <c r="B2770"/>
    </row>
    <row r="2771" spans="1:2">
      <c r="A2771" s="59"/>
      <c r="B2771"/>
    </row>
    <row r="2772" spans="1:2">
      <c r="A2772" s="59"/>
      <c r="B2772"/>
    </row>
    <row r="2773" spans="1:2">
      <c r="A2773" s="59"/>
      <c r="B2773"/>
    </row>
    <row r="2774" spans="1:2">
      <c r="A2774" s="59"/>
      <c r="B2774"/>
    </row>
    <row r="2775" spans="1:2">
      <c r="A2775" s="59"/>
      <c r="B2775"/>
    </row>
    <row r="2776" spans="1:2">
      <c r="A2776" s="59"/>
      <c r="B2776"/>
    </row>
    <row r="2777" spans="1:2">
      <c r="A2777" s="59"/>
      <c r="B2777"/>
    </row>
    <row r="2778" spans="1:2">
      <c r="A2778" s="59"/>
      <c r="B2778"/>
    </row>
    <row r="2779" spans="1:2">
      <c r="A2779" s="59"/>
      <c r="B2779"/>
    </row>
    <row r="2780" spans="1:2">
      <c r="A2780" s="59"/>
      <c r="B2780"/>
    </row>
    <row r="2781" spans="1:2">
      <c r="A2781" s="59"/>
      <c r="B2781"/>
    </row>
    <row r="2782" spans="1:2">
      <c r="A2782" s="59"/>
      <c r="B2782"/>
    </row>
    <row r="2783" spans="1:2">
      <c r="A2783" s="59"/>
      <c r="B2783"/>
    </row>
    <row r="2784" spans="1:2">
      <c r="A2784" s="59"/>
      <c r="B2784"/>
    </row>
    <row r="2785" spans="1:2">
      <c r="A2785" s="59"/>
      <c r="B2785"/>
    </row>
    <row r="2786" spans="1:2">
      <c r="A2786" s="59"/>
      <c r="B2786"/>
    </row>
    <row r="2787" spans="1:2">
      <c r="A2787" s="59"/>
      <c r="B2787"/>
    </row>
    <row r="2788" spans="1:2">
      <c r="A2788" s="59"/>
      <c r="B2788"/>
    </row>
    <row r="2789" spans="1:2">
      <c r="A2789" s="59"/>
      <c r="B2789"/>
    </row>
    <row r="2790" spans="1:2">
      <c r="A2790" s="59"/>
      <c r="B2790"/>
    </row>
    <row r="2791" spans="1:2">
      <c r="A2791" s="59"/>
      <c r="B2791"/>
    </row>
    <row r="2792" spans="1:2">
      <c r="A2792" s="59"/>
      <c r="B2792"/>
    </row>
    <row r="2793" spans="1:2">
      <c r="A2793" s="59"/>
      <c r="B2793"/>
    </row>
    <row r="2794" spans="1:2">
      <c r="A2794" s="59"/>
      <c r="B2794"/>
    </row>
    <row r="2795" spans="1:2">
      <c r="A2795" s="59"/>
      <c r="B2795"/>
    </row>
    <row r="2796" spans="1:2">
      <c r="A2796" s="59"/>
      <c r="B2796"/>
    </row>
    <row r="2797" spans="1:2">
      <c r="A2797" s="59"/>
      <c r="B2797"/>
    </row>
    <row r="2798" spans="1:2">
      <c r="A2798" s="59"/>
      <c r="B2798"/>
    </row>
    <row r="2799" spans="1:2">
      <c r="A2799" s="59"/>
      <c r="B2799"/>
    </row>
    <row r="2800" spans="1:2">
      <c r="A2800" s="59"/>
      <c r="B2800"/>
    </row>
    <row r="2801" spans="1:2">
      <c r="A2801" s="59"/>
      <c r="B2801"/>
    </row>
    <row r="2802" spans="1:2">
      <c r="A2802" s="59"/>
      <c r="B2802"/>
    </row>
    <row r="2803" spans="1:2">
      <c r="A2803" s="59"/>
      <c r="B2803"/>
    </row>
    <row r="2804" spans="1:2">
      <c r="A2804" s="59"/>
      <c r="B2804"/>
    </row>
    <row r="2805" spans="1:2">
      <c r="A2805" s="59"/>
      <c r="B2805"/>
    </row>
    <row r="2806" spans="1:2">
      <c r="A2806" s="59"/>
      <c r="B2806"/>
    </row>
    <row r="2807" spans="1:2">
      <c r="A2807" s="59"/>
      <c r="B2807"/>
    </row>
    <row r="2808" spans="1:2">
      <c r="A2808" s="59"/>
      <c r="B2808"/>
    </row>
    <row r="2809" spans="1:2">
      <c r="A2809" s="59"/>
      <c r="B2809"/>
    </row>
    <row r="2810" spans="1:2">
      <c r="A2810" s="59"/>
      <c r="B2810"/>
    </row>
    <row r="2811" spans="1:2">
      <c r="A2811" s="59"/>
      <c r="B2811"/>
    </row>
    <row r="2812" spans="1:2">
      <c r="A2812" s="59"/>
      <c r="B2812"/>
    </row>
    <row r="2813" spans="1:2">
      <c r="A2813" s="59"/>
      <c r="B2813"/>
    </row>
    <row r="2814" spans="1:2">
      <c r="A2814" s="59"/>
      <c r="B2814"/>
    </row>
    <row r="2815" spans="1:2">
      <c r="A2815" s="59"/>
      <c r="B2815"/>
    </row>
    <row r="2816" spans="1:2">
      <c r="A2816" s="59"/>
      <c r="B2816"/>
    </row>
    <row r="2817" spans="1:2">
      <c r="A2817" s="59"/>
      <c r="B2817"/>
    </row>
    <row r="2818" spans="1:2">
      <c r="A2818" s="59"/>
      <c r="B2818"/>
    </row>
    <row r="2819" spans="1:2">
      <c r="A2819" s="59"/>
      <c r="B2819"/>
    </row>
    <row r="2820" spans="1:2">
      <c r="A2820" s="59"/>
      <c r="B2820"/>
    </row>
    <row r="2821" spans="1:2">
      <c r="A2821" s="59"/>
      <c r="B2821"/>
    </row>
    <row r="2822" spans="1:2">
      <c r="A2822" s="59"/>
      <c r="B2822"/>
    </row>
    <row r="2823" spans="1:2">
      <c r="A2823" s="59"/>
      <c r="B2823"/>
    </row>
    <row r="2824" spans="1:2">
      <c r="A2824" s="59"/>
      <c r="B2824"/>
    </row>
    <row r="2825" spans="1:2">
      <c r="A2825" s="59"/>
      <c r="B2825"/>
    </row>
    <row r="2826" spans="1:2">
      <c r="A2826" s="59"/>
      <c r="B2826"/>
    </row>
    <row r="2827" spans="1:2">
      <c r="A2827" s="59"/>
      <c r="B2827"/>
    </row>
    <row r="2828" spans="1:2">
      <c r="A2828" s="59"/>
      <c r="B2828"/>
    </row>
    <row r="2829" spans="1:2">
      <c r="A2829" s="59"/>
      <c r="B2829"/>
    </row>
    <row r="2830" spans="1:2">
      <c r="A2830" s="59"/>
      <c r="B2830"/>
    </row>
    <row r="2831" spans="1:2">
      <c r="A2831" s="59"/>
      <c r="B2831"/>
    </row>
    <row r="2832" spans="1:2">
      <c r="A2832" s="59"/>
      <c r="B2832"/>
    </row>
    <row r="2833" spans="1:2">
      <c r="A2833" s="59"/>
      <c r="B2833"/>
    </row>
    <row r="2834" spans="1:2">
      <c r="A2834" s="59"/>
      <c r="B2834"/>
    </row>
    <row r="2835" spans="1:2">
      <c r="A2835" s="59"/>
      <c r="B2835"/>
    </row>
    <row r="2836" spans="1:2">
      <c r="A2836" s="59"/>
      <c r="B2836"/>
    </row>
    <row r="2837" spans="1:2">
      <c r="A2837" s="59"/>
      <c r="B2837"/>
    </row>
    <row r="2838" spans="1:2">
      <c r="A2838" s="59"/>
      <c r="B2838"/>
    </row>
    <row r="2839" spans="1:2">
      <c r="A2839" s="59"/>
      <c r="B2839"/>
    </row>
    <row r="2840" spans="1:2">
      <c r="A2840" s="59"/>
      <c r="B2840"/>
    </row>
    <row r="2841" spans="1:2">
      <c r="A2841" s="59"/>
      <c r="B2841"/>
    </row>
    <row r="2842" spans="1:2">
      <c r="A2842" s="59"/>
      <c r="B2842"/>
    </row>
    <row r="2843" spans="1:2">
      <c r="A2843" s="59"/>
      <c r="B2843"/>
    </row>
    <row r="2844" spans="1:2">
      <c r="A2844" s="59"/>
      <c r="B2844"/>
    </row>
    <row r="2845" spans="1:2">
      <c r="A2845" s="59"/>
      <c r="B2845"/>
    </row>
    <row r="2846" spans="1:2">
      <c r="A2846" s="59"/>
      <c r="B2846"/>
    </row>
    <row r="2847" spans="1:2">
      <c r="A2847" s="59"/>
      <c r="B2847"/>
    </row>
    <row r="2848" spans="1:2">
      <c r="A2848" s="59"/>
      <c r="B2848"/>
    </row>
    <row r="2849" spans="1:2">
      <c r="A2849" s="59"/>
      <c r="B2849"/>
    </row>
    <row r="2850" spans="1:2">
      <c r="A2850" s="59"/>
      <c r="B2850"/>
    </row>
    <row r="2851" spans="1:2">
      <c r="A2851" s="59"/>
      <c r="B2851"/>
    </row>
    <row r="2852" spans="1:2">
      <c r="A2852" s="59"/>
      <c r="B2852"/>
    </row>
    <row r="2853" spans="1:2">
      <c r="A2853" s="59"/>
      <c r="B2853"/>
    </row>
    <row r="2854" spans="1:2">
      <c r="A2854" s="59"/>
      <c r="B2854"/>
    </row>
    <row r="2855" spans="1:2">
      <c r="A2855" s="59"/>
      <c r="B2855"/>
    </row>
    <row r="2856" spans="1:2">
      <c r="A2856" s="59"/>
      <c r="B2856"/>
    </row>
    <row r="2857" spans="1:2">
      <c r="A2857" s="59"/>
      <c r="B2857"/>
    </row>
    <row r="2858" spans="1:2">
      <c r="A2858" s="59"/>
      <c r="B2858"/>
    </row>
    <row r="2859" spans="1:2">
      <c r="A2859" s="59"/>
      <c r="B2859"/>
    </row>
    <row r="2860" spans="1:2">
      <c r="A2860" s="59"/>
      <c r="B2860"/>
    </row>
    <row r="2861" spans="1:2">
      <c r="A2861" s="59"/>
      <c r="B2861"/>
    </row>
    <row r="2862" spans="1:2">
      <c r="A2862" s="59"/>
      <c r="B2862"/>
    </row>
    <row r="2863" spans="1:2">
      <c r="A2863" s="59"/>
      <c r="B2863"/>
    </row>
    <row r="2864" spans="1:2">
      <c r="A2864" s="59"/>
      <c r="B2864"/>
    </row>
    <row r="2865" spans="1:2">
      <c r="A2865" s="59"/>
      <c r="B2865"/>
    </row>
    <row r="2866" spans="1:2">
      <c r="A2866" s="59"/>
      <c r="B2866"/>
    </row>
    <row r="2867" spans="1:2">
      <c r="A2867" s="59"/>
      <c r="B2867"/>
    </row>
    <row r="2868" spans="1:2">
      <c r="A2868" s="59"/>
      <c r="B2868"/>
    </row>
    <row r="2869" spans="1:2">
      <c r="A2869" s="59"/>
      <c r="B2869"/>
    </row>
    <row r="2870" spans="1:2">
      <c r="A2870" s="59"/>
      <c r="B2870"/>
    </row>
    <row r="2871" spans="1:2">
      <c r="A2871" s="59"/>
      <c r="B2871"/>
    </row>
    <row r="2872" spans="1:2">
      <c r="A2872" s="59"/>
      <c r="B2872"/>
    </row>
    <row r="2873" spans="1:2">
      <c r="A2873" s="59"/>
      <c r="B2873"/>
    </row>
    <row r="2874" spans="1:2">
      <c r="A2874" s="59"/>
      <c r="B2874"/>
    </row>
    <row r="2875" spans="1:2">
      <c r="A2875" s="59"/>
      <c r="B2875"/>
    </row>
    <row r="2876" spans="1:2">
      <c r="A2876" s="59"/>
      <c r="B2876"/>
    </row>
    <row r="2877" spans="1:2">
      <c r="A2877" s="59"/>
      <c r="B2877"/>
    </row>
    <row r="2878" spans="1:2">
      <c r="A2878" s="59"/>
      <c r="B2878"/>
    </row>
    <row r="2879" spans="1:2">
      <c r="A2879" s="59"/>
      <c r="B2879"/>
    </row>
    <row r="2880" spans="1:2">
      <c r="A2880" s="59"/>
      <c r="B2880"/>
    </row>
    <row r="2881" spans="1:2">
      <c r="A2881" s="59"/>
      <c r="B2881"/>
    </row>
    <row r="2882" spans="1:2">
      <c r="A2882" s="59"/>
      <c r="B2882"/>
    </row>
    <row r="2883" spans="1:2">
      <c r="A2883" s="59"/>
      <c r="B2883"/>
    </row>
    <row r="2884" spans="1:2">
      <c r="A2884" s="59"/>
      <c r="B2884"/>
    </row>
    <row r="2885" spans="1:2">
      <c r="A2885" s="59"/>
      <c r="B2885"/>
    </row>
    <row r="2886" spans="1:2">
      <c r="A2886" s="59"/>
      <c r="B2886"/>
    </row>
    <row r="2887" spans="1:2">
      <c r="A2887" s="59"/>
      <c r="B2887"/>
    </row>
    <row r="2888" spans="1:2">
      <c r="A2888" s="59"/>
      <c r="B2888"/>
    </row>
    <row r="2889" spans="1:2">
      <c r="A2889" s="59"/>
      <c r="B2889"/>
    </row>
    <row r="2890" spans="1:2">
      <c r="A2890" s="59"/>
      <c r="B2890"/>
    </row>
    <row r="2891" spans="1:2">
      <c r="A2891" s="59"/>
      <c r="B2891"/>
    </row>
    <row r="2892" spans="1:2">
      <c r="A2892" s="59"/>
      <c r="B2892"/>
    </row>
    <row r="2893" spans="1:2">
      <c r="A2893" s="59"/>
      <c r="B2893"/>
    </row>
    <row r="2894" spans="1:2">
      <c r="A2894" s="59"/>
      <c r="B2894"/>
    </row>
    <row r="2895" spans="1:2">
      <c r="A2895" s="59"/>
      <c r="B2895"/>
    </row>
    <row r="2896" spans="1:2">
      <c r="A2896" s="59"/>
      <c r="B2896"/>
    </row>
    <row r="2897" spans="1:2">
      <c r="A2897" s="59"/>
      <c r="B2897"/>
    </row>
    <row r="2898" spans="1:2">
      <c r="A2898" s="59"/>
      <c r="B2898"/>
    </row>
    <row r="2899" spans="1:2">
      <c r="A2899" s="59"/>
      <c r="B2899"/>
    </row>
    <row r="2900" spans="1:2">
      <c r="A2900" s="59"/>
      <c r="B2900"/>
    </row>
    <row r="2901" spans="1:2">
      <c r="A2901" s="59"/>
      <c r="B2901"/>
    </row>
    <row r="2902" spans="1:2">
      <c r="A2902" s="59"/>
      <c r="B2902"/>
    </row>
    <row r="2903" spans="1:2">
      <c r="A2903" s="59"/>
      <c r="B2903"/>
    </row>
    <row r="2904" spans="1:2">
      <c r="A2904" s="59"/>
      <c r="B2904"/>
    </row>
    <row r="2905" spans="1:2">
      <c r="A2905" s="59"/>
      <c r="B2905"/>
    </row>
    <row r="2906" spans="1:2">
      <c r="A2906" s="59"/>
      <c r="B2906"/>
    </row>
    <row r="2907" spans="1:2">
      <c r="A2907" s="59"/>
      <c r="B2907"/>
    </row>
    <row r="2908" spans="1:2">
      <c r="A2908" s="59"/>
      <c r="B2908"/>
    </row>
    <row r="2909" spans="1:2">
      <c r="A2909" s="59"/>
      <c r="B2909"/>
    </row>
    <row r="2910" spans="1:2">
      <c r="A2910" s="59"/>
      <c r="B2910"/>
    </row>
    <row r="2911" spans="1:2">
      <c r="A2911" s="59"/>
      <c r="B2911"/>
    </row>
    <row r="2912" spans="1:2">
      <c r="A2912" s="59"/>
      <c r="B2912"/>
    </row>
    <row r="2913" spans="1:2">
      <c r="A2913" s="59"/>
      <c r="B2913"/>
    </row>
    <row r="2914" spans="1:2">
      <c r="A2914" s="59"/>
      <c r="B2914"/>
    </row>
    <row r="2915" spans="1:2">
      <c r="A2915" s="59"/>
      <c r="B2915"/>
    </row>
    <row r="2916" spans="1:2">
      <c r="A2916" s="59"/>
      <c r="B2916"/>
    </row>
    <row r="2917" spans="1:2">
      <c r="A2917" s="59"/>
      <c r="B2917"/>
    </row>
    <row r="2918" spans="1:2">
      <c r="A2918" s="59"/>
      <c r="B2918"/>
    </row>
    <row r="2919" spans="1:2">
      <c r="A2919" s="59"/>
      <c r="B2919"/>
    </row>
    <row r="2920" spans="1:2">
      <c r="A2920" s="59"/>
      <c r="B2920"/>
    </row>
    <row r="2921" spans="1:2">
      <c r="A2921" s="59"/>
      <c r="B2921"/>
    </row>
    <row r="2922" spans="1:2">
      <c r="A2922" s="59"/>
      <c r="B2922"/>
    </row>
    <row r="2923" spans="1:2">
      <c r="A2923" s="59"/>
      <c r="B2923"/>
    </row>
    <row r="2924" spans="1:2">
      <c r="A2924" s="59"/>
      <c r="B2924"/>
    </row>
    <row r="2925" spans="1:2">
      <c r="A2925" s="59"/>
      <c r="B2925"/>
    </row>
    <row r="2926" spans="1:2">
      <c r="A2926" s="59"/>
      <c r="B2926"/>
    </row>
    <row r="2927" spans="1:2">
      <c r="A2927" s="59"/>
      <c r="B2927"/>
    </row>
    <row r="2928" spans="1:2">
      <c r="A2928" s="59"/>
      <c r="B2928"/>
    </row>
    <row r="2929" spans="1:2">
      <c r="A2929" s="59"/>
      <c r="B2929"/>
    </row>
    <row r="2930" spans="1:2">
      <c r="A2930" s="59"/>
      <c r="B2930"/>
    </row>
    <row r="2931" spans="1:2">
      <c r="A2931" s="59"/>
      <c r="B2931"/>
    </row>
    <row r="2932" spans="1:2">
      <c r="A2932" s="59"/>
      <c r="B2932"/>
    </row>
    <row r="2933" spans="1:2">
      <c r="A2933" s="59"/>
      <c r="B2933"/>
    </row>
    <row r="2934" spans="1:2">
      <c r="A2934" s="59"/>
      <c r="B2934"/>
    </row>
    <row r="2935" spans="1:2">
      <c r="A2935" s="59"/>
      <c r="B2935"/>
    </row>
    <row r="2936" spans="1:2">
      <c r="A2936" s="59"/>
      <c r="B2936"/>
    </row>
    <row r="2937" spans="1:2">
      <c r="A2937" s="59"/>
      <c r="B2937"/>
    </row>
    <row r="2938" spans="1:2">
      <c r="A2938" s="59"/>
      <c r="B2938"/>
    </row>
    <row r="2939" spans="1:2">
      <c r="A2939" s="59"/>
      <c r="B2939"/>
    </row>
    <row r="2940" spans="1:2">
      <c r="A2940" s="59"/>
      <c r="B2940"/>
    </row>
    <row r="2941" spans="1:2">
      <c r="A2941" s="59"/>
      <c r="B2941"/>
    </row>
    <row r="2942" spans="1:2">
      <c r="A2942" s="59"/>
      <c r="B2942"/>
    </row>
    <row r="2943" spans="1:2">
      <c r="A2943" s="59"/>
      <c r="B2943"/>
    </row>
    <row r="2944" spans="1:2">
      <c r="A2944" s="59"/>
      <c r="B2944"/>
    </row>
    <row r="2945" spans="1:2">
      <c r="A2945" s="59"/>
      <c r="B2945"/>
    </row>
    <row r="2946" spans="1:2">
      <c r="A2946" s="59"/>
      <c r="B2946"/>
    </row>
    <row r="2947" spans="1:2">
      <c r="A2947" s="59"/>
      <c r="B2947"/>
    </row>
    <row r="2948" spans="1:2">
      <c r="A2948" s="59"/>
      <c r="B2948"/>
    </row>
    <row r="2949" spans="1:2">
      <c r="A2949" s="59"/>
      <c r="B2949"/>
    </row>
    <row r="2950" spans="1:2">
      <c r="A2950" s="59"/>
      <c r="B2950"/>
    </row>
    <row r="2951" spans="1:2">
      <c r="A2951" s="59"/>
      <c r="B2951"/>
    </row>
    <row r="2952" spans="1:2">
      <c r="A2952" s="59"/>
      <c r="B2952"/>
    </row>
    <row r="2953" spans="1:2">
      <c r="A2953" s="59"/>
      <c r="B2953"/>
    </row>
    <row r="2954" spans="1:2">
      <c r="A2954" s="59"/>
      <c r="B2954"/>
    </row>
    <row r="2955" spans="1:2">
      <c r="A2955" s="59"/>
      <c r="B2955"/>
    </row>
    <row r="2956" spans="1:2">
      <c r="A2956" s="59"/>
      <c r="B2956"/>
    </row>
    <row r="2957" spans="1:2">
      <c r="A2957" s="59"/>
      <c r="B2957"/>
    </row>
    <row r="2958" spans="1:2">
      <c r="A2958" s="59"/>
      <c r="B2958"/>
    </row>
    <row r="2959" spans="1:2">
      <c r="A2959" s="59"/>
      <c r="B2959"/>
    </row>
    <row r="2960" spans="1:2">
      <c r="A2960" s="59"/>
      <c r="B2960"/>
    </row>
    <row r="2961" spans="1:2">
      <c r="A2961" s="59"/>
      <c r="B2961"/>
    </row>
    <row r="2962" spans="1:2">
      <c r="A2962" s="59"/>
      <c r="B2962"/>
    </row>
    <row r="2963" spans="1:2">
      <c r="A2963" s="59"/>
      <c r="B2963"/>
    </row>
    <row r="2964" spans="1:2">
      <c r="A2964" s="59"/>
      <c r="B2964"/>
    </row>
    <row r="2965" spans="1:2">
      <c r="A2965" s="59"/>
      <c r="B2965"/>
    </row>
    <row r="2966" spans="1:2">
      <c r="A2966" s="59"/>
      <c r="B2966"/>
    </row>
    <row r="2967" spans="1:2">
      <c r="A2967" s="59"/>
      <c r="B2967"/>
    </row>
    <row r="2968" spans="1:2">
      <c r="A2968" s="59"/>
      <c r="B2968"/>
    </row>
    <row r="2969" spans="1:2">
      <c r="A2969" s="59"/>
      <c r="B2969"/>
    </row>
    <row r="2970" spans="1:2">
      <c r="A2970" s="59"/>
      <c r="B2970"/>
    </row>
    <row r="2971" spans="1:2">
      <c r="A2971" s="59"/>
      <c r="B2971"/>
    </row>
    <row r="2972" spans="1:2">
      <c r="A2972" s="59"/>
      <c r="B2972"/>
    </row>
    <row r="2973" spans="1:2">
      <c r="A2973" s="59"/>
      <c r="B2973"/>
    </row>
    <row r="2974" spans="1:2">
      <c r="A2974" s="59"/>
      <c r="B2974"/>
    </row>
    <row r="2975" spans="1:2">
      <c r="A2975" s="59"/>
      <c r="B2975"/>
    </row>
    <row r="2976" spans="1:2">
      <c r="A2976" s="59"/>
      <c r="B2976"/>
    </row>
    <row r="2977" spans="1:2">
      <c r="A2977" s="59"/>
      <c r="B2977"/>
    </row>
    <row r="2978" spans="1:2">
      <c r="A2978" s="59"/>
      <c r="B2978"/>
    </row>
    <row r="2979" spans="1:2">
      <c r="A2979" s="59"/>
      <c r="B2979"/>
    </row>
    <row r="2980" spans="1:2">
      <c r="A2980" s="59"/>
      <c r="B2980"/>
    </row>
    <row r="2981" spans="1:2">
      <c r="A2981" s="59"/>
      <c r="B2981"/>
    </row>
    <row r="2982" spans="1:2">
      <c r="A2982" s="59"/>
      <c r="B2982"/>
    </row>
    <row r="2983" spans="1:2">
      <c r="A2983" s="59"/>
      <c r="B2983"/>
    </row>
    <row r="2984" spans="1:2">
      <c r="A2984" s="59"/>
      <c r="B2984"/>
    </row>
    <row r="2985" spans="1:2">
      <c r="A2985" s="59"/>
      <c r="B2985"/>
    </row>
    <row r="2986" spans="1:2">
      <c r="A2986" s="59"/>
      <c r="B2986"/>
    </row>
    <row r="2987" spans="1:2">
      <c r="A2987" s="59"/>
      <c r="B2987"/>
    </row>
    <row r="2988" spans="1:2">
      <c r="A2988" s="59"/>
      <c r="B2988"/>
    </row>
    <row r="2989" spans="1:2">
      <c r="A2989" s="59"/>
      <c r="B2989"/>
    </row>
    <row r="2990" spans="1:2">
      <c r="A2990" s="59"/>
      <c r="B2990"/>
    </row>
    <row r="2991" spans="1:2">
      <c r="A2991" s="59"/>
      <c r="B2991"/>
    </row>
    <row r="2992" spans="1:2">
      <c r="A2992" s="59"/>
      <c r="B2992"/>
    </row>
    <row r="2993" spans="1:2">
      <c r="A2993" s="59"/>
      <c r="B2993"/>
    </row>
    <row r="2994" spans="1:2">
      <c r="A2994" s="59"/>
      <c r="B2994"/>
    </row>
    <row r="2995" spans="1:2">
      <c r="A2995" s="59"/>
      <c r="B2995"/>
    </row>
    <row r="2996" spans="1:2">
      <c r="A2996" s="59"/>
      <c r="B2996"/>
    </row>
    <row r="2997" spans="1:2">
      <c r="A2997" s="59"/>
      <c r="B2997"/>
    </row>
    <row r="2998" spans="1:2">
      <c r="A2998" s="59"/>
      <c r="B2998"/>
    </row>
    <row r="2999" spans="1:2">
      <c r="A2999" s="59"/>
      <c r="B2999"/>
    </row>
    <row r="3000" spans="1:2">
      <c r="A3000" s="59"/>
      <c r="B3000"/>
    </row>
    <row r="3001" spans="1:2">
      <c r="A3001" s="59"/>
      <c r="B3001"/>
    </row>
    <row r="3002" spans="1:2">
      <c r="A3002" s="59"/>
      <c r="B3002"/>
    </row>
    <row r="3003" spans="1:2">
      <c r="A3003" s="59"/>
      <c r="B3003"/>
    </row>
    <row r="3004" spans="1:2">
      <c r="A3004" s="59"/>
      <c r="B3004"/>
    </row>
    <row r="3005" spans="1:2">
      <c r="A3005" s="59"/>
      <c r="B3005"/>
    </row>
    <row r="3006" spans="1:2">
      <c r="A3006" s="59"/>
      <c r="B3006"/>
    </row>
    <row r="3007" spans="1:2">
      <c r="A3007" s="59"/>
      <c r="B3007"/>
    </row>
    <row r="3008" spans="1:2">
      <c r="A3008" s="59"/>
      <c r="B3008"/>
    </row>
    <row r="3009" spans="1:2">
      <c r="A3009" s="59"/>
      <c r="B3009"/>
    </row>
    <row r="3010" spans="1:2">
      <c r="A3010" s="59"/>
      <c r="B3010"/>
    </row>
    <row r="3011" spans="1:2">
      <c r="A3011" s="59"/>
      <c r="B3011"/>
    </row>
    <row r="3012" spans="1:2">
      <c r="A3012" s="59"/>
      <c r="B3012"/>
    </row>
    <row r="3013" spans="1:2">
      <c r="A3013" s="59"/>
      <c r="B3013"/>
    </row>
    <row r="3014" spans="1:2">
      <c r="A3014" s="59"/>
      <c r="B3014"/>
    </row>
    <row r="3015" spans="1:2">
      <c r="A3015" s="59"/>
      <c r="B3015"/>
    </row>
    <row r="3016" spans="1:2">
      <c r="A3016" s="59"/>
      <c r="B3016"/>
    </row>
    <row r="3017" spans="1:2">
      <c r="A3017" s="59"/>
      <c r="B3017"/>
    </row>
    <row r="3018" spans="1:2">
      <c r="A3018" s="59"/>
      <c r="B3018"/>
    </row>
    <row r="3019" spans="1:2">
      <c r="A3019" s="59"/>
      <c r="B3019"/>
    </row>
    <row r="3020" spans="1:2">
      <c r="A3020" s="59"/>
      <c r="B3020"/>
    </row>
    <row r="3021" spans="1:2">
      <c r="A3021" s="59"/>
      <c r="B3021"/>
    </row>
    <row r="3022" spans="1:2">
      <c r="A3022" s="59"/>
      <c r="B3022"/>
    </row>
    <row r="3023" spans="1:2">
      <c r="A3023" s="59"/>
      <c r="B3023"/>
    </row>
    <row r="3024" spans="1:2">
      <c r="A3024" s="59"/>
      <c r="B3024"/>
    </row>
    <row r="3025" spans="1:2">
      <c r="A3025" s="59"/>
      <c r="B3025"/>
    </row>
    <row r="3026" spans="1:2">
      <c r="A3026" s="59"/>
      <c r="B3026"/>
    </row>
    <row r="3027" spans="1:2">
      <c r="A3027" s="59"/>
      <c r="B3027"/>
    </row>
    <row r="3028" spans="1:2">
      <c r="A3028" s="59"/>
      <c r="B3028"/>
    </row>
    <row r="3029" spans="1:2">
      <c r="A3029" s="59"/>
      <c r="B3029"/>
    </row>
    <row r="3030" spans="1:2">
      <c r="A3030" s="59"/>
      <c r="B3030"/>
    </row>
    <row r="3031" spans="1:2">
      <c r="A3031" s="59"/>
      <c r="B3031"/>
    </row>
    <row r="3032" spans="1:2">
      <c r="A3032" s="59"/>
      <c r="B3032"/>
    </row>
    <row r="3033" spans="1:2">
      <c r="A3033" s="59"/>
      <c r="B3033"/>
    </row>
    <row r="3034" spans="1:2">
      <c r="A3034" s="59"/>
      <c r="B3034"/>
    </row>
    <row r="3035" spans="1:2">
      <c r="A3035" s="59"/>
      <c r="B3035"/>
    </row>
    <row r="3036" spans="1:2">
      <c r="A3036" s="59"/>
      <c r="B3036"/>
    </row>
    <row r="3037" spans="1:2">
      <c r="A3037" s="59"/>
      <c r="B3037"/>
    </row>
    <row r="3038" spans="1:2">
      <c r="A3038" s="59"/>
      <c r="B3038"/>
    </row>
    <row r="3039" spans="1:2">
      <c r="A3039" s="59"/>
      <c r="B3039"/>
    </row>
    <row r="3040" spans="1:2">
      <c r="A3040" s="59"/>
      <c r="B3040"/>
    </row>
    <row r="3041" spans="1:2">
      <c r="A3041" s="59"/>
      <c r="B3041"/>
    </row>
    <row r="3042" spans="1:2">
      <c r="A3042" s="59"/>
      <c r="B3042"/>
    </row>
    <row r="3043" spans="1:2">
      <c r="A3043" s="59"/>
      <c r="B3043"/>
    </row>
    <row r="3044" spans="1:2">
      <c r="A3044" s="59"/>
      <c r="B3044"/>
    </row>
    <row r="3045" spans="1:2">
      <c r="A3045" s="59"/>
      <c r="B3045"/>
    </row>
    <row r="3046" spans="1:2">
      <c r="A3046" s="59"/>
      <c r="B3046"/>
    </row>
    <row r="3047" spans="1:2">
      <c r="A3047" s="59"/>
      <c r="B3047"/>
    </row>
    <row r="3048" spans="1:2">
      <c r="A3048" s="59"/>
      <c r="B3048"/>
    </row>
    <row r="3049" spans="1:2">
      <c r="A3049" s="59"/>
      <c r="B3049"/>
    </row>
    <row r="3050" spans="1:2">
      <c r="A3050" s="59"/>
      <c r="B3050"/>
    </row>
    <row r="3051" spans="1:2">
      <c r="A3051" s="59"/>
      <c r="B3051"/>
    </row>
    <row r="3052" spans="1:2">
      <c r="A3052" s="59"/>
      <c r="B3052"/>
    </row>
    <row r="3053" spans="1:2">
      <c r="A3053" s="59"/>
      <c r="B3053"/>
    </row>
    <row r="3054" spans="1:2">
      <c r="A3054" s="59"/>
      <c r="B3054"/>
    </row>
    <row r="3055" spans="1:2">
      <c r="A3055" s="59"/>
      <c r="B3055"/>
    </row>
    <row r="3056" spans="1:2">
      <c r="A3056" s="59"/>
      <c r="B3056"/>
    </row>
    <row r="3057" spans="1:2">
      <c r="A3057" s="59"/>
      <c r="B3057"/>
    </row>
    <row r="3058" spans="1:2">
      <c r="A3058" s="59"/>
      <c r="B3058"/>
    </row>
    <row r="3059" spans="1:2">
      <c r="A3059" s="59"/>
      <c r="B3059"/>
    </row>
    <row r="3060" spans="1:2">
      <c r="A3060" s="59"/>
      <c r="B3060"/>
    </row>
    <row r="3061" spans="1:2">
      <c r="A3061" s="59"/>
      <c r="B3061"/>
    </row>
    <row r="3062" spans="1:2">
      <c r="A3062" s="59"/>
      <c r="B3062"/>
    </row>
    <row r="3063" spans="1:2">
      <c r="A3063" s="59"/>
      <c r="B3063"/>
    </row>
    <row r="3064" spans="1:2">
      <c r="A3064" s="59"/>
      <c r="B3064"/>
    </row>
    <row r="3065" spans="1:2">
      <c r="A3065" s="59"/>
      <c r="B3065"/>
    </row>
    <row r="3066" spans="1:2">
      <c r="A3066" s="59"/>
      <c r="B3066"/>
    </row>
    <row r="3067" spans="1:2">
      <c r="A3067" s="59"/>
      <c r="B3067"/>
    </row>
    <row r="3068" spans="1:2">
      <c r="A3068" s="59"/>
      <c r="B3068"/>
    </row>
    <row r="3069" spans="1:2">
      <c r="A3069" s="59"/>
      <c r="B3069"/>
    </row>
    <row r="3070" spans="1:2">
      <c r="A3070" s="59"/>
      <c r="B3070"/>
    </row>
    <row r="3071" spans="1:2">
      <c r="A3071" s="59"/>
      <c r="B3071"/>
    </row>
    <row r="3072" spans="1:2">
      <c r="A3072" s="59"/>
      <c r="B3072"/>
    </row>
    <row r="3073" spans="1:2">
      <c r="A3073" s="59"/>
      <c r="B3073"/>
    </row>
    <row r="3074" spans="1:2">
      <c r="A3074" s="59"/>
      <c r="B3074"/>
    </row>
    <row r="3075" spans="1:2">
      <c r="A3075" s="59"/>
      <c r="B3075"/>
    </row>
    <row r="3076" spans="1:2">
      <c r="A3076" s="59"/>
      <c r="B3076"/>
    </row>
    <row r="3077" spans="1:2">
      <c r="A3077" s="59"/>
      <c r="B3077"/>
    </row>
    <row r="3078" spans="1:2">
      <c r="A3078" s="59"/>
      <c r="B3078"/>
    </row>
    <row r="3079" spans="1:2">
      <c r="A3079" s="59"/>
      <c r="B3079"/>
    </row>
    <row r="3080" spans="1:2">
      <c r="A3080" s="59"/>
      <c r="B3080"/>
    </row>
    <row r="3081" spans="1:2">
      <c r="A3081" s="59"/>
      <c r="B3081"/>
    </row>
    <row r="3082" spans="1:2">
      <c r="A3082" s="59"/>
      <c r="B3082"/>
    </row>
    <row r="3083" spans="1:2">
      <c r="A3083" s="59"/>
      <c r="B3083"/>
    </row>
    <row r="3084" spans="1:2">
      <c r="A3084" s="59"/>
      <c r="B3084"/>
    </row>
    <row r="3085" spans="1:2">
      <c r="A3085" s="59"/>
      <c r="B3085"/>
    </row>
    <row r="3086" spans="1:2">
      <c r="A3086" s="59"/>
      <c r="B3086"/>
    </row>
    <row r="3087" spans="1:2">
      <c r="A3087" s="59"/>
      <c r="B3087"/>
    </row>
    <row r="3088" spans="1:2">
      <c r="A3088" s="59"/>
      <c r="B3088"/>
    </row>
    <row r="3089" spans="1:2">
      <c r="A3089" s="59"/>
      <c r="B3089"/>
    </row>
    <row r="3090" spans="1:2">
      <c r="A3090" s="59"/>
      <c r="B3090"/>
    </row>
    <row r="3091" spans="1:2">
      <c r="A3091" s="59"/>
      <c r="B3091"/>
    </row>
    <row r="3092" spans="1:2">
      <c r="A3092" s="59"/>
      <c r="B3092"/>
    </row>
    <row r="3093" spans="1:2">
      <c r="A3093" s="59"/>
      <c r="B3093"/>
    </row>
    <row r="3094" spans="1:2">
      <c r="A3094" s="59"/>
      <c r="B3094"/>
    </row>
    <row r="3095" spans="1:2">
      <c r="A3095" s="59"/>
      <c r="B3095"/>
    </row>
    <row r="3096" spans="1:2">
      <c r="A3096" s="59"/>
      <c r="B3096"/>
    </row>
    <row r="3097" spans="1:2">
      <c r="A3097" s="59"/>
      <c r="B3097"/>
    </row>
    <row r="3098" spans="1:2">
      <c r="A3098" s="59"/>
      <c r="B3098"/>
    </row>
    <row r="3099" spans="1:2">
      <c r="A3099" s="59"/>
      <c r="B3099"/>
    </row>
    <row r="3100" spans="1:2">
      <c r="A3100" s="59"/>
      <c r="B3100"/>
    </row>
    <row r="3101" spans="1:2">
      <c r="A3101" s="59"/>
      <c r="B3101"/>
    </row>
    <row r="3102" spans="1:2">
      <c r="A3102" s="59"/>
      <c r="B3102"/>
    </row>
    <row r="3103" spans="1:2">
      <c r="A3103" s="59"/>
      <c r="B3103"/>
    </row>
    <row r="3104" spans="1:2">
      <c r="A3104" s="59"/>
      <c r="B3104"/>
    </row>
    <row r="3105" spans="1:2">
      <c r="A3105" s="59"/>
      <c r="B3105"/>
    </row>
    <row r="3106" spans="1:2">
      <c r="A3106" s="59"/>
      <c r="B3106"/>
    </row>
    <row r="3107" spans="1:2">
      <c r="A3107" s="59"/>
      <c r="B3107"/>
    </row>
    <row r="3108" spans="1:2">
      <c r="A3108" s="59"/>
      <c r="B3108"/>
    </row>
    <row r="3109" spans="1:2">
      <c r="A3109" s="59"/>
      <c r="B3109"/>
    </row>
    <row r="3110" spans="1:2">
      <c r="A3110" s="59"/>
      <c r="B3110"/>
    </row>
    <row r="3111" spans="1:2">
      <c r="A3111" s="59"/>
      <c r="B3111"/>
    </row>
    <row r="3112" spans="1:2">
      <c r="A3112" s="59"/>
      <c r="B3112"/>
    </row>
    <row r="3113" spans="1:2">
      <c r="A3113" s="59"/>
      <c r="B3113"/>
    </row>
    <row r="3114" spans="1:2">
      <c r="A3114" s="59"/>
      <c r="B3114"/>
    </row>
    <row r="3115" spans="1:2">
      <c r="A3115" s="59"/>
      <c r="B3115"/>
    </row>
    <row r="3116" spans="1:2">
      <c r="A3116" s="59"/>
      <c r="B3116"/>
    </row>
    <row r="3117" spans="1:2">
      <c r="A3117" s="59"/>
      <c r="B3117"/>
    </row>
    <row r="3118" spans="1:2">
      <c r="A3118" s="59"/>
      <c r="B3118"/>
    </row>
    <row r="3119" spans="1:2">
      <c r="A3119" s="59"/>
      <c r="B3119"/>
    </row>
    <row r="3120" spans="1:2">
      <c r="A3120" s="59"/>
      <c r="B3120"/>
    </row>
    <row r="3121" spans="1:2">
      <c r="A3121" s="59"/>
      <c r="B3121"/>
    </row>
    <row r="3122" spans="1:2">
      <c r="A3122" s="59"/>
      <c r="B3122"/>
    </row>
    <row r="3123" spans="1:2">
      <c r="A3123" s="59"/>
      <c r="B3123"/>
    </row>
    <row r="3124" spans="1:2">
      <c r="A3124" s="59"/>
      <c r="B3124"/>
    </row>
    <row r="3125" spans="1:2">
      <c r="A3125" s="59"/>
      <c r="B3125"/>
    </row>
    <row r="3126" spans="1:2">
      <c r="A3126" s="59"/>
      <c r="B3126"/>
    </row>
    <row r="3127" spans="1:2">
      <c r="A3127" s="59"/>
      <c r="B3127"/>
    </row>
    <row r="3128" spans="1:2">
      <c r="A3128" s="59"/>
      <c r="B3128"/>
    </row>
    <row r="3129" spans="1:2">
      <c r="A3129" s="59"/>
      <c r="B3129"/>
    </row>
    <row r="3130" spans="1:2">
      <c r="A3130" s="59"/>
      <c r="B3130"/>
    </row>
    <row r="3131" spans="1:2">
      <c r="A3131" s="59"/>
      <c r="B3131"/>
    </row>
    <row r="3132" spans="1:2">
      <c r="A3132" s="59"/>
      <c r="B3132"/>
    </row>
    <row r="3133" spans="1:2">
      <c r="A3133" s="59"/>
      <c r="B3133"/>
    </row>
    <row r="3134" spans="1:2">
      <c r="A3134" s="59"/>
      <c r="B3134"/>
    </row>
    <row r="3135" spans="1:2">
      <c r="A3135" s="59"/>
      <c r="B3135"/>
    </row>
    <row r="3136" spans="1:2">
      <c r="A3136" s="59"/>
      <c r="B3136"/>
    </row>
    <row r="3137" spans="1:2">
      <c r="A3137" s="59"/>
      <c r="B3137"/>
    </row>
    <row r="3138" spans="1:2">
      <c r="A3138" s="59"/>
      <c r="B3138"/>
    </row>
    <row r="3139" spans="1:2">
      <c r="A3139" s="59"/>
      <c r="B3139"/>
    </row>
    <row r="3140" spans="1:2">
      <c r="A3140" s="59"/>
      <c r="B3140"/>
    </row>
    <row r="3141" spans="1:2">
      <c r="A3141" s="59"/>
      <c r="B3141"/>
    </row>
    <row r="3142" spans="1:2">
      <c r="A3142" s="59"/>
      <c r="B3142"/>
    </row>
    <row r="3143" spans="1:2">
      <c r="A3143" s="59"/>
      <c r="B3143"/>
    </row>
    <row r="3144" spans="1:2">
      <c r="A3144" s="59"/>
      <c r="B3144"/>
    </row>
    <row r="3145" spans="1:2">
      <c r="A3145" s="59"/>
      <c r="B3145"/>
    </row>
    <row r="3146" spans="1:2">
      <c r="A3146" s="59"/>
      <c r="B3146"/>
    </row>
    <row r="3147" spans="1:2">
      <c r="A3147" s="59"/>
      <c r="B3147"/>
    </row>
    <row r="3148" spans="1:2">
      <c r="A3148" s="59"/>
      <c r="B3148"/>
    </row>
    <row r="3149" spans="1:2">
      <c r="A3149" s="59"/>
      <c r="B3149"/>
    </row>
    <row r="3150" spans="1:2">
      <c r="A3150" s="59"/>
      <c r="B3150"/>
    </row>
    <row r="3151" spans="1:2">
      <c r="A3151" s="59"/>
      <c r="B3151"/>
    </row>
    <row r="3152" spans="1:2">
      <c r="A3152" s="59"/>
      <c r="B3152"/>
    </row>
    <row r="3153" spans="1:2">
      <c r="A3153" s="59"/>
      <c r="B3153"/>
    </row>
    <row r="3154" spans="1:2">
      <c r="A3154" s="59"/>
      <c r="B3154"/>
    </row>
    <row r="3155" spans="1:2">
      <c r="A3155" s="59"/>
      <c r="B3155"/>
    </row>
    <row r="3156" spans="1:2">
      <c r="A3156" s="59"/>
      <c r="B3156"/>
    </row>
    <row r="3157" spans="1:2">
      <c r="A3157" s="59"/>
      <c r="B3157"/>
    </row>
    <row r="3158" spans="1:2">
      <c r="A3158" s="59"/>
      <c r="B3158"/>
    </row>
    <row r="3159" spans="1:2">
      <c r="A3159" s="59"/>
      <c r="B3159"/>
    </row>
    <row r="3160" spans="1:2">
      <c r="A3160" s="59"/>
      <c r="B3160"/>
    </row>
    <row r="3161" spans="1:2">
      <c r="A3161" s="59"/>
      <c r="B3161"/>
    </row>
    <row r="3162" spans="1:2">
      <c r="A3162" s="59"/>
      <c r="B3162"/>
    </row>
    <row r="3163" spans="1:2">
      <c r="A3163" s="59"/>
      <c r="B3163"/>
    </row>
    <row r="3164" spans="1:2">
      <c r="A3164" s="59"/>
      <c r="B3164"/>
    </row>
    <row r="3165" spans="1:2">
      <c r="A3165" s="59"/>
      <c r="B3165"/>
    </row>
    <row r="3166" spans="1:2">
      <c r="A3166" s="59"/>
      <c r="B3166"/>
    </row>
    <row r="3167" spans="1:2">
      <c r="A3167" s="59"/>
      <c r="B3167"/>
    </row>
    <row r="3168" spans="1:2">
      <c r="A3168" s="59"/>
      <c r="B3168"/>
    </row>
    <row r="3169" spans="1:2">
      <c r="A3169" s="59"/>
      <c r="B3169"/>
    </row>
    <row r="3170" spans="1:2">
      <c r="A3170" s="59"/>
      <c r="B3170"/>
    </row>
    <row r="3171" spans="1:2">
      <c r="A3171" s="59"/>
      <c r="B3171"/>
    </row>
    <row r="3172" spans="1:2">
      <c r="A3172" s="59"/>
      <c r="B3172"/>
    </row>
    <row r="3173" spans="1:2">
      <c r="A3173" s="59"/>
      <c r="B3173"/>
    </row>
    <row r="3174" spans="1:2">
      <c r="A3174" s="59"/>
      <c r="B3174"/>
    </row>
    <row r="3175" spans="1:2">
      <c r="A3175" s="59"/>
      <c r="B3175"/>
    </row>
    <row r="3176" spans="1:2">
      <c r="A3176" s="59"/>
      <c r="B3176"/>
    </row>
    <row r="3177" spans="1:2">
      <c r="A3177" s="59"/>
      <c r="B3177"/>
    </row>
    <row r="3178" spans="1:2">
      <c r="A3178" s="59"/>
      <c r="B3178"/>
    </row>
    <row r="3179" spans="1:2">
      <c r="A3179" s="59"/>
      <c r="B3179"/>
    </row>
    <row r="3180" spans="1:2">
      <c r="A3180" s="59"/>
      <c r="B3180"/>
    </row>
    <row r="3181" spans="1:2">
      <c r="A3181" s="59"/>
      <c r="B3181"/>
    </row>
    <row r="3182" spans="1:2">
      <c r="A3182" s="59"/>
      <c r="B3182"/>
    </row>
    <row r="3183" spans="1:2">
      <c r="A3183" s="59"/>
      <c r="B3183"/>
    </row>
    <row r="3184" spans="1:2">
      <c r="A3184" s="59"/>
      <c r="B3184"/>
    </row>
    <row r="3185" spans="1:2">
      <c r="A3185" s="59"/>
      <c r="B3185"/>
    </row>
    <row r="3186" spans="1:2">
      <c r="A3186" s="59"/>
      <c r="B3186"/>
    </row>
    <row r="3187" spans="1:2">
      <c r="A3187" s="59"/>
      <c r="B3187"/>
    </row>
    <row r="3188" spans="1:2">
      <c r="A3188" s="59"/>
      <c r="B3188"/>
    </row>
    <row r="3189" spans="1:2">
      <c r="A3189" s="59"/>
      <c r="B3189"/>
    </row>
    <row r="3190" spans="1:2">
      <c r="A3190" s="59"/>
      <c r="B3190"/>
    </row>
    <row r="3191" spans="1:2">
      <c r="A3191" s="59"/>
      <c r="B3191"/>
    </row>
    <row r="3192" spans="1:2">
      <c r="A3192" s="59"/>
      <c r="B3192"/>
    </row>
    <row r="3193" spans="1:2">
      <c r="A3193" s="59"/>
      <c r="B3193"/>
    </row>
    <row r="3194" spans="1:2">
      <c r="A3194" s="59"/>
      <c r="B3194"/>
    </row>
    <row r="3195" spans="1:2">
      <c r="A3195" s="59"/>
      <c r="B3195"/>
    </row>
    <row r="3196" spans="1:2">
      <c r="A3196" s="59"/>
      <c r="B3196"/>
    </row>
    <row r="3197" spans="1:2">
      <c r="A3197" s="59"/>
      <c r="B3197"/>
    </row>
    <row r="3198" spans="1:2">
      <c r="A3198" s="59"/>
      <c r="B3198"/>
    </row>
    <row r="3199" spans="1:2">
      <c r="A3199" s="59"/>
      <c r="B3199"/>
    </row>
    <row r="3200" spans="1:2">
      <c r="A3200" s="59"/>
      <c r="B3200"/>
    </row>
    <row r="3201" spans="1:2">
      <c r="A3201" s="59"/>
      <c r="B3201"/>
    </row>
    <row r="3202" spans="1:2">
      <c r="A3202" s="59"/>
      <c r="B3202"/>
    </row>
    <row r="3203" spans="1:2">
      <c r="A3203" s="59"/>
      <c r="B3203"/>
    </row>
    <row r="3204" spans="1:2">
      <c r="A3204" s="59"/>
      <c r="B3204"/>
    </row>
    <row r="3205" spans="1:2">
      <c r="A3205" s="59"/>
      <c r="B3205"/>
    </row>
    <row r="3206" spans="1:2">
      <c r="A3206" s="59"/>
      <c r="B3206"/>
    </row>
    <row r="3207" spans="1:2">
      <c r="A3207" s="59"/>
      <c r="B3207"/>
    </row>
    <row r="3208" spans="1:2">
      <c r="A3208" s="59"/>
      <c r="B3208"/>
    </row>
    <row r="3209" spans="1:2">
      <c r="A3209" s="59"/>
      <c r="B3209"/>
    </row>
    <row r="3210" spans="1:2">
      <c r="A3210" s="59"/>
      <c r="B3210"/>
    </row>
    <row r="3211" spans="1:2">
      <c r="A3211" s="59"/>
      <c r="B3211"/>
    </row>
    <row r="3212" spans="1:2">
      <c r="A3212" s="59"/>
      <c r="B3212"/>
    </row>
    <row r="3213" spans="1:2">
      <c r="A3213" s="59"/>
      <c r="B3213"/>
    </row>
    <row r="3214" spans="1:2">
      <c r="A3214" s="59"/>
      <c r="B3214"/>
    </row>
    <row r="3215" spans="1:2">
      <c r="A3215" s="59"/>
      <c r="B3215"/>
    </row>
    <row r="3216" spans="1:2">
      <c r="A3216" s="59"/>
      <c r="B3216"/>
    </row>
    <row r="3217" spans="1:2">
      <c r="A3217" s="59"/>
      <c r="B3217"/>
    </row>
    <row r="3218" spans="1:2">
      <c r="A3218" s="59"/>
      <c r="B3218"/>
    </row>
    <row r="3219" spans="1:2">
      <c r="A3219" s="59"/>
      <c r="B3219"/>
    </row>
    <row r="3220" spans="1:2">
      <c r="A3220" s="59"/>
      <c r="B3220"/>
    </row>
    <row r="3221" spans="1:2">
      <c r="A3221" s="59"/>
      <c r="B3221"/>
    </row>
    <row r="3222" spans="1:2">
      <c r="A3222" s="59"/>
      <c r="B3222"/>
    </row>
    <row r="3223" spans="1:2">
      <c r="A3223" s="59"/>
      <c r="B3223"/>
    </row>
    <row r="3224" spans="1:2">
      <c r="A3224" s="59"/>
      <c r="B3224"/>
    </row>
    <row r="3225" spans="1:2">
      <c r="A3225" s="59"/>
      <c r="B3225"/>
    </row>
    <row r="3226" spans="1:2">
      <c r="A3226" s="59"/>
      <c r="B3226"/>
    </row>
    <row r="3227" spans="1:2">
      <c r="A3227" s="59"/>
      <c r="B3227"/>
    </row>
    <row r="3228" spans="1:2">
      <c r="A3228" s="59"/>
      <c r="B3228"/>
    </row>
    <row r="3229" spans="1:2">
      <c r="A3229" s="59"/>
      <c r="B3229"/>
    </row>
    <row r="3230" spans="1:2">
      <c r="A3230" s="59"/>
      <c r="B3230"/>
    </row>
    <row r="3231" spans="1:2">
      <c r="A3231" s="59"/>
      <c r="B3231"/>
    </row>
    <row r="3232" spans="1:2">
      <c r="A3232" s="59"/>
      <c r="B3232"/>
    </row>
    <row r="3233" spans="1:2">
      <c r="A3233" s="59"/>
      <c r="B3233"/>
    </row>
    <row r="3234" spans="1:2">
      <c r="A3234" s="59"/>
      <c r="B3234"/>
    </row>
    <row r="3235" spans="1:2">
      <c r="A3235" s="59"/>
      <c r="B3235"/>
    </row>
    <row r="3236" spans="1:2">
      <c r="A3236" s="59"/>
      <c r="B3236"/>
    </row>
    <row r="3237" spans="1:2">
      <c r="A3237" s="59"/>
      <c r="B3237"/>
    </row>
    <row r="3238" spans="1:2">
      <c r="A3238" s="59"/>
      <c r="B3238"/>
    </row>
    <row r="3239" spans="1:2">
      <c r="A3239" s="59"/>
      <c r="B3239"/>
    </row>
    <row r="3240" spans="1:2">
      <c r="A3240" s="59"/>
      <c r="B3240"/>
    </row>
    <row r="3241" spans="1:2">
      <c r="A3241" s="59"/>
      <c r="B3241"/>
    </row>
    <row r="3242" spans="1:2">
      <c r="A3242" s="59"/>
      <c r="B3242"/>
    </row>
    <row r="3243" spans="1:2">
      <c r="A3243" s="59"/>
      <c r="B3243"/>
    </row>
    <row r="3244" spans="1:2">
      <c r="A3244" s="59"/>
      <c r="B3244"/>
    </row>
    <row r="3245" spans="1:2">
      <c r="A3245" s="59"/>
      <c r="B3245"/>
    </row>
    <row r="3246" spans="1:2">
      <c r="A3246" s="59"/>
      <c r="B3246"/>
    </row>
    <row r="3247" spans="1:2">
      <c r="A3247" s="59"/>
      <c r="B3247"/>
    </row>
    <row r="3248" spans="1:2">
      <c r="A3248" s="59"/>
      <c r="B3248"/>
    </row>
    <row r="3249" spans="1:2">
      <c r="A3249" s="59"/>
      <c r="B3249"/>
    </row>
    <row r="3250" spans="1:2">
      <c r="A3250" s="59"/>
      <c r="B3250"/>
    </row>
    <row r="3251" spans="1:2">
      <c r="A3251" s="59"/>
      <c r="B3251"/>
    </row>
    <row r="3252" spans="1:2">
      <c r="A3252" s="59"/>
      <c r="B3252"/>
    </row>
    <row r="3253" spans="1:2">
      <c r="A3253" s="59"/>
      <c r="B3253"/>
    </row>
    <row r="3254" spans="1:2">
      <c r="A3254" s="59"/>
      <c r="B3254"/>
    </row>
    <row r="3255" spans="1:2">
      <c r="A3255" s="59"/>
      <c r="B3255"/>
    </row>
    <row r="3256" spans="1:2">
      <c r="A3256" s="59"/>
      <c r="B3256"/>
    </row>
    <row r="3257" spans="1:2">
      <c r="A3257" s="59"/>
      <c r="B3257"/>
    </row>
    <row r="3258" spans="1:2">
      <c r="A3258" s="59"/>
      <c r="B3258"/>
    </row>
    <row r="3259" spans="1:2">
      <c r="A3259" s="59"/>
      <c r="B3259"/>
    </row>
    <row r="3260" spans="1:2">
      <c r="A3260" s="59"/>
      <c r="B3260"/>
    </row>
    <row r="3261" spans="1:2">
      <c r="A3261" s="59"/>
      <c r="B3261"/>
    </row>
    <row r="3262" spans="1:2">
      <c r="A3262" s="59"/>
      <c r="B3262"/>
    </row>
    <row r="3263" spans="1:2">
      <c r="A3263" s="59"/>
      <c r="B3263"/>
    </row>
    <row r="3264" spans="1:2">
      <c r="A3264" s="59"/>
      <c r="B3264"/>
    </row>
    <row r="3265" spans="1:2">
      <c r="A3265" s="59"/>
      <c r="B3265"/>
    </row>
    <row r="3266" spans="1:2">
      <c r="A3266" s="59"/>
      <c r="B3266"/>
    </row>
    <row r="3267" spans="1:2">
      <c r="A3267" s="59"/>
      <c r="B3267"/>
    </row>
    <row r="3268" spans="1:2">
      <c r="A3268" s="59"/>
      <c r="B3268"/>
    </row>
    <row r="3269" spans="1:2">
      <c r="A3269" s="59"/>
      <c r="B3269"/>
    </row>
    <row r="3270" spans="1:2">
      <c r="A3270" s="59"/>
      <c r="B3270"/>
    </row>
    <row r="3271" spans="1:2">
      <c r="A3271" s="59"/>
      <c r="B3271"/>
    </row>
    <row r="3272" spans="1:2">
      <c r="A3272" s="59"/>
      <c r="B3272"/>
    </row>
    <row r="3273" spans="1:2">
      <c r="A3273" s="59"/>
      <c r="B3273"/>
    </row>
    <row r="3274" spans="1:2">
      <c r="A3274" s="59"/>
      <c r="B3274"/>
    </row>
    <row r="3275" spans="1:2">
      <c r="A3275" s="59"/>
      <c r="B3275"/>
    </row>
    <row r="3276" spans="1:2">
      <c r="A3276" s="59"/>
      <c r="B3276"/>
    </row>
    <row r="3277" spans="1:2">
      <c r="A3277" s="59"/>
      <c r="B3277"/>
    </row>
    <row r="3278" spans="1:2">
      <c r="A3278" s="59"/>
      <c r="B3278"/>
    </row>
    <row r="3279" spans="1:2">
      <c r="A3279" s="59"/>
      <c r="B3279"/>
    </row>
    <row r="3280" spans="1:2">
      <c r="A3280" s="59"/>
      <c r="B3280"/>
    </row>
    <row r="3281" spans="1:2">
      <c r="A3281" s="59"/>
      <c r="B3281"/>
    </row>
    <row r="3282" spans="1:2">
      <c r="A3282" s="59"/>
      <c r="B3282"/>
    </row>
    <row r="3283" spans="1:2">
      <c r="A3283" s="59"/>
      <c r="B3283"/>
    </row>
    <row r="3284" spans="1:2">
      <c r="A3284" s="59"/>
      <c r="B3284"/>
    </row>
    <row r="3285" spans="1:2">
      <c r="A3285" s="59"/>
      <c r="B3285"/>
    </row>
    <row r="3286" spans="1:2">
      <c r="A3286" s="59"/>
      <c r="B3286"/>
    </row>
    <row r="3287" spans="1:2">
      <c r="A3287" s="59"/>
      <c r="B3287"/>
    </row>
    <row r="3288" spans="1:2">
      <c r="A3288" s="59"/>
      <c r="B3288"/>
    </row>
    <row r="3289" spans="1:2">
      <c r="A3289" s="59"/>
      <c r="B3289"/>
    </row>
    <row r="3290" spans="1:2">
      <c r="A3290" s="59"/>
      <c r="B3290"/>
    </row>
    <row r="3291" spans="1:2">
      <c r="A3291" s="59"/>
      <c r="B3291"/>
    </row>
    <row r="3292" spans="1:2">
      <c r="A3292" s="59"/>
      <c r="B3292"/>
    </row>
    <row r="3293" spans="1:2">
      <c r="A3293" s="59"/>
      <c r="B3293"/>
    </row>
    <row r="3294" spans="1:2">
      <c r="A3294" s="59"/>
      <c r="B3294"/>
    </row>
    <row r="3295" spans="1:2">
      <c r="A3295" s="59"/>
      <c r="B3295"/>
    </row>
    <row r="3296" spans="1:2">
      <c r="A3296" s="59"/>
      <c r="B3296"/>
    </row>
    <row r="3297" spans="1:2">
      <c r="A3297" s="59"/>
      <c r="B3297"/>
    </row>
    <row r="3298" spans="1:2">
      <c r="A3298" s="59"/>
      <c r="B3298"/>
    </row>
    <row r="3299" spans="1:2">
      <c r="A3299" s="59"/>
      <c r="B3299"/>
    </row>
    <row r="3300" spans="1:2">
      <c r="A3300" s="59"/>
      <c r="B3300"/>
    </row>
    <row r="3301" spans="1:2">
      <c r="A3301" s="59"/>
      <c r="B3301"/>
    </row>
    <row r="3302" spans="1:2">
      <c r="A3302" s="59"/>
      <c r="B3302"/>
    </row>
    <row r="3303" spans="1:2">
      <c r="A3303" s="59"/>
      <c r="B3303"/>
    </row>
    <row r="3304" spans="1:2">
      <c r="A3304" s="59"/>
      <c r="B3304"/>
    </row>
    <row r="3305" spans="1:2">
      <c r="A3305" s="59"/>
      <c r="B3305"/>
    </row>
    <row r="3306" spans="1:2">
      <c r="A3306" s="59"/>
      <c r="B3306"/>
    </row>
    <row r="3307" spans="1:2">
      <c r="A3307" s="59"/>
      <c r="B3307"/>
    </row>
    <row r="3308" spans="1:2">
      <c r="A3308" s="59"/>
      <c r="B3308"/>
    </row>
    <row r="3309" spans="1:2">
      <c r="A3309" s="59"/>
      <c r="B3309"/>
    </row>
    <row r="3310" spans="1:2">
      <c r="A3310" s="59"/>
      <c r="B3310"/>
    </row>
    <row r="3311" spans="1:2">
      <c r="A3311" s="59"/>
      <c r="B3311"/>
    </row>
    <row r="3312" spans="1:2">
      <c r="A3312" s="59"/>
      <c r="B3312"/>
    </row>
    <row r="3313" spans="1:2">
      <c r="A3313" s="59"/>
      <c r="B3313"/>
    </row>
    <row r="3314" spans="1:2">
      <c r="A3314" s="59"/>
      <c r="B3314"/>
    </row>
    <row r="3315" spans="1:2">
      <c r="A3315" s="59"/>
      <c r="B3315"/>
    </row>
    <row r="3316" spans="1:2">
      <c r="A3316" s="59"/>
      <c r="B3316"/>
    </row>
    <row r="3317" spans="1:2">
      <c r="A3317" s="59"/>
      <c r="B3317"/>
    </row>
    <row r="3318" spans="1:2">
      <c r="A3318" s="59"/>
      <c r="B3318"/>
    </row>
    <row r="3319" spans="1:2">
      <c r="A3319" s="59"/>
      <c r="B3319"/>
    </row>
    <row r="3320" spans="1:2">
      <c r="A3320" s="59"/>
      <c r="B3320"/>
    </row>
    <row r="3321" spans="1:2">
      <c r="A3321" s="59"/>
      <c r="B3321"/>
    </row>
    <row r="3322" spans="1:2">
      <c r="A3322" s="59"/>
      <c r="B3322"/>
    </row>
    <row r="3323" spans="1:2">
      <c r="A3323" s="59"/>
      <c r="B3323"/>
    </row>
    <row r="3324" spans="1:2">
      <c r="A3324" s="59"/>
      <c r="B3324"/>
    </row>
    <row r="3325" spans="1:2">
      <c r="A3325" s="59"/>
      <c r="B3325"/>
    </row>
    <row r="3326" spans="1:2">
      <c r="A3326" s="59"/>
      <c r="B3326"/>
    </row>
    <row r="3327" spans="1:2">
      <c r="A3327" s="59"/>
      <c r="B3327"/>
    </row>
    <row r="3328" spans="1:2">
      <c r="A3328" s="59"/>
      <c r="B3328"/>
    </row>
    <row r="3329" spans="1:2">
      <c r="A3329" s="59"/>
      <c r="B3329"/>
    </row>
    <row r="3330" spans="1:2">
      <c r="A3330" s="59"/>
      <c r="B3330"/>
    </row>
    <row r="3331" spans="1:2">
      <c r="A3331" s="59"/>
      <c r="B3331"/>
    </row>
    <row r="3332" spans="1:2">
      <c r="A3332" s="59"/>
      <c r="B3332"/>
    </row>
    <row r="3333" spans="1:2">
      <c r="A3333" s="59"/>
      <c r="B3333"/>
    </row>
    <row r="3334" spans="1:2">
      <c r="A3334" s="59"/>
      <c r="B3334"/>
    </row>
    <row r="3335" spans="1:2">
      <c r="A3335" s="59"/>
      <c r="B3335"/>
    </row>
    <row r="3336" spans="1:2">
      <c r="A3336" s="59"/>
      <c r="B3336"/>
    </row>
    <row r="3337" spans="1:2">
      <c r="A3337" s="59"/>
      <c r="B3337"/>
    </row>
    <row r="3338" spans="1:2">
      <c r="A3338" s="59"/>
      <c r="B3338"/>
    </row>
    <row r="3339" spans="1:2">
      <c r="A3339" s="59"/>
      <c r="B3339"/>
    </row>
    <row r="3340" spans="1:2">
      <c r="A3340" s="59"/>
      <c r="B3340"/>
    </row>
    <row r="3341" spans="1:2">
      <c r="A3341" s="59"/>
      <c r="B3341"/>
    </row>
    <row r="3342" spans="1:2">
      <c r="A3342" s="59"/>
      <c r="B3342"/>
    </row>
    <row r="3343" spans="1:2">
      <c r="A3343" s="59"/>
      <c r="B3343"/>
    </row>
    <row r="3344" spans="1:2">
      <c r="A3344" s="59"/>
      <c r="B3344"/>
    </row>
    <row r="3345" spans="1:2">
      <c r="A3345" s="59"/>
      <c r="B3345"/>
    </row>
    <row r="3346" spans="1:2">
      <c r="A3346" s="59"/>
      <c r="B3346"/>
    </row>
    <row r="3347" spans="1:2">
      <c r="A3347" s="59"/>
      <c r="B3347"/>
    </row>
    <row r="3348" spans="1:2">
      <c r="A3348" s="59"/>
      <c r="B3348"/>
    </row>
    <row r="3349" spans="1:2">
      <c r="A3349" s="59"/>
      <c r="B3349"/>
    </row>
    <row r="3350" spans="1:2">
      <c r="A3350" s="59"/>
      <c r="B3350"/>
    </row>
    <row r="3351" spans="1:2">
      <c r="A3351" s="59"/>
      <c r="B3351"/>
    </row>
    <row r="3352" spans="1:2">
      <c r="A3352" s="59"/>
      <c r="B3352"/>
    </row>
    <row r="3353" spans="1:2">
      <c r="A3353" s="59"/>
      <c r="B3353"/>
    </row>
    <row r="3354" spans="1:2">
      <c r="A3354" s="59"/>
      <c r="B3354"/>
    </row>
    <row r="3355" spans="1:2">
      <c r="A3355" s="59"/>
      <c r="B3355"/>
    </row>
    <row r="3356" spans="1:2">
      <c r="A3356" s="59"/>
      <c r="B3356"/>
    </row>
    <row r="3357" spans="1:2">
      <c r="A3357" s="59"/>
      <c r="B3357"/>
    </row>
    <row r="3358" spans="1:2">
      <c r="A3358" s="59"/>
      <c r="B3358"/>
    </row>
    <row r="3359" spans="1:2">
      <c r="A3359" s="59"/>
      <c r="B3359"/>
    </row>
    <row r="3360" spans="1:2">
      <c r="A3360" s="59"/>
      <c r="B3360"/>
    </row>
    <row r="3361" spans="1:2">
      <c r="A3361" s="59"/>
      <c r="B3361"/>
    </row>
    <row r="3362" spans="1:2">
      <c r="A3362" s="59"/>
      <c r="B3362"/>
    </row>
    <row r="3363" spans="1:2">
      <c r="A3363" s="59"/>
      <c r="B3363"/>
    </row>
    <row r="3364" spans="1:2">
      <c r="A3364" s="59"/>
      <c r="B3364"/>
    </row>
    <row r="3365" spans="1:2">
      <c r="A3365" s="59"/>
      <c r="B3365"/>
    </row>
    <row r="3366" spans="1:2">
      <c r="A3366" s="59"/>
      <c r="B3366"/>
    </row>
    <row r="3367" spans="1:2">
      <c r="A3367" s="59"/>
      <c r="B3367"/>
    </row>
    <row r="3368" spans="1:2">
      <c r="A3368" s="59"/>
      <c r="B3368"/>
    </row>
    <row r="3369" spans="1:2">
      <c r="A3369" s="59"/>
      <c r="B3369"/>
    </row>
    <row r="3370" spans="1:2">
      <c r="A3370" s="59"/>
      <c r="B3370"/>
    </row>
    <row r="3371" spans="1:2">
      <c r="A3371" s="59"/>
      <c r="B3371"/>
    </row>
    <row r="3372" spans="1:2">
      <c r="A3372" s="59"/>
      <c r="B3372"/>
    </row>
    <row r="3373" spans="1:2">
      <c r="A3373" s="59"/>
      <c r="B3373"/>
    </row>
    <row r="3374" spans="1:2">
      <c r="A3374" s="59"/>
      <c r="B3374"/>
    </row>
    <row r="3375" spans="1:2">
      <c r="A3375" s="59"/>
      <c r="B3375"/>
    </row>
    <row r="3376" spans="1:2">
      <c r="A3376" s="59"/>
      <c r="B3376"/>
    </row>
    <row r="3377" spans="1:2">
      <c r="A3377" s="59"/>
      <c r="B3377"/>
    </row>
    <row r="3378" spans="1:2">
      <c r="A3378" s="59"/>
      <c r="B3378"/>
    </row>
    <row r="3379" spans="1:2">
      <c r="A3379" s="59"/>
      <c r="B3379"/>
    </row>
    <row r="3380" spans="1:2">
      <c r="A3380" s="59"/>
      <c r="B3380"/>
    </row>
    <row r="3381" spans="1:2">
      <c r="A3381" s="59"/>
      <c r="B3381"/>
    </row>
    <row r="3382" spans="1:2">
      <c r="A3382" s="59"/>
      <c r="B3382"/>
    </row>
    <row r="3383" spans="1:2">
      <c r="A3383" s="59"/>
      <c r="B3383"/>
    </row>
    <row r="3384" spans="1:2">
      <c r="A3384" s="59"/>
      <c r="B3384"/>
    </row>
    <row r="3385" spans="1:2">
      <c r="A3385" s="59"/>
      <c r="B3385"/>
    </row>
    <row r="3386" spans="1:2">
      <c r="A3386" s="59"/>
      <c r="B3386"/>
    </row>
    <row r="3387" spans="1:2">
      <c r="A3387" s="59"/>
      <c r="B3387"/>
    </row>
    <row r="3388" spans="1:2">
      <c r="A3388" s="59"/>
      <c r="B3388"/>
    </row>
    <row r="3389" spans="1:2">
      <c r="A3389" s="59"/>
      <c r="B3389"/>
    </row>
    <row r="3390" spans="1:2">
      <c r="A3390" s="59"/>
      <c r="B3390"/>
    </row>
    <row r="3391" spans="1:2">
      <c r="A3391" s="59"/>
      <c r="B3391"/>
    </row>
    <row r="3392" spans="1:2">
      <c r="A3392" s="59"/>
      <c r="B3392"/>
    </row>
    <row r="3393" spans="1:2">
      <c r="A3393" s="59"/>
      <c r="B3393"/>
    </row>
    <row r="3394" spans="1:2">
      <c r="A3394" s="59"/>
      <c r="B3394"/>
    </row>
    <row r="3395" spans="1:2">
      <c r="A3395" s="59"/>
      <c r="B3395"/>
    </row>
    <row r="3396" spans="1:2">
      <c r="A3396" s="59"/>
      <c r="B3396"/>
    </row>
    <row r="3397" spans="1:2">
      <c r="A3397" s="59"/>
      <c r="B3397"/>
    </row>
    <row r="3398" spans="1:2">
      <c r="A3398" s="59"/>
      <c r="B3398"/>
    </row>
    <row r="3399" spans="1:2">
      <c r="A3399" s="59"/>
      <c r="B3399"/>
    </row>
    <row r="3400" spans="1:2">
      <c r="A3400" s="59"/>
      <c r="B3400"/>
    </row>
    <row r="3401" spans="1:2">
      <c r="A3401" s="59"/>
      <c r="B3401"/>
    </row>
    <row r="3402" spans="1:2">
      <c r="A3402" s="59"/>
      <c r="B3402"/>
    </row>
    <row r="3403" spans="1:2">
      <c r="A3403" s="59"/>
      <c r="B3403"/>
    </row>
    <row r="3404" spans="1:2">
      <c r="A3404" s="59"/>
      <c r="B3404"/>
    </row>
    <row r="3405" spans="1:2">
      <c r="A3405" s="59"/>
      <c r="B3405"/>
    </row>
    <row r="3406" spans="1:2">
      <c r="A3406" s="59"/>
      <c r="B3406"/>
    </row>
    <row r="3407" spans="1:2">
      <c r="A3407" s="59"/>
      <c r="B3407"/>
    </row>
    <row r="3408" spans="1:2">
      <c r="A3408" s="59"/>
      <c r="B3408"/>
    </row>
    <row r="3409" spans="1:2">
      <c r="A3409" s="59"/>
      <c r="B3409"/>
    </row>
    <row r="3410" spans="1:2">
      <c r="A3410" s="59"/>
      <c r="B3410"/>
    </row>
    <row r="3411" spans="1:2">
      <c r="A3411" s="59"/>
      <c r="B3411"/>
    </row>
    <row r="3412" spans="1:2">
      <c r="A3412" s="59"/>
      <c r="B3412"/>
    </row>
    <row r="3413" spans="1:2">
      <c r="A3413" s="59"/>
      <c r="B3413"/>
    </row>
    <row r="3414" spans="1:2">
      <c r="A3414" s="59"/>
      <c r="B3414"/>
    </row>
    <row r="3415" spans="1:2">
      <c r="A3415" s="59"/>
      <c r="B3415"/>
    </row>
    <row r="3416" spans="1:2">
      <c r="A3416" s="59"/>
      <c r="B3416"/>
    </row>
    <row r="3417" spans="1:2">
      <c r="A3417" s="59"/>
      <c r="B3417"/>
    </row>
    <row r="3418" spans="1:2">
      <c r="A3418" s="59"/>
      <c r="B3418"/>
    </row>
    <row r="3419" spans="1:2">
      <c r="A3419" s="59"/>
      <c r="B3419"/>
    </row>
    <row r="3420" spans="1:2">
      <c r="A3420" s="59"/>
      <c r="B3420"/>
    </row>
    <row r="3421" spans="1:2">
      <c r="A3421" s="59"/>
      <c r="B3421"/>
    </row>
    <row r="3422" spans="1:2">
      <c r="A3422" s="59"/>
      <c r="B3422"/>
    </row>
    <row r="3423" spans="1:2">
      <c r="A3423" s="59"/>
      <c r="B3423"/>
    </row>
    <row r="3424" spans="1:2">
      <c r="A3424" s="59"/>
      <c r="B3424"/>
    </row>
    <row r="3425" spans="1:2">
      <c r="A3425" s="59"/>
      <c r="B3425"/>
    </row>
    <row r="3426" spans="1:2">
      <c r="A3426" s="59"/>
      <c r="B3426"/>
    </row>
    <row r="3427" spans="1:2">
      <c r="A3427" s="59"/>
      <c r="B3427"/>
    </row>
    <row r="3428" spans="1:2">
      <c r="A3428" s="59"/>
      <c r="B3428"/>
    </row>
    <row r="3429" spans="1:2">
      <c r="A3429" s="59"/>
      <c r="B3429"/>
    </row>
    <row r="3430" spans="1:2">
      <c r="A3430" s="59"/>
      <c r="B3430"/>
    </row>
    <row r="3431" spans="1:2">
      <c r="A3431" s="59"/>
      <c r="B3431"/>
    </row>
    <row r="3432" spans="1:2">
      <c r="A3432" s="59"/>
      <c r="B3432"/>
    </row>
    <row r="3433" spans="1:2">
      <c r="A3433" s="59"/>
      <c r="B3433"/>
    </row>
    <row r="3434" spans="1:2">
      <c r="A3434" s="59"/>
      <c r="B3434"/>
    </row>
    <row r="3435" spans="1:2">
      <c r="A3435" s="59"/>
      <c r="B3435"/>
    </row>
    <row r="3436" spans="1:2">
      <c r="A3436" s="59"/>
      <c r="B3436"/>
    </row>
    <row r="3437" spans="1:2">
      <c r="A3437" s="59"/>
      <c r="B3437"/>
    </row>
    <row r="3438" spans="1:2">
      <c r="A3438" s="59"/>
      <c r="B3438"/>
    </row>
    <row r="3439" spans="1:2">
      <c r="A3439" s="59"/>
      <c r="B3439"/>
    </row>
    <row r="3440" spans="1:2">
      <c r="A3440" s="59"/>
      <c r="B3440"/>
    </row>
    <row r="3441" spans="1:2">
      <c r="A3441" s="59"/>
      <c r="B3441"/>
    </row>
    <row r="3442" spans="1:2">
      <c r="A3442" s="59"/>
      <c r="B3442"/>
    </row>
    <row r="3443" spans="1:2">
      <c r="A3443" s="59"/>
      <c r="B3443"/>
    </row>
    <row r="3444" spans="1:2">
      <c r="A3444" s="59"/>
      <c r="B3444"/>
    </row>
    <row r="3445" spans="1:2">
      <c r="A3445" s="59"/>
      <c r="B3445"/>
    </row>
    <row r="3446" spans="1:2">
      <c r="A3446" s="59"/>
      <c r="B3446"/>
    </row>
    <row r="3447" spans="1:2">
      <c r="A3447" s="59"/>
      <c r="B3447"/>
    </row>
    <row r="3448" spans="1:2">
      <c r="A3448" s="59"/>
      <c r="B3448"/>
    </row>
    <row r="3449" spans="1:2">
      <c r="A3449" s="59"/>
      <c r="B3449"/>
    </row>
    <row r="3450" spans="1:2">
      <c r="A3450" s="59"/>
      <c r="B3450"/>
    </row>
    <row r="3451" spans="1:2">
      <c r="A3451" s="59"/>
      <c r="B3451"/>
    </row>
    <row r="3452" spans="1:2">
      <c r="A3452" s="59"/>
      <c r="B3452"/>
    </row>
    <row r="3453" spans="1:2">
      <c r="A3453" s="59"/>
      <c r="B3453"/>
    </row>
    <row r="3454" spans="1:2">
      <c r="A3454" s="59"/>
      <c r="B3454"/>
    </row>
    <row r="3455" spans="1:2">
      <c r="A3455" s="59"/>
      <c r="B3455"/>
    </row>
    <row r="3456" spans="1:2">
      <c r="A3456" s="59"/>
      <c r="B3456"/>
    </row>
    <row r="3457" spans="1:2">
      <c r="A3457" s="59"/>
      <c r="B3457"/>
    </row>
    <row r="3458" spans="1:2">
      <c r="A3458" s="59"/>
      <c r="B3458"/>
    </row>
    <row r="3459" spans="1:2">
      <c r="A3459" s="59"/>
      <c r="B3459"/>
    </row>
    <row r="3460" spans="1:2">
      <c r="A3460" s="59"/>
      <c r="B3460"/>
    </row>
    <row r="3461" spans="1:2">
      <c r="A3461" s="59"/>
      <c r="B3461"/>
    </row>
    <row r="3462" spans="1:2">
      <c r="A3462" s="59"/>
      <c r="B3462"/>
    </row>
    <row r="3463" spans="1:2">
      <c r="A3463" s="59"/>
      <c r="B3463"/>
    </row>
    <row r="3464" spans="1:2">
      <c r="A3464" s="59"/>
      <c r="B3464"/>
    </row>
    <row r="3465" spans="1:2">
      <c r="A3465" s="59"/>
      <c r="B3465"/>
    </row>
    <row r="3466" spans="1:2">
      <c r="A3466" s="59"/>
      <c r="B3466"/>
    </row>
    <row r="3467" spans="1:2">
      <c r="A3467" s="59"/>
      <c r="B3467"/>
    </row>
    <row r="3468" spans="1:2">
      <c r="A3468" s="59"/>
      <c r="B3468"/>
    </row>
    <row r="3469" spans="1:2">
      <c r="A3469" s="59"/>
      <c r="B3469"/>
    </row>
    <row r="3470" spans="1:2">
      <c r="A3470" s="59"/>
      <c r="B3470"/>
    </row>
    <row r="3471" spans="1:2">
      <c r="A3471" s="59"/>
      <c r="B3471"/>
    </row>
    <row r="3472" spans="1:2">
      <c r="A3472" s="59"/>
      <c r="B3472"/>
    </row>
    <row r="3473" spans="1:2">
      <c r="A3473" s="59"/>
      <c r="B3473"/>
    </row>
    <row r="3474" spans="1:2">
      <c r="A3474" s="59"/>
      <c r="B3474"/>
    </row>
    <row r="3475" spans="1:2">
      <c r="A3475" s="59"/>
      <c r="B3475"/>
    </row>
    <row r="3476" spans="1:2">
      <c r="A3476" s="59"/>
      <c r="B3476"/>
    </row>
    <row r="3477" spans="1:2">
      <c r="A3477" s="59"/>
      <c r="B3477"/>
    </row>
    <row r="3478" spans="1:2">
      <c r="A3478" s="59"/>
      <c r="B3478"/>
    </row>
    <row r="3479" spans="1:2">
      <c r="A3479" s="59"/>
      <c r="B3479"/>
    </row>
    <row r="3480" spans="1:2">
      <c r="A3480" s="59"/>
      <c r="B3480"/>
    </row>
    <row r="3481" spans="1:2">
      <c r="A3481" s="59"/>
      <c r="B3481"/>
    </row>
    <row r="3482" spans="1:2">
      <c r="A3482" s="59"/>
      <c r="B3482"/>
    </row>
    <row r="3483" spans="1:2">
      <c r="A3483" s="59"/>
      <c r="B3483"/>
    </row>
    <row r="3484" spans="1:2">
      <c r="A3484" s="59"/>
      <c r="B3484"/>
    </row>
    <row r="3485" spans="1:2">
      <c r="A3485" s="59"/>
      <c r="B3485"/>
    </row>
    <row r="3486" spans="1:2">
      <c r="A3486" s="59"/>
      <c r="B3486"/>
    </row>
    <row r="3487" spans="1:2">
      <c r="A3487" s="59"/>
      <c r="B3487"/>
    </row>
    <row r="3488" spans="1:2">
      <c r="A3488" s="59"/>
      <c r="B3488"/>
    </row>
    <row r="3489" spans="1:2">
      <c r="A3489" s="59"/>
      <c r="B3489"/>
    </row>
    <row r="3490" spans="1:2">
      <c r="A3490" s="59"/>
      <c r="B3490"/>
    </row>
    <row r="3491" spans="1:2">
      <c r="A3491" s="59"/>
      <c r="B3491"/>
    </row>
    <row r="3492" spans="1:2">
      <c r="A3492" s="59"/>
      <c r="B3492"/>
    </row>
    <row r="3493" spans="1:2">
      <c r="A3493" s="59"/>
      <c r="B3493"/>
    </row>
    <row r="3494" spans="1:2">
      <c r="A3494" s="59"/>
      <c r="B3494"/>
    </row>
    <row r="3495" spans="1:2">
      <c r="A3495" s="59"/>
      <c r="B3495"/>
    </row>
    <row r="3496" spans="1:2">
      <c r="A3496" s="59"/>
      <c r="B3496"/>
    </row>
    <row r="3497" spans="1:2">
      <c r="A3497" s="59"/>
      <c r="B3497"/>
    </row>
    <row r="3498" spans="1:2">
      <c r="A3498" s="59"/>
      <c r="B3498"/>
    </row>
    <row r="3499" spans="1:2">
      <c r="A3499" s="59"/>
      <c r="B3499"/>
    </row>
    <row r="3500" spans="1:2">
      <c r="A3500" s="59"/>
      <c r="B3500"/>
    </row>
    <row r="3501" spans="1:2">
      <c r="A3501" s="59"/>
      <c r="B3501"/>
    </row>
    <row r="3502" spans="1:2">
      <c r="A3502" s="59"/>
      <c r="B3502"/>
    </row>
    <row r="3503" spans="1:2">
      <c r="A3503" s="59"/>
      <c r="B3503"/>
    </row>
    <row r="3504" spans="1:2">
      <c r="A3504" s="59"/>
      <c r="B3504"/>
    </row>
    <row r="3505" spans="1:2">
      <c r="A3505" s="59"/>
      <c r="B3505"/>
    </row>
    <row r="3506" spans="1:2">
      <c r="A3506" s="59"/>
      <c r="B3506"/>
    </row>
    <row r="3507" spans="1:2">
      <c r="A3507" s="59"/>
      <c r="B3507"/>
    </row>
    <row r="3508" spans="1:2">
      <c r="A3508" s="59"/>
      <c r="B3508"/>
    </row>
    <row r="3509" spans="1:2">
      <c r="A3509" s="59"/>
      <c r="B3509"/>
    </row>
    <row r="3510" spans="1:2">
      <c r="A3510" s="59"/>
      <c r="B3510"/>
    </row>
    <row r="3511" spans="1:2">
      <c r="A3511" s="59"/>
      <c r="B3511"/>
    </row>
    <row r="3512" spans="1:2">
      <c r="A3512" s="59"/>
      <c r="B3512"/>
    </row>
    <row r="3513" spans="1:2">
      <c r="A3513" s="59"/>
      <c r="B3513"/>
    </row>
    <row r="3514" spans="1:2">
      <c r="A3514" s="59"/>
      <c r="B3514"/>
    </row>
    <row r="3515" spans="1:2">
      <c r="A3515" s="59"/>
      <c r="B3515"/>
    </row>
    <row r="3516" spans="1:2">
      <c r="A3516" s="59"/>
      <c r="B3516"/>
    </row>
    <row r="3517" spans="1:2">
      <c r="A3517" s="59"/>
      <c r="B3517"/>
    </row>
    <row r="3518" spans="1:2">
      <c r="A3518" s="59"/>
      <c r="B3518"/>
    </row>
    <row r="3519" spans="1:2">
      <c r="A3519" s="59"/>
      <c r="B3519"/>
    </row>
    <row r="3520" spans="1:2">
      <c r="A3520" s="59"/>
      <c r="B3520"/>
    </row>
    <row r="3521" spans="1:2">
      <c r="A3521" s="59"/>
      <c r="B3521"/>
    </row>
    <row r="3522" spans="1:2">
      <c r="A3522" s="59"/>
      <c r="B3522"/>
    </row>
    <row r="3523" spans="1:2">
      <c r="A3523" s="59"/>
      <c r="B3523"/>
    </row>
    <row r="3524" spans="1:2">
      <c r="A3524" s="59"/>
      <c r="B3524"/>
    </row>
    <row r="3525" spans="1:2">
      <c r="A3525" s="59"/>
      <c r="B3525"/>
    </row>
    <row r="3526" spans="1:2">
      <c r="A3526" s="59"/>
      <c r="B3526"/>
    </row>
    <row r="3527" spans="1:2">
      <c r="A3527" s="59"/>
      <c r="B3527"/>
    </row>
    <row r="3528" spans="1:2">
      <c r="A3528" s="59"/>
      <c r="B3528"/>
    </row>
    <row r="3529" spans="1:2">
      <c r="A3529" s="59"/>
      <c r="B3529"/>
    </row>
    <row r="3530" spans="1:2">
      <c r="A3530" s="59"/>
      <c r="B3530"/>
    </row>
    <row r="3531" spans="1:2">
      <c r="A3531" s="59"/>
      <c r="B3531"/>
    </row>
    <row r="3532" spans="1:2">
      <c r="A3532" s="59"/>
      <c r="B3532"/>
    </row>
    <row r="3533" spans="1:2">
      <c r="A3533" s="59"/>
      <c r="B3533"/>
    </row>
    <row r="3534" spans="1:2">
      <c r="A3534" s="59"/>
      <c r="B3534"/>
    </row>
    <row r="3535" spans="1:2">
      <c r="A3535" s="59"/>
      <c r="B3535"/>
    </row>
    <row r="3536" spans="1:2">
      <c r="A3536" s="59"/>
      <c r="B3536"/>
    </row>
    <row r="3537" spans="1:2">
      <c r="A3537" s="59"/>
      <c r="B3537"/>
    </row>
    <row r="3538" spans="1:2">
      <c r="A3538" s="59"/>
      <c r="B3538"/>
    </row>
    <row r="3539" spans="1:2">
      <c r="A3539" s="59"/>
      <c r="B3539"/>
    </row>
    <row r="3540" spans="1:2">
      <c r="A3540" s="59"/>
      <c r="B3540"/>
    </row>
    <row r="3541" spans="1:2">
      <c r="A3541" s="59"/>
      <c r="B3541"/>
    </row>
    <row r="3542" spans="1:2">
      <c r="A3542" s="59"/>
      <c r="B3542"/>
    </row>
    <row r="3543" spans="1:2">
      <c r="A3543" s="59"/>
      <c r="B3543"/>
    </row>
    <row r="3544" spans="1:2">
      <c r="A3544" s="59"/>
      <c r="B3544"/>
    </row>
    <row r="3545" spans="1:2">
      <c r="A3545" s="59"/>
      <c r="B3545"/>
    </row>
    <row r="3546" spans="1:2">
      <c r="A3546" s="59"/>
      <c r="B3546"/>
    </row>
    <row r="3547" spans="1:2">
      <c r="A3547" s="59"/>
      <c r="B3547"/>
    </row>
    <row r="3548" spans="1:2">
      <c r="A3548" s="59"/>
      <c r="B3548"/>
    </row>
    <row r="3549" spans="1:2">
      <c r="A3549" s="59"/>
      <c r="B3549"/>
    </row>
    <row r="3550" spans="1:2">
      <c r="A3550" s="59"/>
      <c r="B3550"/>
    </row>
    <row r="3551" spans="1:2">
      <c r="A3551" s="59"/>
      <c r="B3551"/>
    </row>
    <row r="3552" spans="1:2">
      <c r="A3552" s="59"/>
      <c r="B3552"/>
    </row>
    <row r="3553" spans="1:2">
      <c r="A3553" s="59"/>
      <c r="B3553"/>
    </row>
    <row r="3554" spans="1:2">
      <c r="A3554" s="59"/>
      <c r="B3554"/>
    </row>
    <row r="3555" spans="1:2">
      <c r="A3555" s="59"/>
      <c r="B3555"/>
    </row>
    <row r="3556" spans="1:2">
      <c r="A3556" s="59"/>
      <c r="B3556"/>
    </row>
    <row r="3557" spans="1:2">
      <c r="A3557" s="59"/>
      <c r="B3557"/>
    </row>
    <row r="3558" spans="1:2">
      <c r="A3558" s="59"/>
      <c r="B3558"/>
    </row>
    <row r="3559" spans="1:2">
      <c r="A3559" s="59"/>
      <c r="B3559"/>
    </row>
    <row r="3560" spans="1:2">
      <c r="A3560" s="59"/>
      <c r="B3560"/>
    </row>
    <row r="3561" spans="1:2">
      <c r="A3561" s="59"/>
      <c r="B3561"/>
    </row>
    <row r="3562" spans="1:2">
      <c r="A3562" s="59"/>
      <c r="B3562"/>
    </row>
    <row r="3563" spans="1:2">
      <c r="A3563" s="59"/>
      <c r="B3563"/>
    </row>
    <row r="3564" spans="1:2">
      <c r="A3564" s="59"/>
      <c r="B3564"/>
    </row>
    <row r="3565" spans="1:2">
      <c r="A3565" s="59"/>
      <c r="B3565"/>
    </row>
    <row r="3566" spans="1:2">
      <c r="A3566" s="59"/>
      <c r="B3566"/>
    </row>
    <row r="3567" spans="1:2">
      <c r="A3567" s="59"/>
      <c r="B3567"/>
    </row>
    <row r="3568" spans="1:2">
      <c r="A3568" s="59"/>
      <c r="B3568"/>
    </row>
    <row r="3569" spans="1:2">
      <c r="A3569" s="59"/>
      <c r="B3569"/>
    </row>
    <row r="3570" spans="1:2">
      <c r="A3570" s="59"/>
      <c r="B3570"/>
    </row>
    <row r="3571" spans="1:2">
      <c r="A3571" s="59"/>
      <c r="B3571"/>
    </row>
    <row r="3572" spans="1:2">
      <c r="A3572" s="59"/>
      <c r="B3572"/>
    </row>
    <row r="3573" spans="1:2">
      <c r="A3573" s="59"/>
      <c r="B3573"/>
    </row>
    <row r="3574" spans="1:2">
      <c r="A3574" s="59"/>
      <c r="B3574"/>
    </row>
    <row r="3575" spans="1:2">
      <c r="A3575" s="59"/>
      <c r="B3575"/>
    </row>
    <row r="3576" spans="1:2">
      <c r="A3576" s="59"/>
      <c r="B3576"/>
    </row>
    <row r="3577" spans="1:2">
      <c r="A3577" s="59"/>
      <c r="B3577"/>
    </row>
    <row r="3578" spans="1:2">
      <c r="A3578" s="59"/>
      <c r="B3578"/>
    </row>
    <row r="3579" spans="1:2">
      <c r="A3579" s="59"/>
      <c r="B3579"/>
    </row>
    <row r="3580" spans="1:2">
      <c r="A3580" s="59"/>
      <c r="B3580"/>
    </row>
    <row r="3581" spans="1:2">
      <c r="A3581" s="59"/>
      <c r="B3581"/>
    </row>
    <row r="3582" spans="1:2">
      <c r="A3582" s="59"/>
      <c r="B3582"/>
    </row>
    <row r="3583" spans="1:2">
      <c r="A3583" s="59"/>
      <c r="B3583"/>
    </row>
    <row r="3584" spans="1:2">
      <c r="A3584" s="59"/>
      <c r="B3584"/>
    </row>
    <row r="3585" spans="1:2">
      <c r="A3585" s="59"/>
      <c r="B3585"/>
    </row>
    <row r="3586" spans="1:2">
      <c r="A3586" s="59"/>
      <c r="B3586"/>
    </row>
    <row r="3587" spans="1:2">
      <c r="A3587" s="59"/>
      <c r="B3587"/>
    </row>
    <row r="3588" spans="1:2">
      <c r="A3588" s="59"/>
      <c r="B3588"/>
    </row>
    <row r="3589" spans="1:2">
      <c r="A3589" s="59"/>
      <c r="B3589"/>
    </row>
    <row r="3590" spans="1:2">
      <c r="A3590" s="59"/>
      <c r="B3590"/>
    </row>
    <row r="3591" spans="1:2">
      <c r="A3591" s="59"/>
      <c r="B3591"/>
    </row>
    <row r="3592" spans="1:2">
      <c r="A3592" s="59"/>
      <c r="B3592"/>
    </row>
    <row r="3593" spans="1:2">
      <c r="A3593" s="59"/>
      <c r="B3593"/>
    </row>
    <row r="3594" spans="1:2">
      <c r="A3594" s="59"/>
      <c r="B3594"/>
    </row>
    <row r="3595" spans="1:2">
      <c r="A3595" s="59"/>
      <c r="B3595"/>
    </row>
    <row r="3596" spans="1:2">
      <c r="A3596" s="59"/>
      <c r="B3596"/>
    </row>
    <row r="3597" spans="1:2">
      <c r="A3597" s="59"/>
      <c r="B3597"/>
    </row>
    <row r="3598" spans="1:2">
      <c r="A3598" s="59"/>
      <c r="B3598"/>
    </row>
    <row r="3599" spans="1:2">
      <c r="A3599" s="59"/>
      <c r="B3599"/>
    </row>
    <row r="3600" spans="1:2">
      <c r="A3600" s="59"/>
      <c r="B3600"/>
    </row>
    <row r="3601" spans="1:2">
      <c r="A3601" s="59"/>
      <c r="B3601"/>
    </row>
    <row r="3602" spans="1:2">
      <c r="A3602" s="59"/>
      <c r="B3602"/>
    </row>
    <row r="3603" spans="1:2">
      <c r="A3603" s="59"/>
      <c r="B3603"/>
    </row>
    <row r="3604" spans="1:2">
      <c r="A3604" s="59"/>
      <c r="B3604"/>
    </row>
    <row r="3605" spans="1:2">
      <c r="A3605" s="59"/>
      <c r="B3605"/>
    </row>
    <row r="3606" spans="1:2">
      <c r="A3606" s="59"/>
      <c r="B3606"/>
    </row>
    <row r="3607" spans="1:2">
      <c r="A3607" s="59"/>
      <c r="B3607"/>
    </row>
    <row r="3608" spans="1:2">
      <c r="A3608" s="59"/>
      <c r="B3608"/>
    </row>
    <row r="3609" spans="1:2">
      <c r="A3609" s="59"/>
      <c r="B3609"/>
    </row>
    <row r="3610" spans="1:2">
      <c r="A3610" s="59"/>
      <c r="B3610"/>
    </row>
    <row r="3611" spans="1:2">
      <c r="A3611" s="59"/>
      <c r="B3611"/>
    </row>
    <row r="3612" spans="1:2">
      <c r="A3612" s="59"/>
      <c r="B3612"/>
    </row>
    <row r="3613" spans="1:2">
      <c r="A3613" s="59"/>
      <c r="B3613"/>
    </row>
    <row r="3614" spans="1:2">
      <c r="A3614" s="59"/>
      <c r="B3614"/>
    </row>
    <row r="3615" spans="1:2">
      <c r="A3615" s="59"/>
      <c r="B3615"/>
    </row>
    <row r="3616" spans="1:2">
      <c r="A3616" s="59"/>
      <c r="B3616"/>
    </row>
    <row r="3617" spans="1:2">
      <c r="A3617" s="59"/>
      <c r="B3617"/>
    </row>
    <row r="3618" spans="1:2">
      <c r="A3618" s="59"/>
      <c r="B3618"/>
    </row>
    <row r="3619" spans="1:2">
      <c r="A3619" s="59"/>
      <c r="B3619"/>
    </row>
    <row r="3620" spans="1:2">
      <c r="A3620" s="59"/>
      <c r="B3620"/>
    </row>
    <row r="3621" spans="1:2">
      <c r="A3621" s="59"/>
      <c r="B3621"/>
    </row>
    <row r="3622" spans="1:2">
      <c r="A3622" s="59"/>
      <c r="B3622"/>
    </row>
    <row r="3623" spans="1:2">
      <c r="A3623" s="59"/>
      <c r="B3623"/>
    </row>
    <row r="3624" spans="1:2">
      <c r="A3624" s="59"/>
      <c r="B3624"/>
    </row>
    <row r="3625" spans="1:2">
      <c r="A3625" s="59"/>
      <c r="B3625"/>
    </row>
    <row r="3626" spans="1:2">
      <c r="A3626" s="59"/>
      <c r="B3626"/>
    </row>
    <row r="3627" spans="1:2">
      <c r="A3627" s="59"/>
      <c r="B3627"/>
    </row>
    <row r="3628" spans="1:2">
      <c r="A3628" s="59"/>
      <c r="B3628"/>
    </row>
    <row r="3629" spans="1:2">
      <c r="A3629" s="59"/>
      <c r="B3629"/>
    </row>
    <row r="3630" spans="1:2">
      <c r="A3630" s="59"/>
      <c r="B3630"/>
    </row>
    <row r="3631" spans="1:2">
      <c r="A3631" s="59"/>
      <c r="B3631"/>
    </row>
    <row r="3632" spans="1:2">
      <c r="A3632" s="59"/>
      <c r="B3632"/>
    </row>
    <row r="3633" spans="1:2">
      <c r="A3633" s="59"/>
      <c r="B3633"/>
    </row>
    <row r="3634" spans="1:2">
      <c r="A3634" s="59"/>
      <c r="B3634"/>
    </row>
    <row r="3635" spans="1:2">
      <c r="A3635" s="59"/>
      <c r="B3635"/>
    </row>
    <row r="3636" spans="1:2">
      <c r="A3636" s="59"/>
      <c r="B3636"/>
    </row>
    <row r="3637" spans="1:2">
      <c r="A3637" s="59"/>
      <c r="B3637"/>
    </row>
    <row r="3638" spans="1:2">
      <c r="A3638" s="59"/>
      <c r="B3638"/>
    </row>
    <row r="3639" spans="1:2">
      <c r="A3639" s="59"/>
      <c r="B3639"/>
    </row>
    <row r="3640" spans="1:2">
      <c r="A3640" s="59"/>
      <c r="B3640"/>
    </row>
    <row r="3641" spans="1:2">
      <c r="A3641" s="59"/>
      <c r="B3641"/>
    </row>
    <row r="3642" spans="1:2">
      <c r="A3642" s="59"/>
      <c r="B3642"/>
    </row>
    <row r="3643" spans="1:2">
      <c r="A3643" s="59"/>
      <c r="B3643"/>
    </row>
    <row r="3644" spans="1:2">
      <c r="A3644" s="59"/>
      <c r="B3644"/>
    </row>
    <row r="3645" spans="1:2">
      <c r="A3645" s="59"/>
      <c r="B3645"/>
    </row>
    <row r="3646" spans="1:2">
      <c r="A3646" s="59"/>
      <c r="B3646"/>
    </row>
    <row r="3647" spans="1:2">
      <c r="A3647" s="59"/>
      <c r="B3647"/>
    </row>
    <row r="3648" spans="1:2">
      <c r="A3648" s="59"/>
      <c r="B3648"/>
    </row>
    <row r="3649" spans="1:2">
      <c r="A3649" s="59"/>
      <c r="B3649"/>
    </row>
    <row r="3650" spans="1:2">
      <c r="A3650" s="59"/>
      <c r="B3650"/>
    </row>
    <row r="3651" spans="1:2">
      <c r="A3651" s="59"/>
      <c r="B3651"/>
    </row>
    <row r="3652" spans="1:2">
      <c r="A3652" s="59"/>
      <c r="B3652"/>
    </row>
    <row r="3653" spans="1:2">
      <c r="A3653" s="59"/>
      <c r="B3653"/>
    </row>
    <row r="3654" spans="1:2">
      <c r="A3654" s="59"/>
      <c r="B3654"/>
    </row>
    <row r="3655" spans="1:2">
      <c r="A3655" s="59"/>
      <c r="B3655"/>
    </row>
    <row r="3656" spans="1:2">
      <c r="A3656" s="59"/>
      <c r="B3656"/>
    </row>
    <row r="3657" spans="1:2">
      <c r="A3657" s="59"/>
      <c r="B3657"/>
    </row>
    <row r="3658" spans="1:2">
      <c r="A3658" s="59"/>
      <c r="B3658"/>
    </row>
    <row r="3659" spans="1:2">
      <c r="A3659" s="59"/>
      <c r="B3659"/>
    </row>
    <row r="3660" spans="1:2">
      <c r="A3660" s="59"/>
      <c r="B3660"/>
    </row>
    <row r="3661" spans="1:2">
      <c r="A3661" s="59"/>
      <c r="B3661"/>
    </row>
    <row r="3662" spans="1:2">
      <c r="A3662" s="59"/>
      <c r="B3662"/>
    </row>
    <row r="3663" spans="1:2">
      <c r="A3663" s="59"/>
      <c r="B3663"/>
    </row>
    <row r="3664" spans="1:2">
      <c r="A3664" s="59"/>
      <c r="B3664"/>
    </row>
    <row r="3665" spans="1:2">
      <c r="A3665" s="59"/>
      <c r="B3665"/>
    </row>
    <row r="3666" spans="1:2">
      <c r="A3666" s="59"/>
      <c r="B3666"/>
    </row>
    <row r="3667" spans="1:2">
      <c r="A3667" s="59"/>
      <c r="B3667"/>
    </row>
    <row r="3668" spans="1:2">
      <c r="A3668" s="59"/>
      <c r="B3668"/>
    </row>
    <row r="3669" spans="1:2">
      <c r="A3669" s="59"/>
      <c r="B3669"/>
    </row>
    <row r="3670" spans="1:2">
      <c r="A3670" s="59"/>
      <c r="B3670"/>
    </row>
    <row r="3671" spans="1:2">
      <c r="A3671" s="59"/>
      <c r="B3671"/>
    </row>
    <row r="3672" spans="1:2">
      <c r="A3672" s="59"/>
      <c r="B3672"/>
    </row>
    <row r="3673" spans="1:2">
      <c r="A3673" s="59"/>
      <c r="B3673"/>
    </row>
    <row r="3674" spans="1:2">
      <c r="A3674" s="59"/>
      <c r="B3674"/>
    </row>
    <row r="3675" spans="1:2">
      <c r="A3675" s="59"/>
      <c r="B3675"/>
    </row>
    <row r="3676" spans="1:2">
      <c r="A3676" s="59"/>
      <c r="B3676"/>
    </row>
    <row r="3677" spans="1:2">
      <c r="A3677" s="59"/>
      <c r="B3677"/>
    </row>
    <row r="3678" spans="1:2">
      <c r="A3678" s="59"/>
      <c r="B3678"/>
    </row>
    <row r="3679" spans="1:2">
      <c r="A3679" s="59"/>
      <c r="B3679"/>
    </row>
    <row r="3680" spans="1:2">
      <c r="A3680" s="59"/>
      <c r="B3680"/>
    </row>
    <row r="3681" spans="1:2">
      <c r="A3681" s="59"/>
      <c r="B3681"/>
    </row>
    <row r="3682" spans="1:2">
      <c r="A3682" s="59"/>
      <c r="B3682"/>
    </row>
    <row r="3683" spans="1:2">
      <c r="A3683" s="59"/>
      <c r="B3683"/>
    </row>
    <row r="3684" spans="1:2">
      <c r="A3684" s="59"/>
      <c r="B3684"/>
    </row>
    <row r="3685" spans="1:2">
      <c r="A3685" s="59"/>
      <c r="B3685"/>
    </row>
    <row r="3686" spans="1:2">
      <c r="A3686" s="59"/>
      <c r="B3686"/>
    </row>
    <row r="3687" spans="1:2">
      <c r="A3687" s="59"/>
      <c r="B3687"/>
    </row>
    <row r="3688" spans="1:2">
      <c r="A3688" s="59"/>
      <c r="B3688"/>
    </row>
    <row r="3689" spans="1:2">
      <c r="A3689" s="59"/>
      <c r="B3689"/>
    </row>
    <row r="3690" spans="1:2">
      <c r="A3690" s="59"/>
      <c r="B3690"/>
    </row>
    <row r="3691" spans="1:2">
      <c r="A3691" s="59"/>
      <c r="B3691"/>
    </row>
    <row r="3692" spans="1:2">
      <c r="A3692" s="59"/>
      <c r="B3692"/>
    </row>
    <row r="3693" spans="1:2">
      <c r="A3693" s="59"/>
      <c r="B3693"/>
    </row>
    <row r="3694" spans="1:2">
      <c r="A3694" s="59"/>
      <c r="B3694"/>
    </row>
    <row r="3695" spans="1:2">
      <c r="A3695" s="59"/>
      <c r="B3695"/>
    </row>
    <row r="3696" spans="1:2">
      <c r="A3696" s="59"/>
      <c r="B3696"/>
    </row>
    <row r="3697" spans="1:2">
      <c r="A3697" s="59"/>
      <c r="B3697"/>
    </row>
    <row r="3698" spans="1:2">
      <c r="A3698" s="59"/>
      <c r="B3698"/>
    </row>
    <row r="3699" spans="1:2">
      <c r="A3699" s="59"/>
      <c r="B3699"/>
    </row>
    <row r="3700" spans="1:2">
      <c r="A3700" s="59"/>
      <c r="B3700"/>
    </row>
    <row r="3701" spans="1:2">
      <c r="A3701" s="59"/>
      <c r="B3701"/>
    </row>
    <row r="3702" spans="1:2">
      <c r="A3702" s="59"/>
      <c r="B3702"/>
    </row>
    <row r="3703" spans="1:2">
      <c r="A3703" s="59"/>
      <c r="B3703"/>
    </row>
    <row r="3704" spans="1:2">
      <c r="A3704" s="59"/>
      <c r="B3704"/>
    </row>
    <row r="3705" spans="1:2">
      <c r="A3705" s="59"/>
      <c r="B3705"/>
    </row>
    <row r="3706" spans="1:2">
      <c r="A3706" s="59"/>
      <c r="B3706"/>
    </row>
    <row r="3707" spans="1:2">
      <c r="A3707" s="59"/>
      <c r="B3707"/>
    </row>
    <row r="3708" spans="1:2">
      <c r="A3708" s="59"/>
      <c r="B3708"/>
    </row>
    <row r="3709" spans="1:2">
      <c r="A3709" s="59"/>
      <c r="B3709"/>
    </row>
    <row r="3710" spans="1:2">
      <c r="A3710" s="59"/>
      <c r="B3710"/>
    </row>
    <row r="3711" spans="1:2">
      <c r="A3711" s="59"/>
      <c r="B3711"/>
    </row>
    <row r="3712" spans="1:2">
      <c r="A3712" s="59"/>
      <c r="B3712"/>
    </row>
    <row r="3713" spans="1:2">
      <c r="A3713" s="59"/>
      <c r="B3713"/>
    </row>
    <row r="3714" spans="1:2">
      <c r="A3714" s="59"/>
      <c r="B3714"/>
    </row>
    <row r="3715" spans="1:2">
      <c r="A3715" s="59"/>
      <c r="B3715"/>
    </row>
    <row r="3716" spans="1:2">
      <c r="A3716" s="59"/>
      <c r="B3716"/>
    </row>
    <row r="3717" spans="1:2">
      <c r="A3717" s="59"/>
      <c r="B3717"/>
    </row>
    <row r="3718" spans="1:2">
      <c r="A3718" s="59"/>
      <c r="B3718"/>
    </row>
    <row r="3719" spans="1:2">
      <c r="A3719" s="59"/>
      <c r="B3719"/>
    </row>
    <row r="3720" spans="1:2">
      <c r="A3720" s="59"/>
      <c r="B3720"/>
    </row>
    <row r="3721" spans="1:2">
      <c r="A3721" s="59"/>
      <c r="B3721"/>
    </row>
    <row r="3722" spans="1:2">
      <c r="A3722" s="59"/>
      <c r="B3722"/>
    </row>
    <row r="3723" spans="1:2">
      <c r="A3723" s="59"/>
      <c r="B3723"/>
    </row>
    <row r="3724" spans="1:2">
      <c r="A3724" s="59"/>
      <c r="B3724"/>
    </row>
    <row r="3725" spans="1:2">
      <c r="A3725" s="59"/>
      <c r="B3725"/>
    </row>
    <row r="3726" spans="1:2">
      <c r="A3726" s="59"/>
      <c r="B3726"/>
    </row>
    <row r="3727" spans="1:2">
      <c r="A3727" s="59"/>
      <c r="B3727"/>
    </row>
    <row r="3728" spans="1:2">
      <c r="A3728" s="59"/>
      <c r="B3728"/>
    </row>
    <row r="3729" spans="1:2">
      <c r="A3729" s="59"/>
      <c r="B3729"/>
    </row>
    <row r="3730" spans="1:2">
      <c r="A3730" s="59"/>
      <c r="B3730"/>
    </row>
    <row r="3731" spans="1:2">
      <c r="A3731" s="59"/>
      <c r="B3731"/>
    </row>
    <row r="3732" spans="1:2">
      <c r="A3732" s="59"/>
      <c r="B3732"/>
    </row>
    <row r="3733" spans="1:2">
      <c r="A3733" s="59"/>
      <c r="B3733"/>
    </row>
    <row r="3734" spans="1:2">
      <c r="A3734" s="59"/>
      <c r="B3734"/>
    </row>
    <row r="3735" spans="1:2">
      <c r="A3735" s="59"/>
      <c r="B3735"/>
    </row>
    <row r="3736" spans="1:2">
      <c r="A3736" s="59"/>
      <c r="B3736"/>
    </row>
    <row r="3737" spans="1:2">
      <c r="A3737" s="59"/>
      <c r="B3737"/>
    </row>
    <row r="3738" spans="1:2">
      <c r="A3738" s="59"/>
      <c r="B3738"/>
    </row>
    <row r="3739" spans="1:2">
      <c r="A3739" s="59"/>
      <c r="B3739"/>
    </row>
    <row r="3740" spans="1:2">
      <c r="A3740" s="59"/>
      <c r="B3740"/>
    </row>
    <row r="3741" spans="1:2">
      <c r="A3741" s="59"/>
      <c r="B3741"/>
    </row>
    <row r="3742" spans="1:2">
      <c r="A3742" s="59"/>
      <c r="B3742"/>
    </row>
    <row r="3743" spans="1:2">
      <c r="A3743" s="59"/>
      <c r="B3743"/>
    </row>
    <row r="3744" spans="1:2">
      <c r="A3744" s="59"/>
      <c r="B3744"/>
    </row>
    <row r="3745" spans="1:2">
      <c r="A3745" s="59"/>
      <c r="B3745"/>
    </row>
    <row r="3746" spans="1:2">
      <c r="A3746" s="59"/>
      <c r="B3746"/>
    </row>
    <row r="3747" spans="1:2">
      <c r="A3747" s="59"/>
      <c r="B3747"/>
    </row>
    <row r="3748" spans="1:2">
      <c r="A3748" s="59"/>
      <c r="B3748"/>
    </row>
    <row r="3749" spans="1:2">
      <c r="A3749" s="59"/>
      <c r="B3749"/>
    </row>
    <row r="3750" spans="1:2">
      <c r="A3750" s="59"/>
      <c r="B3750"/>
    </row>
    <row r="3751" spans="1:2">
      <c r="A3751" s="59"/>
      <c r="B3751"/>
    </row>
    <row r="3752" spans="1:2">
      <c r="A3752" s="59"/>
      <c r="B3752"/>
    </row>
    <row r="3753" spans="1:2">
      <c r="A3753" s="59"/>
      <c r="B3753"/>
    </row>
    <row r="3754" spans="1:2">
      <c r="A3754" s="59"/>
      <c r="B3754"/>
    </row>
    <row r="3755" spans="1:2">
      <c r="A3755" s="59"/>
      <c r="B3755"/>
    </row>
    <row r="3756" spans="1:2">
      <c r="A3756" s="59"/>
      <c r="B3756"/>
    </row>
    <row r="3757" spans="1:2">
      <c r="A3757" s="59"/>
      <c r="B3757"/>
    </row>
    <row r="3758" spans="1:2">
      <c r="A3758" s="59"/>
      <c r="B3758"/>
    </row>
    <row r="3759" spans="1:2">
      <c r="A3759" s="59"/>
      <c r="B3759"/>
    </row>
    <row r="3760" spans="1:2">
      <c r="A3760" s="59"/>
      <c r="B3760"/>
    </row>
    <row r="3761" spans="1:2">
      <c r="A3761" s="59"/>
      <c r="B3761"/>
    </row>
    <row r="3762" spans="1:2">
      <c r="A3762" s="59"/>
      <c r="B3762"/>
    </row>
    <row r="3763" spans="1:2">
      <c r="A3763" s="59"/>
      <c r="B3763"/>
    </row>
    <row r="3764" spans="1:2">
      <c r="A3764" s="59"/>
      <c r="B3764"/>
    </row>
    <row r="3765" spans="1:2">
      <c r="A3765" s="59"/>
      <c r="B3765"/>
    </row>
    <row r="3766" spans="1:2">
      <c r="A3766" s="59"/>
      <c r="B3766"/>
    </row>
    <row r="3767" spans="1:2">
      <c r="A3767" s="59"/>
      <c r="B3767"/>
    </row>
    <row r="3768" spans="1:2">
      <c r="A3768" s="59"/>
      <c r="B3768"/>
    </row>
    <row r="3769" spans="1:2">
      <c r="A3769" s="59"/>
      <c r="B3769"/>
    </row>
    <row r="3770" spans="1:2">
      <c r="A3770" s="59"/>
      <c r="B3770"/>
    </row>
    <row r="3771" spans="1:2">
      <c r="A3771" s="59"/>
      <c r="B3771"/>
    </row>
    <row r="3772" spans="1:2">
      <c r="A3772" s="59"/>
      <c r="B3772"/>
    </row>
    <row r="3773" spans="1:2">
      <c r="A3773" s="59"/>
      <c r="B3773"/>
    </row>
    <row r="3774" spans="1:2">
      <c r="A3774" s="59"/>
      <c r="B3774"/>
    </row>
    <row r="3775" spans="1:2">
      <c r="A3775" s="59"/>
      <c r="B3775"/>
    </row>
    <row r="3776" spans="1:2">
      <c r="A3776" s="59"/>
      <c r="B3776"/>
    </row>
    <row r="3777" spans="1:2">
      <c r="A3777" s="59"/>
      <c r="B3777"/>
    </row>
    <row r="3778" spans="1:2">
      <c r="A3778" s="59"/>
      <c r="B3778"/>
    </row>
    <row r="3779" spans="1:2">
      <c r="A3779" s="59"/>
      <c r="B3779"/>
    </row>
    <row r="3780" spans="1:2">
      <c r="A3780" s="59"/>
      <c r="B3780"/>
    </row>
    <row r="3781" spans="1:2">
      <c r="A3781" s="59"/>
      <c r="B3781"/>
    </row>
    <row r="3782" spans="1:2">
      <c r="A3782" s="59"/>
      <c r="B3782"/>
    </row>
    <row r="3783" spans="1:2">
      <c r="A3783" s="59"/>
      <c r="B3783"/>
    </row>
    <row r="3784" spans="1:2">
      <c r="A3784" s="59"/>
      <c r="B3784"/>
    </row>
    <row r="3785" spans="1:2">
      <c r="A3785" s="59"/>
      <c r="B3785"/>
    </row>
    <row r="3786" spans="1:2">
      <c r="A3786" s="59"/>
      <c r="B3786"/>
    </row>
    <row r="3787" spans="1:2">
      <c r="A3787" s="59"/>
      <c r="B3787"/>
    </row>
    <row r="3788" spans="1:2">
      <c r="A3788" s="59"/>
      <c r="B3788"/>
    </row>
    <row r="3789" spans="1:2">
      <c r="A3789" s="59"/>
      <c r="B3789"/>
    </row>
    <row r="3790" spans="1:2">
      <c r="A3790" s="59"/>
      <c r="B3790"/>
    </row>
    <row r="3791" spans="1:2">
      <c r="A3791" s="59"/>
      <c r="B3791"/>
    </row>
    <row r="3792" spans="1:2">
      <c r="A3792" s="59"/>
      <c r="B3792"/>
    </row>
    <row r="3793" spans="1:2">
      <c r="A3793" s="59"/>
      <c r="B3793"/>
    </row>
    <row r="3794" spans="1:2">
      <c r="A3794" s="59"/>
      <c r="B3794"/>
    </row>
    <row r="3795" spans="1:2">
      <c r="A3795" s="59"/>
      <c r="B3795"/>
    </row>
    <row r="3796" spans="1:2">
      <c r="A3796" s="59"/>
      <c r="B3796"/>
    </row>
    <row r="3797" spans="1:2">
      <c r="A3797" s="59"/>
      <c r="B3797"/>
    </row>
    <row r="3798" spans="1:2">
      <c r="A3798" s="59"/>
      <c r="B3798"/>
    </row>
    <row r="3799" spans="1:2">
      <c r="A3799" s="59"/>
      <c r="B3799"/>
    </row>
    <row r="3800" spans="1:2">
      <c r="A3800" s="59"/>
      <c r="B3800"/>
    </row>
    <row r="3801" spans="1:2">
      <c r="A3801" s="59"/>
      <c r="B3801"/>
    </row>
    <row r="3802" spans="1:2">
      <c r="A3802" s="59"/>
      <c r="B3802"/>
    </row>
    <row r="3803" spans="1:2">
      <c r="A3803" s="59"/>
      <c r="B3803"/>
    </row>
    <row r="3804" spans="1:2">
      <c r="A3804" s="59"/>
      <c r="B3804"/>
    </row>
    <row r="3805" spans="1:2">
      <c r="A3805" s="59"/>
      <c r="B3805"/>
    </row>
    <row r="3806" spans="1:2">
      <c r="A3806" s="59"/>
      <c r="B3806"/>
    </row>
    <row r="3807" spans="1:2">
      <c r="A3807" s="59"/>
      <c r="B3807"/>
    </row>
    <row r="3808" spans="1:2">
      <c r="A3808" s="59"/>
      <c r="B3808"/>
    </row>
    <row r="3809" spans="1:2">
      <c r="A3809" s="59"/>
      <c r="B3809"/>
    </row>
    <row r="3810" spans="1:2">
      <c r="A3810" s="59"/>
      <c r="B3810"/>
    </row>
    <row r="3811" spans="1:2">
      <c r="A3811" s="59"/>
      <c r="B3811"/>
    </row>
    <row r="3812" spans="1:2">
      <c r="A3812" s="59"/>
      <c r="B3812"/>
    </row>
    <row r="3813" spans="1:2">
      <c r="A3813" s="59"/>
      <c r="B3813"/>
    </row>
    <row r="3814" spans="1:2">
      <c r="A3814" s="59"/>
      <c r="B3814"/>
    </row>
    <row r="3815" spans="1:2">
      <c r="A3815" s="59"/>
      <c r="B3815"/>
    </row>
    <row r="3816" spans="1:2">
      <c r="A3816" s="59"/>
      <c r="B3816"/>
    </row>
    <row r="3817" spans="1:2">
      <c r="A3817" s="59"/>
      <c r="B3817"/>
    </row>
    <row r="3818" spans="1:2">
      <c r="A3818" s="59"/>
      <c r="B3818"/>
    </row>
    <row r="3819" spans="1:2">
      <c r="A3819" s="59"/>
      <c r="B3819"/>
    </row>
    <row r="3820" spans="1:2">
      <c r="A3820" s="59"/>
      <c r="B3820"/>
    </row>
    <row r="3821" spans="1:2">
      <c r="A3821" s="59"/>
      <c r="B3821"/>
    </row>
    <row r="3822" spans="1:2">
      <c r="A3822" s="59"/>
      <c r="B3822"/>
    </row>
    <row r="3823" spans="1:2">
      <c r="A3823" s="59"/>
      <c r="B3823"/>
    </row>
    <row r="3824" spans="1:2">
      <c r="A3824" s="59"/>
      <c r="B3824"/>
    </row>
    <row r="3825" spans="1:2">
      <c r="A3825" s="59"/>
      <c r="B3825"/>
    </row>
    <row r="3826" spans="1:2">
      <c r="A3826" s="59"/>
      <c r="B3826"/>
    </row>
    <row r="3827" spans="1:2">
      <c r="A3827" s="59"/>
      <c r="B3827"/>
    </row>
    <row r="3828" spans="1:2">
      <c r="A3828" s="59"/>
      <c r="B3828"/>
    </row>
    <row r="3829" spans="1:2">
      <c r="A3829" s="59"/>
      <c r="B3829"/>
    </row>
    <row r="3830" spans="1:2">
      <c r="A3830" s="59"/>
      <c r="B3830"/>
    </row>
    <row r="3831" spans="1:2">
      <c r="A3831" s="59"/>
      <c r="B3831"/>
    </row>
    <row r="3832" spans="1:2">
      <c r="A3832" s="59"/>
      <c r="B3832"/>
    </row>
    <row r="3833" spans="1:2">
      <c r="A3833" s="59"/>
      <c r="B3833"/>
    </row>
    <row r="3834" spans="1:2">
      <c r="A3834" s="59"/>
      <c r="B3834"/>
    </row>
    <row r="3835" spans="1:2">
      <c r="A3835" s="59"/>
      <c r="B3835"/>
    </row>
    <row r="3836" spans="1:2">
      <c r="A3836" s="59"/>
      <c r="B3836"/>
    </row>
    <row r="3837" spans="1:2">
      <c r="A3837" s="59"/>
      <c r="B3837"/>
    </row>
    <row r="3838" spans="1:2">
      <c r="A3838" s="59"/>
      <c r="B3838"/>
    </row>
    <row r="3839" spans="1:2">
      <c r="A3839" s="59"/>
      <c r="B3839"/>
    </row>
    <row r="3840" spans="1:2">
      <c r="A3840" s="59"/>
      <c r="B3840"/>
    </row>
    <row r="3841" spans="1:2">
      <c r="A3841" s="59"/>
      <c r="B3841"/>
    </row>
    <row r="3842" spans="1:2">
      <c r="A3842" s="59"/>
      <c r="B3842"/>
    </row>
    <row r="3843" spans="1:2">
      <c r="A3843" s="59"/>
      <c r="B3843"/>
    </row>
    <row r="3844" spans="1:2">
      <c r="A3844" s="59"/>
      <c r="B3844"/>
    </row>
    <row r="3845" spans="1:2">
      <c r="A3845" s="59"/>
      <c r="B3845"/>
    </row>
    <row r="3846" spans="1:2">
      <c r="A3846" s="59"/>
      <c r="B3846"/>
    </row>
    <row r="3847" spans="1:2">
      <c r="A3847" s="59"/>
      <c r="B3847"/>
    </row>
    <row r="3848" spans="1:2">
      <c r="A3848" s="59"/>
      <c r="B3848"/>
    </row>
    <row r="3849" spans="1:2">
      <c r="A3849" s="59"/>
      <c r="B3849"/>
    </row>
    <row r="3850" spans="1:2">
      <c r="A3850" s="59"/>
      <c r="B3850"/>
    </row>
    <row r="3851" spans="1:2">
      <c r="A3851" s="59"/>
      <c r="B3851"/>
    </row>
    <row r="3852" spans="1:2">
      <c r="A3852" s="59"/>
      <c r="B3852"/>
    </row>
    <row r="3853" spans="1:2">
      <c r="A3853" s="59"/>
      <c r="B3853"/>
    </row>
    <row r="3854" spans="1:2">
      <c r="A3854" s="59"/>
      <c r="B3854"/>
    </row>
    <row r="3855" spans="1:2">
      <c r="A3855" s="59"/>
      <c r="B3855"/>
    </row>
    <row r="3856" spans="1:2">
      <c r="A3856" s="59"/>
      <c r="B3856"/>
    </row>
    <row r="3857" spans="1:2">
      <c r="A3857" s="59"/>
      <c r="B3857"/>
    </row>
    <row r="3858" spans="1:2">
      <c r="A3858" s="59"/>
      <c r="B3858"/>
    </row>
    <row r="3859" spans="1:2">
      <c r="A3859" s="59"/>
      <c r="B3859"/>
    </row>
    <row r="3860" spans="1:2">
      <c r="A3860" s="59"/>
      <c r="B3860"/>
    </row>
    <row r="3861" spans="1:2">
      <c r="A3861" s="59"/>
      <c r="B3861"/>
    </row>
    <row r="3862" spans="1:2">
      <c r="A3862" s="59"/>
      <c r="B3862"/>
    </row>
    <row r="3863" spans="1:2">
      <c r="A3863" s="59"/>
      <c r="B3863"/>
    </row>
    <row r="3864" spans="1:2">
      <c r="A3864" s="59"/>
      <c r="B3864"/>
    </row>
    <row r="3865" spans="1:2">
      <c r="A3865" s="59"/>
      <c r="B3865"/>
    </row>
    <row r="3866" spans="1:2">
      <c r="A3866" s="59"/>
      <c r="B3866"/>
    </row>
    <row r="3867" spans="1:2">
      <c r="A3867" s="59"/>
      <c r="B3867"/>
    </row>
    <row r="3868" spans="1:2">
      <c r="A3868" s="59"/>
      <c r="B3868"/>
    </row>
    <row r="3869" spans="1:2">
      <c r="A3869" s="59"/>
      <c r="B3869"/>
    </row>
    <row r="3870" spans="1:2">
      <c r="A3870" s="59"/>
      <c r="B3870"/>
    </row>
    <row r="3871" spans="1:2">
      <c r="A3871" s="59"/>
      <c r="B3871"/>
    </row>
    <row r="3872" spans="1:2">
      <c r="A3872" s="59"/>
      <c r="B3872"/>
    </row>
    <row r="3873" spans="1:2">
      <c r="A3873" s="59"/>
      <c r="B3873"/>
    </row>
    <row r="3874" spans="1:2">
      <c r="A3874" s="59"/>
      <c r="B3874"/>
    </row>
    <row r="3875" spans="1:2">
      <c r="A3875" s="59"/>
      <c r="B3875"/>
    </row>
    <row r="3876" spans="1:2">
      <c r="A3876" s="59"/>
      <c r="B3876"/>
    </row>
    <row r="3877" spans="1:2">
      <c r="A3877" s="59"/>
      <c r="B3877"/>
    </row>
    <row r="3878" spans="1:2">
      <c r="A3878" s="59"/>
      <c r="B3878"/>
    </row>
    <row r="3879" spans="1:2">
      <c r="A3879" s="59"/>
      <c r="B3879"/>
    </row>
    <row r="3880" spans="1:2">
      <c r="A3880" s="59"/>
      <c r="B3880"/>
    </row>
    <row r="3881" spans="1:2">
      <c r="A3881" s="59"/>
      <c r="B3881"/>
    </row>
    <row r="3882" spans="1:2">
      <c r="A3882" s="59"/>
      <c r="B3882"/>
    </row>
    <row r="3883" spans="1:2">
      <c r="A3883" s="59"/>
      <c r="B3883"/>
    </row>
    <row r="3884" spans="1:2">
      <c r="A3884" s="59"/>
      <c r="B3884"/>
    </row>
    <row r="3885" spans="1:2">
      <c r="A3885" s="59"/>
      <c r="B3885"/>
    </row>
    <row r="3886" spans="1:2">
      <c r="A3886" s="59"/>
      <c r="B3886"/>
    </row>
    <row r="3887" spans="1:2">
      <c r="A3887" s="59"/>
      <c r="B3887"/>
    </row>
    <row r="3888" spans="1:2">
      <c r="A3888" s="59"/>
      <c r="B3888"/>
    </row>
    <row r="3889" spans="1:2">
      <c r="A3889" s="59"/>
      <c r="B3889"/>
    </row>
    <row r="3890" spans="1:2">
      <c r="A3890" s="59"/>
      <c r="B3890"/>
    </row>
    <row r="3891" spans="1:2">
      <c r="A3891" s="59"/>
      <c r="B3891"/>
    </row>
    <row r="3892" spans="1:2">
      <c r="A3892" s="59"/>
      <c r="B3892"/>
    </row>
    <row r="3893" spans="1:2">
      <c r="A3893" s="59"/>
      <c r="B3893"/>
    </row>
    <row r="3894" spans="1:2">
      <c r="A3894" s="59"/>
      <c r="B3894"/>
    </row>
    <row r="3895" spans="1:2">
      <c r="A3895" s="59"/>
      <c r="B3895"/>
    </row>
    <row r="3896" spans="1:2">
      <c r="A3896" s="59"/>
      <c r="B3896"/>
    </row>
    <row r="3897" spans="1:2">
      <c r="A3897" s="59"/>
      <c r="B3897"/>
    </row>
    <row r="3898" spans="1:2">
      <c r="A3898" s="59"/>
      <c r="B3898"/>
    </row>
    <row r="3899" spans="1:2">
      <c r="A3899" s="59"/>
      <c r="B3899"/>
    </row>
    <row r="3900" spans="1:2">
      <c r="A3900" s="59"/>
      <c r="B3900"/>
    </row>
    <row r="3901" spans="1:2">
      <c r="A3901" s="59"/>
      <c r="B3901"/>
    </row>
    <row r="3902" spans="1:2">
      <c r="A3902" s="59"/>
      <c r="B3902"/>
    </row>
    <row r="3903" spans="1:2">
      <c r="A3903" s="59"/>
      <c r="B3903"/>
    </row>
    <row r="3904" spans="1:2">
      <c r="A3904" s="59"/>
      <c r="B3904"/>
    </row>
    <row r="3905" spans="1:2">
      <c r="A3905" s="59"/>
      <c r="B3905"/>
    </row>
    <row r="3906" spans="1:2">
      <c r="A3906" s="59"/>
      <c r="B3906"/>
    </row>
    <row r="3907" spans="1:2">
      <c r="A3907" s="59"/>
      <c r="B3907"/>
    </row>
    <row r="3908" spans="1:2">
      <c r="A3908" s="59"/>
      <c r="B3908"/>
    </row>
    <row r="3909" spans="1:2">
      <c r="A3909" s="59"/>
      <c r="B3909"/>
    </row>
    <row r="3910" spans="1:2">
      <c r="A3910" s="59"/>
      <c r="B3910"/>
    </row>
    <row r="3911" spans="1:2">
      <c r="A3911" s="59"/>
      <c r="B3911"/>
    </row>
    <row r="3912" spans="1:2">
      <c r="A3912" s="59"/>
      <c r="B3912"/>
    </row>
    <row r="3913" spans="1:2">
      <c r="A3913" s="59"/>
      <c r="B3913"/>
    </row>
    <row r="3914" spans="1:2">
      <c r="A3914" s="59"/>
      <c r="B3914"/>
    </row>
    <row r="3915" spans="1:2">
      <c r="A3915" s="59"/>
      <c r="B3915"/>
    </row>
    <row r="3916" spans="1:2">
      <c r="A3916" s="59"/>
      <c r="B3916"/>
    </row>
    <row r="3917" spans="1:2">
      <c r="A3917" s="59"/>
      <c r="B3917"/>
    </row>
    <row r="3918" spans="1:2">
      <c r="A3918" s="59"/>
      <c r="B3918"/>
    </row>
    <row r="3919" spans="1:2">
      <c r="A3919" s="59"/>
      <c r="B3919"/>
    </row>
    <row r="3920" spans="1:2">
      <c r="A3920" s="59"/>
      <c r="B3920"/>
    </row>
    <row r="3921" spans="1:2">
      <c r="A3921" s="59"/>
      <c r="B3921"/>
    </row>
    <row r="3922" spans="1:2">
      <c r="A3922" s="59"/>
      <c r="B3922"/>
    </row>
    <row r="3923" spans="1:2">
      <c r="A3923" s="59"/>
      <c r="B3923"/>
    </row>
    <row r="3924" spans="1:2">
      <c r="A3924" s="59"/>
      <c r="B3924"/>
    </row>
    <row r="3925" spans="1:2">
      <c r="A3925" s="59"/>
      <c r="B3925"/>
    </row>
    <row r="3926" spans="1:2">
      <c r="A3926" s="59"/>
      <c r="B3926"/>
    </row>
    <row r="3927" spans="1:2">
      <c r="A3927" s="59"/>
      <c r="B3927"/>
    </row>
    <row r="3928" spans="1:2">
      <c r="A3928" s="59"/>
      <c r="B3928"/>
    </row>
    <row r="3929" spans="1:2">
      <c r="A3929" s="59"/>
      <c r="B3929"/>
    </row>
    <row r="3930" spans="1:2">
      <c r="A3930" s="59"/>
      <c r="B3930"/>
    </row>
    <row r="3931" spans="1:2">
      <c r="A3931" s="59"/>
      <c r="B3931"/>
    </row>
    <row r="3932" spans="1:2">
      <c r="A3932" s="59"/>
      <c r="B3932"/>
    </row>
    <row r="3933" spans="1:2">
      <c r="A3933" s="59"/>
      <c r="B3933"/>
    </row>
    <row r="3934" spans="1:2">
      <c r="A3934" s="59"/>
      <c r="B3934"/>
    </row>
    <row r="3935" spans="1:2">
      <c r="A3935" s="59"/>
      <c r="B3935"/>
    </row>
    <row r="3936" spans="1:2">
      <c r="A3936" s="59"/>
      <c r="B3936"/>
    </row>
    <row r="3937" spans="1:2">
      <c r="A3937" s="59"/>
      <c r="B3937"/>
    </row>
    <row r="3938" spans="1:2">
      <c r="A3938" s="59"/>
      <c r="B3938"/>
    </row>
    <row r="3939" spans="1:2">
      <c r="A3939" s="59"/>
      <c r="B3939"/>
    </row>
    <row r="3940" spans="1:2">
      <c r="A3940" s="59"/>
      <c r="B3940"/>
    </row>
    <row r="3941" spans="1:2">
      <c r="A3941" s="59"/>
      <c r="B3941"/>
    </row>
    <row r="3942" spans="1:2">
      <c r="A3942" s="59"/>
      <c r="B3942"/>
    </row>
    <row r="3943" spans="1:2">
      <c r="A3943" s="59"/>
      <c r="B3943"/>
    </row>
    <row r="3944" spans="1:2">
      <c r="A3944" s="59"/>
      <c r="B3944"/>
    </row>
    <row r="3945" spans="1:2">
      <c r="A3945" s="59"/>
      <c r="B3945"/>
    </row>
    <row r="3946" spans="1:2">
      <c r="A3946" s="59"/>
      <c r="B3946"/>
    </row>
    <row r="3947" spans="1:2">
      <c r="A3947" s="59"/>
      <c r="B3947"/>
    </row>
    <row r="3948" spans="1:2">
      <c r="A3948" s="59"/>
      <c r="B3948"/>
    </row>
    <row r="3949" spans="1:2">
      <c r="A3949" s="59"/>
      <c r="B3949"/>
    </row>
    <row r="3950" spans="1:2">
      <c r="A3950" s="59"/>
      <c r="B3950"/>
    </row>
    <row r="3951" spans="1:2">
      <c r="A3951" s="59"/>
      <c r="B3951"/>
    </row>
    <row r="3952" spans="1:2">
      <c r="A3952" s="59"/>
      <c r="B3952"/>
    </row>
    <row r="3953" spans="1:2">
      <c r="A3953" s="59"/>
      <c r="B3953"/>
    </row>
    <row r="3954" spans="1:2">
      <c r="A3954" s="59"/>
      <c r="B3954"/>
    </row>
    <row r="3955" spans="1:2">
      <c r="A3955" s="59"/>
      <c r="B3955"/>
    </row>
    <row r="3956" spans="1:2">
      <c r="A3956" s="59"/>
      <c r="B3956"/>
    </row>
    <row r="3957" spans="1:2">
      <c r="A3957" s="59"/>
      <c r="B3957"/>
    </row>
    <row r="3958" spans="1:2">
      <c r="A3958" s="59"/>
      <c r="B3958"/>
    </row>
    <row r="3959" spans="1:2">
      <c r="A3959" s="59"/>
      <c r="B3959"/>
    </row>
    <row r="3960" spans="1:2">
      <c r="A3960" s="59"/>
      <c r="B3960"/>
    </row>
    <row r="3961" spans="1:2">
      <c r="A3961" s="59"/>
      <c r="B3961"/>
    </row>
    <row r="3962" spans="1:2">
      <c r="A3962" s="59"/>
      <c r="B3962"/>
    </row>
    <row r="3963" spans="1:2">
      <c r="A3963" s="59"/>
      <c r="B3963"/>
    </row>
    <row r="3964" spans="1:2">
      <c r="A3964" s="59"/>
      <c r="B3964"/>
    </row>
    <row r="3965" spans="1:2">
      <c r="A3965" s="59"/>
      <c r="B3965"/>
    </row>
    <row r="3966" spans="1:2">
      <c r="A3966" s="59"/>
      <c r="B3966"/>
    </row>
    <row r="3967" spans="1:2">
      <c r="A3967" s="59"/>
      <c r="B3967"/>
    </row>
    <row r="3968" spans="1:2">
      <c r="A3968" s="59"/>
      <c r="B3968"/>
    </row>
    <row r="3969" spans="1:2">
      <c r="A3969" s="59"/>
      <c r="B3969"/>
    </row>
    <row r="3970" spans="1:2">
      <c r="A3970" s="59"/>
      <c r="B3970"/>
    </row>
    <row r="3971" spans="1:2">
      <c r="A3971" s="59"/>
      <c r="B3971"/>
    </row>
    <row r="3972" spans="1:2">
      <c r="A3972" s="59"/>
      <c r="B3972"/>
    </row>
    <row r="3973" spans="1:2">
      <c r="A3973" s="59"/>
      <c r="B3973"/>
    </row>
    <row r="3974" spans="1:2">
      <c r="A3974" s="59"/>
      <c r="B3974"/>
    </row>
    <row r="3975" spans="1:2">
      <c r="A3975" s="59"/>
      <c r="B3975"/>
    </row>
    <row r="3976" spans="1:2">
      <c r="A3976" s="59"/>
      <c r="B3976"/>
    </row>
    <row r="3977" spans="1:2">
      <c r="A3977" s="59"/>
      <c r="B3977"/>
    </row>
    <row r="3978" spans="1:2">
      <c r="A3978" s="59"/>
      <c r="B3978"/>
    </row>
    <row r="3979" spans="1:2">
      <c r="A3979" s="59"/>
      <c r="B3979"/>
    </row>
    <row r="3980" spans="1:2">
      <c r="A3980" s="59"/>
      <c r="B3980"/>
    </row>
    <row r="3981" spans="1:2">
      <c r="A3981" s="59"/>
      <c r="B3981"/>
    </row>
    <row r="3982" spans="1:2">
      <c r="A3982" s="59"/>
      <c r="B3982"/>
    </row>
    <row r="3983" spans="1:2">
      <c r="A3983" s="59"/>
      <c r="B3983"/>
    </row>
    <row r="3984" spans="1:2">
      <c r="A3984" s="59"/>
      <c r="B3984"/>
    </row>
    <row r="3985" spans="1:2">
      <c r="A3985" s="59"/>
      <c r="B3985"/>
    </row>
    <row r="3986" spans="1:2">
      <c r="A3986" s="59"/>
      <c r="B3986"/>
    </row>
    <row r="3987" spans="1:2">
      <c r="A3987" s="59"/>
      <c r="B3987"/>
    </row>
    <row r="3988" spans="1:2">
      <c r="A3988" s="59"/>
      <c r="B3988"/>
    </row>
    <row r="3989" spans="1:2">
      <c r="A3989" s="59"/>
      <c r="B3989"/>
    </row>
    <row r="3990" spans="1:2">
      <c r="A3990" s="59"/>
      <c r="B3990"/>
    </row>
    <row r="3991" spans="1:2">
      <c r="A3991" s="59"/>
      <c r="B3991"/>
    </row>
    <row r="3992" spans="1:2">
      <c r="A3992" s="59"/>
      <c r="B3992"/>
    </row>
    <row r="3993" spans="1:2">
      <c r="A3993" s="59"/>
      <c r="B3993"/>
    </row>
    <row r="3994" spans="1:2">
      <c r="A3994" s="59"/>
      <c r="B3994"/>
    </row>
    <row r="3995" spans="1:2">
      <c r="A3995" s="59"/>
      <c r="B3995"/>
    </row>
    <row r="3996" spans="1:2">
      <c r="A3996" s="59"/>
      <c r="B3996"/>
    </row>
    <row r="3997" spans="1:2">
      <c r="A3997" s="59"/>
      <c r="B3997"/>
    </row>
    <row r="3998" spans="1:2">
      <c r="A3998" s="59"/>
      <c r="B3998"/>
    </row>
    <row r="3999" spans="1:2">
      <c r="A3999" s="59"/>
      <c r="B3999"/>
    </row>
    <row r="4000" spans="1:2">
      <c r="A4000" s="59"/>
      <c r="B4000"/>
    </row>
    <row r="4001" spans="1:2">
      <c r="A4001" s="59"/>
      <c r="B4001"/>
    </row>
    <row r="4002" spans="1:2">
      <c r="A4002" s="59"/>
      <c r="B4002"/>
    </row>
    <row r="4003" spans="1:2">
      <c r="A4003" s="59"/>
      <c r="B4003"/>
    </row>
    <row r="4004" spans="1:2">
      <c r="A4004" s="59"/>
      <c r="B4004"/>
    </row>
    <row r="4005" spans="1:2">
      <c r="A4005" s="59"/>
      <c r="B4005"/>
    </row>
    <row r="4006" spans="1:2">
      <c r="A4006" s="59"/>
      <c r="B4006"/>
    </row>
    <row r="4007" spans="1:2">
      <c r="A4007" s="59"/>
      <c r="B4007"/>
    </row>
    <row r="4008" spans="1:2">
      <c r="A4008" s="59"/>
      <c r="B4008"/>
    </row>
    <row r="4009" spans="1:2">
      <c r="A4009" s="59"/>
      <c r="B4009"/>
    </row>
    <row r="4010" spans="1:2">
      <c r="A4010" s="59"/>
      <c r="B4010"/>
    </row>
    <row r="4011" spans="1:2">
      <c r="A4011" s="59"/>
      <c r="B4011"/>
    </row>
    <row r="4012" spans="1:2">
      <c r="A4012" s="59"/>
      <c r="B4012"/>
    </row>
    <row r="4013" spans="1:2">
      <c r="A4013" s="59"/>
      <c r="B4013"/>
    </row>
    <row r="4014" spans="1:2">
      <c r="A4014" s="59"/>
      <c r="B4014"/>
    </row>
    <row r="4015" spans="1:2">
      <c r="A4015" s="59"/>
      <c r="B4015"/>
    </row>
    <row r="4016" spans="1:2">
      <c r="A4016" s="59"/>
      <c r="B4016"/>
    </row>
    <row r="4017" spans="1:2">
      <c r="A4017" s="59"/>
      <c r="B4017"/>
    </row>
    <row r="4018" spans="1:2">
      <c r="A4018" s="59"/>
      <c r="B4018"/>
    </row>
    <row r="4019" spans="1:2">
      <c r="A4019" s="59"/>
      <c r="B4019"/>
    </row>
    <row r="4020" spans="1:2">
      <c r="A4020" s="59"/>
      <c r="B4020"/>
    </row>
    <row r="4021" spans="1:2">
      <c r="A4021" s="59"/>
      <c r="B4021"/>
    </row>
    <row r="4022" spans="1:2">
      <c r="A4022" s="59"/>
      <c r="B4022"/>
    </row>
    <row r="4023" spans="1:2">
      <c r="A4023" s="59"/>
      <c r="B4023"/>
    </row>
    <row r="4024" spans="1:2">
      <c r="A4024" s="59"/>
      <c r="B4024"/>
    </row>
    <row r="4025" spans="1:2">
      <c r="A4025" s="59"/>
      <c r="B4025"/>
    </row>
    <row r="4026" spans="1:2">
      <c r="A4026" s="59"/>
      <c r="B4026"/>
    </row>
    <row r="4027" spans="1:2">
      <c r="A4027" s="59"/>
      <c r="B4027"/>
    </row>
    <row r="4028" spans="1:2">
      <c r="A4028" s="59"/>
      <c r="B4028"/>
    </row>
    <row r="4029" spans="1:2">
      <c r="A4029" s="59"/>
      <c r="B4029"/>
    </row>
    <row r="4030" spans="1:2">
      <c r="A4030" s="59"/>
      <c r="B4030"/>
    </row>
    <row r="4031" spans="1:2">
      <c r="A4031" s="59"/>
      <c r="B4031"/>
    </row>
    <row r="4032" spans="1:2">
      <c r="A4032" s="59"/>
      <c r="B4032"/>
    </row>
    <row r="4033" spans="1:2">
      <c r="A4033" s="59"/>
      <c r="B4033"/>
    </row>
    <row r="4034" spans="1:2">
      <c r="A4034" s="59"/>
      <c r="B4034"/>
    </row>
    <row r="4035" spans="1:2">
      <c r="A4035" s="59"/>
      <c r="B4035"/>
    </row>
    <row r="4036" spans="1:2">
      <c r="A4036" s="59"/>
      <c r="B4036"/>
    </row>
    <row r="4037" spans="1:2">
      <c r="A4037" s="59"/>
      <c r="B4037"/>
    </row>
    <row r="4038" spans="1:2">
      <c r="A4038" s="59"/>
      <c r="B4038"/>
    </row>
    <row r="4039" spans="1:2">
      <c r="A4039" s="59"/>
      <c r="B4039"/>
    </row>
    <row r="4040" spans="1:2">
      <c r="A4040" s="59"/>
      <c r="B4040"/>
    </row>
    <row r="4041" spans="1:2">
      <c r="A4041" s="59"/>
      <c r="B4041"/>
    </row>
    <row r="4042" spans="1:2">
      <c r="A4042" s="59"/>
      <c r="B4042"/>
    </row>
    <row r="4043" spans="1:2">
      <c r="A4043" s="59"/>
      <c r="B4043"/>
    </row>
    <row r="4044" spans="1:2">
      <c r="A4044" s="59"/>
      <c r="B4044"/>
    </row>
    <row r="4045" spans="1:2">
      <c r="A4045" s="59"/>
      <c r="B4045"/>
    </row>
    <row r="4046" spans="1:2">
      <c r="A4046" s="59"/>
      <c r="B4046"/>
    </row>
    <row r="4047" spans="1:2">
      <c r="A4047" s="59"/>
      <c r="B4047"/>
    </row>
    <row r="4048" spans="1:2">
      <c r="A4048" s="59"/>
      <c r="B4048"/>
    </row>
    <row r="4049" spans="1:2">
      <c r="A4049" s="59"/>
      <c r="B4049"/>
    </row>
    <row r="4050" spans="1:2">
      <c r="A4050" s="59"/>
      <c r="B4050"/>
    </row>
    <row r="4051" spans="1:2">
      <c r="A4051" s="59"/>
      <c r="B4051"/>
    </row>
    <row r="4052" spans="1:2">
      <c r="A4052" s="59"/>
      <c r="B4052"/>
    </row>
    <row r="4053" spans="1:2">
      <c r="A4053" s="59"/>
      <c r="B4053"/>
    </row>
    <row r="4054" spans="1:2">
      <c r="A4054" s="59"/>
      <c r="B4054"/>
    </row>
    <row r="4055" spans="1:2">
      <c r="A4055" s="59"/>
      <c r="B4055"/>
    </row>
    <row r="4056" spans="1:2">
      <c r="A4056" s="59"/>
      <c r="B4056"/>
    </row>
    <row r="4057" spans="1:2">
      <c r="A4057" s="59"/>
      <c r="B4057"/>
    </row>
    <row r="4058" spans="1:2">
      <c r="A4058" s="59"/>
      <c r="B4058"/>
    </row>
    <row r="4059" spans="1:2">
      <c r="A4059" s="59"/>
      <c r="B4059"/>
    </row>
    <row r="4060" spans="1:2">
      <c r="A4060" s="59"/>
      <c r="B4060"/>
    </row>
    <row r="4061" spans="1:2">
      <c r="A4061" s="59"/>
      <c r="B4061"/>
    </row>
    <row r="4062" spans="1:2">
      <c r="A4062" s="59"/>
      <c r="B4062"/>
    </row>
    <row r="4063" spans="1:2">
      <c r="A4063" s="59"/>
      <c r="B4063"/>
    </row>
    <row r="4064" spans="1:2">
      <c r="A4064" s="59"/>
      <c r="B4064"/>
    </row>
    <row r="4065" spans="1:2">
      <c r="A4065" s="59"/>
      <c r="B4065"/>
    </row>
    <row r="4066" spans="1:2">
      <c r="A4066" s="59"/>
      <c r="B4066"/>
    </row>
    <row r="4067" spans="1:2">
      <c r="A4067" s="59"/>
      <c r="B4067"/>
    </row>
    <row r="4068" spans="1:2">
      <c r="A4068" s="59"/>
      <c r="B4068"/>
    </row>
    <row r="4069" spans="1:2">
      <c r="A4069" s="59"/>
      <c r="B4069"/>
    </row>
    <row r="4070" spans="1:2">
      <c r="A4070" s="59"/>
      <c r="B4070"/>
    </row>
    <row r="4071" spans="1:2">
      <c r="A4071" s="59"/>
      <c r="B4071"/>
    </row>
    <row r="4072" spans="1:2">
      <c r="A4072" s="59"/>
      <c r="B4072"/>
    </row>
    <row r="4073" spans="1:2">
      <c r="A4073" s="59"/>
      <c r="B4073"/>
    </row>
    <row r="4074" spans="1:2">
      <c r="A4074" s="59"/>
      <c r="B4074"/>
    </row>
    <row r="4075" spans="1:2">
      <c r="A4075" s="59"/>
      <c r="B4075"/>
    </row>
    <row r="4076" spans="1:2">
      <c r="A4076" s="59"/>
      <c r="B4076"/>
    </row>
    <row r="4077" spans="1:2">
      <c r="A4077" s="59"/>
      <c r="B4077"/>
    </row>
    <row r="4078" spans="1:2">
      <c r="A4078" s="59"/>
      <c r="B4078"/>
    </row>
    <row r="4079" spans="1:2">
      <c r="A4079" s="59"/>
      <c r="B4079"/>
    </row>
    <row r="4080" spans="1:2">
      <c r="A4080" s="59"/>
      <c r="B4080"/>
    </row>
    <row r="4081" spans="1:2">
      <c r="A4081" s="59"/>
      <c r="B4081"/>
    </row>
    <row r="4082" spans="1:2">
      <c r="A4082" s="59"/>
      <c r="B4082"/>
    </row>
    <row r="4083" spans="1:2">
      <c r="A4083" s="59"/>
      <c r="B4083"/>
    </row>
    <row r="4084" spans="1:2">
      <c r="A4084" s="59"/>
      <c r="B4084"/>
    </row>
    <row r="4085" spans="1:2">
      <c r="A4085" s="59"/>
      <c r="B4085"/>
    </row>
    <row r="4086" spans="1:2">
      <c r="A4086" s="59"/>
      <c r="B4086"/>
    </row>
    <row r="4087" spans="1:2">
      <c r="A4087" s="59"/>
      <c r="B4087"/>
    </row>
    <row r="4088" spans="1:2">
      <c r="A4088" s="59"/>
      <c r="B4088"/>
    </row>
    <row r="4089" spans="1:2">
      <c r="A4089" s="59"/>
      <c r="B4089"/>
    </row>
    <row r="4090" spans="1:2">
      <c r="A4090" s="59"/>
      <c r="B4090"/>
    </row>
    <row r="4091" spans="1:2">
      <c r="A4091" s="59"/>
      <c r="B4091"/>
    </row>
    <row r="4092" spans="1:2">
      <c r="A4092" s="59"/>
      <c r="B4092"/>
    </row>
    <row r="4093" spans="1:2">
      <c r="A4093" s="59"/>
      <c r="B4093"/>
    </row>
    <row r="4094" spans="1:2">
      <c r="A4094" s="59"/>
      <c r="B4094"/>
    </row>
    <row r="4095" spans="1:2">
      <c r="A4095" s="59"/>
      <c r="B4095"/>
    </row>
    <row r="4096" spans="1:2">
      <c r="A4096" s="59"/>
      <c r="B4096"/>
    </row>
    <row r="4097" spans="1:2">
      <c r="A4097" s="59"/>
      <c r="B4097"/>
    </row>
    <row r="4098" spans="1:2">
      <c r="A4098" s="59"/>
      <c r="B4098"/>
    </row>
    <row r="4099" spans="1:2">
      <c r="A4099" s="59"/>
      <c r="B4099"/>
    </row>
    <row r="4100" spans="1:2">
      <c r="A4100" s="59"/>
      <c r="B4100"/>
    </row>
    <row r="4101" spans="1:2">
      <c r="A4101" s="59"/>
      <c r="B4101"/>
    </row>
    <row r="4102" spans="1:2">
      <c r="A4102" s="59"/>
      <c r="B4102"/>
    </row>
    <row r="4103" spans="1:2">
      <c r="A4103" s="59"/>
      <c r="B4103"/>
    </row>
    <row r="4104" spans="1:2">
      <c r="A4104" s="59"/>
      <c r="B4104"/>
    </row>
    <row r="4105" spans="1:2">
      <c r="A4105" s="59"/>
      <c r="B4105"/>
    </row>
    <row r="4106" spans="1:2">
      <c r="A4106" s="59"/>
      <c r="B4106"/>
    </row>
    <row r="4107" spans="1:2">
      <c r="A4107" s="59"/>
      <c r="B4107"/>
    </row>
    <row r="4108" spans="1:2">
      <c r="A4108" s="59"/>
      <c r="B4108"/>
    </row>
    <row r="4109" spans="1:2">
      <c r="A4109" s="59"/>
      <c r="B4109"/>
    </row>
    <row r="4110" spans="1:2">
      <c r="A4110" s="59"/>
      <c r="B4110"/>
    </row>
    <row r="4111" spans="1:2">
      <c r="A4111" s="59"/>
      <c r="B4111"/>
    </row>
    <row r="4112" spans="1:2">
      <c r="A4112" s="59"/>
      <c r="B4112"/>
    </row>
    <row r="4113" spans="1:2">
      <c r="A4113" s="59"/>
      <c r="B4113"/>
    </row>
    <row r="4114" spans="1:2">
      <c r="A4114" s="59"/>
      <c r="B4114"/>
    </row>
    <row r="4115" spans="1:2">
      <c r="A4115" s="59"/>
      <c r="B4115"/>
    </row>
    <row r="4116" spans="1:2">
      <c r="A4116" s="59"/>
      <c r="B4116"/>
    </row>
    <row r="4117" spans="1:2">
      <c r="A4117" s="59"/>
      <c r="B4117"/>
    </row>
    <row r="4118" spans="1:2">
      <c r="A4118" s="59"/>
      <c r="B4118"/>
    </row>
    <row r="4119" spans="1:2">
      <c r="A4119" s="59"/>
      <c r="B4119"/>
    </row>
    <row r="4120" spans="1:2">
      <c r="A4120" s="59"/>
      <c r="B4120"/>
    </row>
    <row r="4121" spans="1:2">
      <c r="A4121" s="59"/>
      <c r="B4121"/>
    </row>
    <row r="4122" spans="1:2">
      <c r="A4122" s="59"/>
      <c r="B4122"/>
    </row>
    <row r="4123" spans="1:2">
      <c r="A4123" s="59"/>
      <c r="B4123"/>
    </row>
    <row r="4124" spans="1:2">
      <c r="A4124" s="59"/>
      <c r="B4124"/>
    </row>
    <row r="4125" spans="1:2">
      <c r="A4125" s="59"/>
      <c r="B4125"/>
    </row>
    <row r="4126" spans="1:2">
      <c r="A4126" s="59"/>
      <c r="B4126"/>
    </row>
    <row r="4127" spans="1:2">
      <c r="A4127" s="59"/>
      <c r="B4127"/>
    </row>
    <row r="4128" spans="1:2">
      <c r="A4128" s="59"/>
      <c r="B4128"/>
    </row>
    <row r="4129" spans="1:2">
      <c r="A4129" s="59"/>
      <c r="B4129"/>
    </row>
    <row r="4130" spans="1:2">
      <c r="A4130" s="59"/>
      <c r="B4130"/>
    </row>
    <row r="4131" spans="1:2">
      <c r="A4131" s="59"/>
      <c r="B4131"/>
    </row>
    <row r="4132" spans="1:2">
      <c r="A4132" s="59"/>
      <c r="B4132"/>
    </row>
    <row r="4133" spans="1:2">
      <c r="A4133" s="59"/>
      <c r="B4133"/>
    </row>
    <row r="4134" spans="1:2">
      <c r="A4134" s="59"/>
      <c r="B4134"/>
    </row>
    <row r="4135" spans="1:2">
      <c r="A4135" s="59"/>
      <c r="B4135"/>
    </row>
    <row r="4136" spans="1:2">
      <c r="A4136" s="59"/>
      <c r="B4136"/>
    </row>
    <row r="4137" spans="1:2">
      <c r="A4137" s="59"/>
      <c r="B4137"/>
    </row>
    <row r="4138" spans="1:2">
      <c r="A4138" s="59"/>
      <c r="B4138"/>
    </row>
    <row r="4139" spans="1:2">
      <c r="A4139" s="59"/>
      <c r="B4139"/>
    </row>
    <row r="4140" spans="1:2">
      <c r="A4140" s="59"/>
      <c r="B4140"/>
    </row>
    <row r="4141" spans="1:2">
      <c r="A4141" s="59"/>
      <c r="B4141"/>
    </row>
    <row r="4142" spans="1:2">
      <c r="A4142" s="59"/>
      <c r="B4142"/>
    </row>
    <row r="4143" spans="1:2">
      <c r="A4143" s="59"/>
      <c r="B4143"/>
    </row>
    <row r="4144" spans="1:2">
      <c r="A4144" s="59"/>
      <c r="B4144"/>
    </row>
    <row r="4145" spans="1:2">
      <c r="A4145" s="59"/>
      <c r="B4145"/>
    </row>
    <row r="4146" spans="1:2">
      <c r="A4146" s="59"/>
      <c r="B4146"/>
    </row>
    <row r="4147" spans="1:2">
      <c r="A4147" s="59"/>
      <c r="B4147"/>
    </row>
    <row r="4148" spans="1:2">
      <c r="A4148" s="59"/>
      <c r="B4148"/>
    </row>
    <row r="4149" spans="1:2">
      <c r="A4149" s="59"/>
      <c r="B4149"/>
    </row>
    <row r="4150" spans="1:2">
      <c r="A4150" s="59"/>
      <c r="B4150"/>
    </row>
    <row r="4151" spans="1:2">
      <c r="A4151" s="59"/>
      <c r="B4151"/>
    </row>
    <row r="4152" spans="1:2">
      <c r="A4152" s="59"/>
      <c r="B4152"/>
    </row>
    <row r="4153" spans="1:2">
      <c r="A4153" s="59"/>
      <c r="B4153"/>
    </row>
    <row r="4154" spans="1:2">
      <c r="A4154" s="59"/>
      <c r="B4154"/>
    </row>
    <row r="4155" spans="1:2">
      <c r="A4155" s="59"/>
      <c r="B4155"/>
    </row>
    <row r="4156" spans="1:2">
      <c r="A4156" s="59"/>
      <c r="B4156"/>
    </row>
    <row r="4157" spans="1:2">
      <c r="A4157" s="59"/>
      <c r="B4157"/>
    </row>
    <row r="4158" spans="1:2">
      <c r="A4158" s="59"/>
      <c r="B4158"/>
    </row>
    <row r="4159" spans="1:2">
      <c r="A4159" s="59"/>
      <c r="B4159"/>
    </row>
    <row r="4160" spans="1:2">
      <c r="A4160" s="59"/>
      <c r="B4160"/>
    </row>
    <row r="4161" spans="1:2">
      <c r="A4161" s="59"/>
      <c r="B4161"/>
    </row>
    <row r="4162" spans="1:2">
      <c r="A4162" s="59"/>
      <c r="B4162"/>
    </row>
    <row r="4163" spans="1:2">
      <c r="A4163" s="59"/>
      <c r="B4163"/>
    </row>
    <row r="4164" spans="1:2">
      <c r="A4164" s="59"/>
      <c r="B4164"/>
    </row>
    <row r="4165" spans="1:2">
      <c r="A4165" s="59"/>
      <c r="B4165"/>
    </row>
    <row r="4166" spans="1:2">
      <c r="A4166" s="59"/>
      <c r="B4166"/>
    </row>
    <row r="4167" spans="1:2">
      <c r="A4167" s="59"/>
      <c r="B4167"/>
    </row>
    <row r="4168" spans="1:2">
      <c r="A4168" s="59"/>
      <c r="B4168"/>
    </row>
    <row r="4169" spans="1:2">
      <c r="A4169" s="59"/>
      <c r="B4169"/>
    </row>
    <row r="4170" spans="1:2">
      <c r="A4170" s="59"/>
      <c r="B4170"/>
    </row>
    <row r="4171" spans="1:2">
      <c r="A4171" s="59"/>
      <c r="B4171"/>
    </row>
    <row r="4172" spans="1:2">
      <c r="A4172" s="59"/>
      <c r="B4172"/>
    </row>
    <row r="4173" spans="1:2">
      <c r="A4173" s="59"/>
      <c r="B4173"/>
    </row>
    <row r="4174" spans="1:2">
      <c r="A4174" s="59"/>
      <c r="B4174"/>
    </row>
    <row r="4175" spans="1:2">
      <c r="A4175" s="59"/>
      <c r="B4175"/>
    </row>
    <row r="4176" spans="1:2">
      <c r="A4176" s="59"/>
      <c r="B4176"/>
    </row>
    <row r="4177" spans="1:2">
      <c r="A4177" s="59"/>
      <c r="B4177"/>
    </row>
    <row r="4178" spans="1:2">
      <c r="A4178" s="59"/>
      <c r="B4178"/>
    </row>
    <row r="4179" spans="1:2">
      <c r="A4179" s="59"/>
      <c r="B4179"/>
    </row>
    <row r="4180" spans="1:2">
      <c r="A4180" s="59"/>
      <c r="B4180"/>
    </row>
    <row r="4181" spans="1:2">
      <c r="A4181" s="59"/>
      <c r="B4181"/>
    </row>
    <row r="4182" spans="1:2">
      <c r="A4182" s="59"/>
      <c r="B4182"/>
    </row>
    <row r="4183" spans="1:2">
      <c r="A4183" s="59"/>
      <c r="B4183"/>
    </row>
    <row r="4184" spans="1:2">
      <c r="A4184" s="59"/>
      <c r="B4184"/>
    </row>
    <row r="4185" spans="1:2">
      <c r="A4185" s="59"/>
      <c r="B4185"/>
    </row>
    <row r="4186" spans="1:2">
      <c r="A4186" s="59"/>
      <c r="B4186"/>
    </row>
    <row r="4187" spans="1:2">
      <c r="A4187" s="59"/>
      <c r="B4187"/>
    </row>
    <row r="4188" spans="1:2">
      <c r="A4188" s="59"/>
      <c r="B4188"/>
    </row>
    <row r="4189" spans="1:2">
      <c r="A4189" s="59"/>
      <c r="B4189"/>
    </row>
    <row r="4190" spans="1:2">
      <c r="A4190" s="59"/>
      <c r="B4190"/>
    </row>
    <row r="4191" spans="1:2">
      <c r="A4191" s="59"/>
      <c r="B4191"/>
    </row>
    <row r="4192" spans="1:2">
      <c r="A4192" s="59"/>
      <c r="B4192"/>
    </row>
    <row r="4193" spans="1:2">
      <c r="A4193" s="59"/>
      <c r="B4193"/>
    </row>
    <row r="4194" spans="1:2">
      <c r="A4194" s="59"/>
      <c r="B4194"/>
    </row>
    <row r="4195" spans="1:2">
      <c r="A4195" s="59"/>
      <c r="B4195"/>
    </row>
    <row r="4196" spans="1:2">
      <c r="A4196" s="59"/>
      <c r="B4196"/>
    </row>
    <row r="4197" spans="1:2">
      <c r="A4197" s="59"/>
      <c r="B4197"/>
    </row>
    <row r="4198" spans="1:2">
      <c r="A4198" s="59"/>
      <c r="B4198"/>
    </row>
    <row r="4199" spans="1:2">
      <c r="A4199" s="59"/>
      <c r="B4199"/>
    </row>
    <row r="4200" spans="1:2">
      <c r="A4200" s="59"/>
      <c r="B4200"/>
    </row>
    <row r="4201" spans="1:2">
      <c r="A4201" s="59"/>
      <c r="B4201"/>
    </row>
    <row r="4202" spans="1:2">
      <c r="A4202" s="59"/>
      <c r="B4202"/>
    </row>
    <row r="4203" spans="1:2">
      <c r="A4203" s="59"/>
      <c r="B4203"/>
    </row>
    <row r="4204" spans="1:2">
      <c r="A4204" s="59"/>
      <c r="B4204"/>
    </row>
    <row r="4205" spans="1:2">
      <c r="A4205" s="59"/>
      <c r="B4205"/>
    </row>
    <row r="4206" spans="1:2">
      <c r="A4206" s="59"/>
      <c r="B4206"/>
    </row>
    <row r="4207" spans="1:2">
      <c r="A4207" s="59"/>
      <c r="B4207"/>
    </row>
    <row r="4208" spans="1:2">
      <c r="A4208" s="59"/>
      <c r="B4208"/>
    </row>
    <row r="4209" spans="1:2">
      <c r="A4209" s="59"/>
      <c r="B4209"/>
    </row>
    <row r="4210" spans="1:2">
      <c r="A4210" s="59"/>
      <c r="B4210"/>
    </row>
    <row r="4211" spans="1:2">
      <c r="A4211" s="59"/>
      <c r="B4211"/>
    </row>
    <row r="4212" spans="1:2">
      <c r="A4212" s="59"/>
      <c r="B4212"/>
    </row>
    <row r="4213" spans="1:2">
      <c r="A4213" s="59"/>
      <c r="B4213"/>
    </row>
    <row r="4214" spans="1:2">
      <c r="A4214" s="59"/>
      <c r="B4214"/>
    </row>
    <row r="4215" spans="1:2">
      <c r="A4215" s="59"/>
      <c r="B4215"/>
    </row>
    <row r="4216" spans="1:2">
      <c r="A4216" s="59"/>
      <c r="B4216"/>
    </row>
    <row r="4217" spans="1:2">
      <c r="A4217" s="59"/>
      <c r="B4217"/>
    </row>
    <row r="4218" spans="1:2">
      <c r="A4218" s="59"/>
      <c r="B4218"/>
    </row>
    <row r="4219" spans="1:2">
      <c r="A4219" s="59"/>
      <c r="B4219"/>
    </row>
    <row r="4220" spans="1:2">
      <c r="A4220" s="59"/>
      <c r="B4220"/>
    </row>
    <row r="4221" spans="1:2">
      <c r="A4221" s="59"/>
      <c r="B4221"/>
    </row>
    <row r="4222" spans="1:2">
      <c r="A4222" s="59"/>
      <c r="B4222"/>
    </row>
    <row r="4223" spans="1:2">
      <c r="A4223" s="59"/>
      <c r="B4223"/>
    </row>
    <row r="4224" spans="1:2">
      <c r="A4224" s="59"/>
      <c r="B4224"/>
    </row>
    <row r="4225" spans="1:2">
      <c r="A4225" s="59"/>
      <c r="B4225"/>
    </row>
    <row r="4226" spans="1:2">
      <c r="A4226" s="59"/>
      <c r="B4226"/>
    </row>
    <row r="4227" spans="1:2">
      <c r="A4227" s="59"/>
      <c r="B4227"/>
    </row>
    <row r="4228" spans="1:2">
      <c r="A4228" s="59"/>
      <c r="B4228"/>
    </row>
    <row r="4229" spans="1:2">
      <c r="A4229" s="59"/>
      <c r="B4229"/>
    </row>
    <row r="4230" spans="1:2">
      <c r="A4230" s="59"/>
      <c r="B4230"/>
    </row>
    <row r="4231" spans="1:2">
      <c r="A4231" s="59"/>
      <c r="B4231"/>
    </row>
    <row r="4232" spans="1:2">
      <c r="A4232" s="59"/>
      <c r="B4232"/>
    </row>
    <row r="4233" spans="1:2">
      <c r="A4233" s="59"/>
      <c r="B4233"/>
    </row>
    <row r="4234" spans="1:2">
      <c r="A4234" s="59"/>
      <c r="B4234"/>
    </row>
    <row r="4235" spans="1:2">
      <c r="A4235" s="59"/>
      <c r="B4235"/>
    </row>
    <row r="4236" spans="1:2">
      <c r="A4236" s="59"/>
      <c r="B4236"/>
    </row>
    <row r="4237" spans="1:2">
      <c r="A4237" s="59"/>
      <c r="B4237"/>
    </row>
    <row r="4238" spans="1:2">
      <c r="A4238" s="59"/>
      <c r="B4238"/>
    </row>
    <row r="4239" spans="1:2">
      <c r="A4239" s="59"/>
      <c r="B4239"/>
    </row>
    <row r="4240" spans="1:2">
      <c r="A4240" s="59"/>
      <c r="B4240"/>
    </row>
    <row r="4241" spans="1:2">
      <c r="A4241" s="59"/>
      <c r="B4241"/>
    </row>
    <row r="4242" spans="1:2">
      <c r="A4242" s="59"/>
      <c r="B4242"/>
    </row>
    <row r="4243" spans="1:2">
      <c r="A4243" s="59"/>
      <c r="B4243"/>
    </row>
    <row r="4244" spans="1:2">
      <c r="A4244" s="59"/>
      <c r="B4244"/>
    </row>
    <row r="4245" spans="1:2">
      <c r="A4245" s="59"/>
      <c r="B4245"/>
    </row>
    <row r="4246" spans="1:2">
      <c r="A4246" s="59"/>
      <c r="B4246"/>
    </row>
    <row r="4247" spans="1:2">
      <c r="A4247" s="59"/>
      <c r="B4247"/>
    </row>
    <row r="4248" spans="1:2">
      <c r="A4248" s="59"/>
      <c r="B4248"/>
    </row>
    <row r="4249" spans="1:2">
      <c r="A4249" s="59"/>
      <c r="B4249"/>
    </row>
    <row r="4250" spans="1:2">
      <c r="A4250" s="59"/>
      <c r="B4250"/>
    </row>
    <row r="4251" spans="1:2">
      <c r="A4251" s="59"/>
      <c r="B4251"/>
    </row>
    <row r="4252" spans="1:2">
      <c r="A4252" s="59"/>
      <c r="B4252"/>
    </row>
    <row r="4253" spans="1:2">
      <c r="A4253" s="59"/>
      <c r="B4253"/>
    </row>
    <row r="4254" spans="1:2">
      <c r="A4254" s="59"/>
      <c r="B4254"/>
    </row>
    <row r="4255" spans="1:2">
      <c r="A4255" s="59"/>
      <c r="B4255"/>
    </row>
    <row r="4256" spans="1:2">
      <c r="A4256" s="59"/>
      <c r="B4256"/>
    </row>
    <row r="4257" spans="1:2">
      <c r="A4257" s="59"/>
      <c r="B4257"/>
    </row>
    <row r="4258" spans="1:2">
      <c r="A4258" s="59"/>
      <c r="B4258"/>
    </row>
    <row r="4259" spans="1:2">
      <c r="A4259" s="59"/>
      <c r="B4259"/>
    </row>
    <row r="4260" spans="1:2">
      <c r="A4260" s="59"/>
      <c r="B4260"/>
    </row>
    <row r="4261" spans="1:2">
      <c r="A4261" s="59"/>
      <c r="B4261"/>
    </row>
    <row r="4262" spans="1:2">
      <c r="A4262" s="59"/>
      <c r="B4262"/>
    </row>
    <row r="4263" spans="1:2">
      <c r="A4263" s="59"/>
      <c r="B4263"/>
    </row>
    <row r="4264" spans="1:2">
      <c r="A4264" s="59"/>
      <c r="B4264"/>
    </row>
    <row r="4265" spans="1:2">
      <c r="A4265" s="59"/>
      <c r="B4265"/>
    </row>
    <row r="4266" spans="1:2">
      <c r="A4266" s="59"/>
      <c r="B4266"/>
    </row>
    <row r="4267" spans="1:2">
      <c r="A4267" s="59"/>
      <c r="B4267"/>
    </row>
    <row r="4268" spans="1:2">
      <c r="A4268" s="59"/>
      <c r="B4268"/>
    </row>
    <row r="4269" spans="1:2">
      <c r="A4269" s="59"/>
      <c r="B4269"/>
    </row>
    <row r="4270" spans="1:2">
      <c r="A4270" s="59"/>
      <c r="B4270"/>
    </row>
    <row r="4271" spans="1:2">
      <c r="A4271" s="59"/>
      <c r="B4271"/>
    </row>
    <row r="4272" spans="1:2">
      <c r="A4272" s="59"/>
      <c r="B4272"/>
    </row>
    <row r="4273" spans="1:2">
      <c r="A4273" s="59"/>
      <c r="B4273"/>
    </row>
    <row r="4274" spans="1:2">
      <c r="A4274" s="59"/>
      <c r="B4274"/>
    </row>
    <row r="4275" spans="1:2">
      <c r="A4275" s="59"/>
      <c r="B4275"/>
    </row>
    <row r="4276" spans="1:2">
      <c r="A4276" s="59"/>
      <c r="B4276"/>
    </row>
    <row r="4277" spans="1:2">
      <c r="A4277" s="59"/>
      <c r="B4277"/>
    </row>
    <row r="4278" spans="1:2">
      <c r="A4278" s="59"/>
      <c r="B4278"/>
    </row>
    <row r="4279" spans="1:2">
      <c r="A4279" s="59"/>
      <c r="B4279"/>
    </row>
    <row r="4280" spans="1:2">
      <c r="A4280" s="59"/>
      <c r="B4280"/>
    </row>
    <row r="4281" spans="1:2">
      <c r="A4281" s="59"/>
      <c r="B4281"/>
    </row>
    <row r="4282" spans="1:2">
      <c r="A4282" s="59"/>
      <c r="B4282"/>
    </row>
    <row r="4283" spans="1:2">
      <c r="A4283" s="59"/>
      <c r="B4283"/>
    </row>
    <row r="4284" spans="1:2">
      <c r="A4284" s="59"/>
      <c r="B4284"/>
    </row>
    <row r="4285" spans="1:2">
      <c r="A4285" s="59"/>
      <c r="B4285"/>
    </row>
    <row r="4286" spans="1:2">
      <c r="A4286" s="59"/>
      <c r="B4286"/>
    </row>
    <row r="4287" spans="1:2">
      <c r="A4287" s="59"/>
      <c r="B4287"/>
    </row>
    <row r="4288" spans="1:2">
      <c r="A4288" s="59"/>
      <c r="B4288"/>
    </row>
    <row r="4289" spans="1:2">
      <c r="A4289" s="59"/>
      <c r="B4289"/>
    </row>
    <row r="4290" spans="1:2">
      <c r="A4290" s="59"/>
      <c r="B4290"/>
    </row>
    <row r="4291" spans="1:2">
      <c r="A4291" s="59"/>
      <c r="B4291"/>
    </row>
    <row r="4292" spans="1:2">
      <c r="A4292" s="59"/>
      <c r="B4292"/>
    </row>
    <row r="4293" spans="1:2">
      <c r="A4293" s="59"/>
      <c r="B4293"/>
    </row>
    <row r="4294" spans="1:2">
      <c r="A4294" s="59"/>
      <c r="B4294"/>
    </row>
    <row r="4295" spans="1:2">
      <c r="A4295" s="59"/>
      <c r="B4295"/>
    </row>
    <row r="4296" spans="1:2">
      <c r="A4296" s="59"/>
      <c r="B4296"/>
    </row>
    <row r="4297" spans="1:2">
      <c r="A4297" s="59"/>
      <c r="B4297"/>
    </row>
    <row r="4298" spans="1:2">
      <c r="A4298" s="59"/>
      <c r="B4298"/>
    </row>
    <row r="4299" spans="1:2">
      <c r="A4299" s="59"/>
      <c r="B4299"/>
    </row>
    <row r="4300" spans="1:2">
      <c r="A4300" s="59"/>
      <c r="B4300"/>
    </row>
    <row r="4301" spans="1:2">
      <c r="A4301" s="59"/>
      <c r="B4301"/>
    </row>
    <row r="4302" spans="1:2">
      <c r="A4302" s="59"/>
      <c r="B4302"/>
    </row>
    <row r="4303" spans="1:2">
      <c r="A4303" s="59"/>
      <c r="B4303"/>
    </row>
    <row r="4304" spans="1:2">
      <c r="A4304" s="59"/>
      <c r="B4304"/>
    </row>
    <row r="4305" spans="1:2">
      <c r="A4305" s="59"/>
      <c r="B4305"/>
    </row>
    <row r="4306" spans="1:2">
      <c r="A4306" s="59"/>
      <c r="B4306"/>
    </row>
    <row r="4307" spans="1:2">
      <c r="A4307" s="59"/>
      <c r="B4307"/>
    </row>
    <row r="4308" spans="1:2">
      <c r="A4308" s="59"/>
      <c r="B4308"/>
    </row>
    <row r="4309" spans="1:2">
      <c r="A4309" s="59"/>
      <c r="B4309"/>
    </row>
    <row r="4310" spans="1:2">
      <c r="A4310" s="59"/>
      <c r="B4310"/>
    </row>
    <row r="4311" spans="1:2">
      <c r="A4311" s="59"/>
      <c r="B4311"/>
    </row>
    <row r="4312" spans="1:2">
      <c r="A4312" s="59"/>
      <c r="B4312"/>
    </row>
    <row r="4313" spans="1:2">
      <c r="A4313" s="59"/>
      <c r="B4313"/>
    </row>
    <row r="4314" spans="1:2">
      <c r="A4314" s="59"/>
      <c r="B4314"/>
    </row>
    <row r="4315" spans="1:2">
      <c r="A4315" s="59"/>
      <c r="B4315"/>
    </row>
    <row r="4316" spans="1:2">
      <c r="A4316" s="59"/>
      <c r="B4316"/>
    </row>
    <row r="4317" spans="1:2">
      <c r="A4317" s="59"/>
      <c r="B4317"/>
    </row>
    <row r="4318" spans="1:2">
      <c r="A4318" s="59"/>
      <c r="B4318"/>
    </row>
    <row r="4319" spans="1:2">
      <c r="A4319" s="59"/>
      <c r="B4319"/>
    </row>
    <row r="4320" spans="1:2">
      <c r="A4320" s="59"/>
      <c r="B4320"/>
    </row>
    <row r="4321" spans="1:2">
      <c r="A4321" s="59"/>
      <c r="B4321"/>
    </row>
    <row r="4322" spans="1:2">
      <c r="A4322" s="59"/>
      <c r="B4322"/>
    </row>
    <row r="4323" spans="1:2">
      <c r="A4323" s="59"/>
      <c r="B4323"/>
    </row>
    <row r="4324" spans="1:2">
      <c r="A4324" s="59"/>
      <c r="B4324"/>
    </row>
    <row r="4325" spans="1:2">
      <c r="A4325" s="59"/>
      <c r="B4325"/>
    </row>
    <row r="4326" spans="1:2">
      <c r="A4326" s="59"/>
      <c r="B4326"/>
    </row>
    <row r="4327" spans="1:2">
      <c r="A4327" s="59"/>
      <c r="B4327"/>
    </row>
    <row r="4328" spans="1:2">
      <c r="A4328" s="59"/>
      <c r="B4328"/>
    </row>
    <row r="4329" spans="1:2">
      <c r="A4329" s="59"/>
      <c r="B4329"/>
    </row>
    <row r="4330" spans="1:2">
      <c r="A4330" s="59"/>
      <c r="B4330"/>
    </row>
    <row r="4331" spans="1:2">
      <c r="A4331" s="59"/>
      <c r="B4331"/>
    </row>
    <row r="4332" spans="1:2">
      <c r="A4332" s="59"/>
      <c r="B4332"/>
    </row>
    <row r="4333" spans="1:2">
      <c r="A4333" s="59"/>
      <c r="B4333"/>
    </row>
    <row r="4334" spans="1:2">
      <c r="A4334" s="59"/>
      <c r="B4334"/>
    </row>
    <row r="4335" spans="1:2">
      <c r="A4335" s="59"/>
      <c r="B4335"/>
    </row>
    <row r="4336" spans="1:2">
      <c r="A4336" s="59"/>
      <c r="B4336"/>
    </row>
    <row r="4337" spans="1:2">
      <c r="A4337" s="59"/>
      <c r="B4337"/>
    </row>
    <row r="4338" spans="1:2">
      <c r="A4338" s="59"/>
      <c r="B4338"/>
    </row>
    <row r="4339" spans="1:2">
      <c r="A4339" s="59"/>
      <c r="B4339"/>
    </row>
    <row r="4340" spans="1:2">
      <c r="A4340" s="59"/>
      <c r="B4340"/>
    </row>
    <row r="4341" spans="1:2">
      <c r="A4341" s="59"/>
      <c r="B4341"/>
    </row>
    <row r="4342" spans="1:2">
      <c r="A4342" s="59"/>
      <c r="B4342"/>
    </row>
    <row r="4343" spans="1:2">
      <c r="A4343" s="59"/>
      <c r="B4343"/>
    </row>
    <row r="4344" spans="1:2">
      <c r="A4344" s="59"/>
      <c r="B4344"/>
    </row>
    <row r="4345" spans="1:2">
      <c r="A4345" s="59"/>
      <c r="B4345"/>
    </row>
    <row r="4346" spans="1:2">
      <c r="A4346" s="59"/>
      <c r="B4346"/>
    </row>
    <row r="4347" spans="1:2">
      <c r="A4347" s="59"/>
      <c r="B4347"/>
    </row>
    <row r="4348" spans="1:2">
      <c r="A4348" s="59"/>
      <c r="B4348"/>
    </row>
    <row r="4349" spans="1:2">
      <c r="A4349" s="59"/>
      <c r="B4349"/>
    </row>
    <row r="4350" spans="1:2">
      <c r="A4350" s="59"/>
      <c r="B4350"/>
    </row>
    <row r="4351" spans="1:2">
      <c r="A4351" s="59"/>
      <c r="B4351"/>
    </row>
    <row r="4352" spans="1:2">
      <c r="A4352" s="59"/>
      <c r="B4352"/>
    </row>
    <row r="4353" spans="1:2">
      <c r="A4353" s="59"/>
      <c r="B4353"/>
    </row>
    <row r="4354" spans="1:2">
      <c r="A4354" s="59"/>
      <c r="B4354"/>
    </row>
    <row r="4355" spans="1:2">
      <c r="A4355" s="59"/>
      <c r="B4355"/>
    </row>
    <row r="4356" spans="1:2">
      <c r="A4356" s="59"/>
      <c r="B4356"/>
    </row>
    <row r="4357" spans="1:2">
      <c r="A4357" s="59"/>
      <c r="B4357"/>
    </row>
    <row r="4358" spans="1:2">
      <c r="A4358" s="59"/>
      <c r="B4358"/>
    </row>
    <row r="4359" spans="1:2">
      <c r="A4359" s="59"/>
      <c r="B4359"/>
    </row>
    <row r="4360" spans="1:2">
      <c r="A4360" s="59"/>
      <c r="B4360"/>
    </row>
    <row r="4361" spans="1:2">
      <c r="A4361" s="59"/>
      <c r="B4361"/>
    </row>
    <row r="4362" spans="1:2">
      <c r="A4362" s="59"/>
      <c r="B4362"/>
    </row>
    <row r="4363" spans="1:2">
      <c r="A4363" s="59"/>
      <c r="B4363"/>
    </row>
    <row r="4364" spans="1:2">
      <c r="A4364" s="59"/>
      <c r="B4364"/>
    </row>
    <row r="4365" spans="1:2">
      <c r="A4365" s="59"/>
      <c r="B4365"/>
    </row>
    <row r="4366" spans="1:2">
      <c r="A4366" s="59"/>
      <c r="B4366"/>
    </row>
    <row r="4367" spans="1:2">
      <c r="A4367" s="59"/>
      <c r="B4367"/>
    </row>
    <row r="4368" spans="1:2">
      <c r="A4368" s="59"/>
      <c r="B4368"/>
    </row>
    <row r="4369" spans="1:2">
      <c r="A4369" s="59"/>
      <c r="B4369"/>
    </row>
    <row r="4370" spans="1:2">
      <c r="A4370" s="59"/>
      <c r="B4370"/>
    </row>
    <row r="4371" spans="1:2">
      <c r="A4371" s="59"/>
      <c r="B4371"/>
    </row>
    <row r="4372" spans="1:2">
      <c r="A4372" s="59"/>
      <c r="B4372"/>
    </row>
    <row r="4373" spans="1:2">
      <c r="A4373" s="59"/>
      <c r="B4373"/>
    </row>
    <row r="4374" spans="1:2">
      <c r="A4374" s="59"/>
      <c r="B4374"/>
    </row>
    <row r="4375" spans="1:2">
      <c r="A4375" s="59"/>
      <c r="B4375"/>
    </row>
    <row r="4376" spans="1:2">
      <c r="A4376" s="59"/>
      <c r="B4376"/>
    </row>
    <row r="4377" spans="1:2">
      <c r="A4377" s="59"/>
      <c r="B4377"/>
    </row>
    <row r="4378" spans="1:2">
      <c r="A4378" s="59"/>
      <c r="B4378"/>
    </row>
    <row r="4379" spans="1:2">
      <c r="A4379" s="59"/>
      <c r="B4379"/>
    </row>
    <row r="4380" spans="1:2">
      <c r="A4380" s="59"/>
      <c r="B4380"/>
    </row>
    <row r="4381" spans="1:2">
      <c r="A4381" s="59"/>
      <c r="B4381"/>
    </row>
    <row r="4382" spans="1:2">
      <c r="A4382" s="59"/>
      <c r="B4382"/>
    </row>
    <row r="4383" spans="1:2">
      <c r="A4383" s="59"/>
      <c r="B4383"/>
    </row>
    <row r="4384" spans="1:2">
      <c r="A4384" s="59"/>
      <c r="B4384"/>
    </row>
    <row r="4385" spans="1:2">
      <c r="A4385" s="59"/>
      <c r="B4385"/>
    </row>
    <row r="4386" spans="1:2">
      <c r="A4386" s="59"/>
      <c r="B4386"/>
    </row>
    <row r="4387" spans="1:2">
      <c r="A4387" s="59"/>
      <c r="B4387"/>
    </row>
    <row r="4388" spans="1:2">
      <c r="A4388" s="59"/>
      <c r="B4388"/>
    </row>
    <row r="4389" spans="1:2">
      <c r="A4389" s="59"/>
      <c r="B4389"/>
    </row>
    <row r="4390" spans="1:2">
      <c r="A4390" s="59"/>
      <c r="B4390"/>
    </row>
    <row r="4391" spans="1:2">
      <c r="A4391" s="59"/>
      <c r="B4391"/>
    </row>
    <row r="4392" spans="1:2">
      <c r="A4392" s="59"/>
      <c r="B4392"/>
    </row>
    <row r="4393" spans="1:2">
      <c r="A4393" s="59"/>
      <c r="B4393"/>
    </row>
    <row r="4394" spans="1:2">
      <c r="A4394" s="59"/>
      <c r="B4394"/>
    </row>
    <row r="4395" spans="1:2">
      <c r="A4395" s="59"/>
      <c r="B4395"/>
    </row>
    <row r="4396" spans="1:2">
      <c r="A4396" s="59"/>
      <c r="B4396"/>
    </row>
    <row r="4397" spans="1:2">
      <c r="A4397" s="59"/>
      <c r="B4397"/>
    </row>
    <row r="4398" spans="1:2">
      <c r="A4398" s="59"/>
      <c r="B4398"/>
    </row>
    <row r="4399" spans="1:2">
      <c r="A4399" s="59"/>
      <c r="B4399"/>
    </row>
    <row r="4400" spans="1:2">
      <c r="A4400" s="59"/>
      <c r="B4400"/>
    </row>
    <row r="4401" spans="1:2">
      <c r="A4401" s="59"/>
      <c r="B4401"/>
    </row>
    <row r="4402" spans="1:2">
      <c r="A4402" s="59"/>
      <c r="B4402"/>
    </row>
    <row r="4403" spans="1:2">
      <c r="A4403" s="59"/>
      <c r="B4403"/>
    </row>
    <row r="4404" spans="1:2">
      <c r="A4404" s="59"/>
      <c r="B4404"/>
    </row>
    <row r="4405" spans="1:2">
      <c r="A4405" s="59"/>
      <c r="B4405"/>
    </row>
    <row r="4406" spans="1:2">
      <c r="A4406" s="59"/>
      <c r="B4406"/>
    </row>
    <row r="4407" spans="1:2">
      <c r="A4407" s="59"/>
      <c r="B4407"/>
    </row>
    <row r="4408" spans="1:2">
      <c r="A4408" s="59"/>
      <c r="B4408"/>
    </row>
    <row r="4409" spans="1:2">
      <c r="A4409" s="59"/>
      <c r="B4409"/>
    </row>
    <row r="4410" spans="1:2">
      <c r="A4410" s="59"/>
      <c r="B4410"/>
    </row>
    <row r="4411" spans="1:2">
      <c r="A4411" s="59"/>
      <c r="B4411"/>
    </row>
    <row r="4412" spans="1:2">
      <c r="A4412" s="59"/>
      <c r="B4412"/>
    </row>
    <row r="4413" spans="1:2">
      <c r="A4413" s="59"/>
      <c r="B4413"/>
    </row>
    <row r="4414" spans="1:2">
      <c r="A4414" s="59"/>
      <c r="B4414"/>
    </row>
    <row r="4415" spans="1:2">
      <c r="A4415" s="59"/>
      <c r="B4415"/>
    </row>
    <row r="4416" spans="1:2">
      <c r="A4416" s="59"/>
      <c r="B4416"/>
    </row>
    <row r="4417" spans="1:2">
      <c r="A4417" s="59"/>
      <c r="B4417"/>
    </row>
    <row r="4418" spans="1:2">
      <c r="A4418" s="59"/>
      <c r="B4418"/>
    </row>
    <row r="4419" spans="1:2">
      <c r="A4419" s="59"/>
      <c r="B4419"/>
    </row>
    <row r="4420" spans="1:2">
      <c r="A4420" s="59"/>
      <c r="B4420"/>
    </row>
    <row r="4421" spans="1:2">
      <c r="A4421" s="59"/>
      <c r="B4421"/>
    </row>
    <row r="4422" spans="1:2">
      <c r="A4422" s="59"/>
      <c r="B4422"/>
    </row>
    <row r="4423" spans="1:2">
      <c r="A4423" s="59"/>
      <c r="B4423"/>
    </row>
    <row r="4424" spans="1:2">
      <c r="A4424" s="59"/>
      <c r="B4424"/>
    </row>
    <row r="4425" spans="1:2">
      <c r="A4425" s="59"/>
      <c r="B4425"/>
    </row>
    <row r="4426" spans="1:2">
      <c r="A4426" s="59"/>
      <c r="B4426"/>
    </row>
    <row r="4427" spans="1:2">
      <c r="A4427" s="59"/>
      <c r="B4427"/>
    </row>
    <row r="4428" spans="1:2">
      <c r="A4428" s="59"/>
      <c r="B4428"/>
    </row>
    <row r="4429" spans="1:2">
      <c r="A4429" s="59"/>
      <c r="B4429"/>
    </row>
    <row r="4430" spans="1:2">
      <c r="A4430" s="59"/>
      <c r="B4430"/>
    </row>
    <row r="4431" spans="1:2">
      <c r="A4431" s="59"/>
      <c r="B4431"/>
    </row>
    <row r="4432" spans="1:2">
      <c r="A4432" s="59"/>
      <c r="B4432"/>
    </row>
    <row r="4433" spans="1:2">
      <c r="A4433" s="59"/>
      <c r="B4433"/>
    </row>
    <row r="4434" spans="1:2">
      <c r="A4434" s="59"/>
      <c r="B4434"/>
    </row>
    <row r="4435" spans="1:2">
      <c r="A4435" s="59"/>
      <c r="B4435"/>
    </row>
    <row r="4436" spans="1:2">
      <c r="A4436" s="59"/>
      <c r="B4436"/>
    </row>
    <row r="4437" spans="1:2">
      <c r="A4437" s="59"/>
      <c r="B4437"/>
    </row>
    <row r="4438" spans="1:2">
      <c r="A4438" s="59"/>
      <c r="B4438"/>
    </row>
    <row r="4439" spans="1:2">
      <c r="A4439" s="59"/>
      <c r="B4439"/>
    </row>
    <row r="4440" spans="1:2">
      <c r="A4440" s="59"/>
      <c r="B4440"/>
    </row>
    <row r="4441" spans="1:2">
      <c r="A4441" s="59"/>
      <c r="B4441"/>
    </row>
    <row r="4442" spans="1:2">
      <c r="A4442" s="59"/>
      <c r="B4442"/>
    </row>
    <row r="4443" spans="1:2">
      <c r="A4443" s="59"/>
      <c r="B4443"/>
    </row>
    <row r="4444" spans="1:2">
      <c r="A4444" s="59"/>
      <c r="B4444"/>
    </row>
    <row r="4445" spans="1:2">
      <c r="A4445" s="59"/>
      <c r="B4445"/>
    </row>
    <row r="4446" spans="1:2">
      <c r="A4446" s="59"/>
      <c r="B4446"/>
    </row>
    <row r="4447" spans="1:2">
      <c r="A4447" s="59"/>
      <c r="B4447"/>
    </row>
    <row r="4448" spans="1:2">
      <c r="A4448" s="59"/>
      <c r="B4448"/>
    </row>
    <row r="4449" spans="1:2">
      <c r="A4449" s="59"/>
      <c r="B4449"/>
    </row>
    <row r="4450" spans="1:2">
      <c r="A4450" s="59"/>
      <c r="B4450"/>
    </row>
    <row r="4451" spans="1:2">
      <c r="A4451" s="59"/>
      <c r="B4451"/>
    </row>
    <row r="4452" spans="1:2">
      <c r="A4452" s="59"/>
      <c r="B4452"/>
    </row>
    <row r="4453" spans="1:2">
      <c r="A4453" s="59"/>
      <c r="B4453"/>
    </row>
    <row r="4454" spans="1:2">
      <c r="A4454" s="59"/>
      <c r="B4454"/>
    </row>
    <row r="4455" spans="1:2">
      <c r="A4455" s="59"/>
      <c r="B4455"/>
    </row>
    <row r="4456" spans="1:2">
      <c r="A4456" s="59"/>
      <c r="B4456"/>
    </row>
    <row r="4457" spans="1:2">
      <c r="A4457" s="59"/>
      <c r="B4457"/>
    </row>
    <row r="4458" spans="1:2">
      <c r="A4458" s="59"/>
      <c r="B4458"/>
    </row>
    <row r="4459" spans="1:2">
      <c r="A4459" s="59"/>
      <c r="B4459"/>
    </row>
    <row r="4460" spans="1:2">
      <c r="A4460" s="59"/>
      <c r="B4460"/>
    </row>
    <row r="4461" spans="1:2">
      <c r="A4461" s="59"/>
      <c r="B4461"/>
    </row>
    <row r="4462" spans="1:2">
      <c r="A4462" s="59"/>
      <c r="B4462"/>
    </row>
    <row r="4463" spans="1:2">
      <c r="A4463" s="59"/>
      <c r="B4463"/>
    </row>
    <row r="4464" spans="1:2">
      <c r="A4464" s="59"/>
      <c r="B4464"/>
    </row>
    <row r="4465" spans="1:2">
      <c r="A4465" s="59"/>
      <c r="B4465"/>
    </row>
    <row r="4466" spans="1:2">
      <c r="A4466" s="59"/>
      <c r="B4466"/>
    </row>
    <row r="4467" spans="1:2">
      <c r="A4467" s="59"/>
      <c r="B4467"/>
    </row>
    <row r="4468" spans="1:2">
      <c r="A4468" s="59"/>
      <c r="B4468"/>
    </row>
    <row r="4469" spans="1:2">
      <c r="A4469" s="59"/>
      <c r="B4469"/>
    </row>
    <row r="4470" spans="1:2">
      <c r="A4470" s="59"/>
      <c r="B4470"/>
    </row>
    <row r="4471" spans="1:2">
      <c r="A4471" s="59"/>
      <c r="B4471"/>
    </row>
    <row r="4472" spans="1:2">
      <c r="A4472" s="59"/>
      <c r="B4472"/>
    </row>
    <row r="4473" spans="1:2">
      <c r="A4473" s="59"/>
      <c r="B4473"/>
    </row>
    <row r="4474" spans="1:2">
      <c r="A4474" s="59"/>
      <c r="B4474"/>
    </row>
    <row r="4475" spans="1:2">
      <c r="A4475" s="59"/>
      <c r="B4475"/>
    </row>
    <row r="4476" spans="1:2">
      <c r="A4476" s="59"/>
      <c r="B4476"/>
    </row>
    <row r="4477" spans="1:2">
      <c r="A4477" s="59"/>
      <c r="B4477"/>
    </row>
    <row r="4478" spans="1:2">
      <c r="A4478" s="59"/>
      <c r="B4478"/>
    </row>
    <row r="4479" spans="1:2">
      <c r="A4479" s="59"/>
      <c r="B4479"/>
    </row>
    <row r="4480" spans="1:2">
      <c r="A4480" s="59"/>
      <c r="B4480"/>
    </row>
    <row r="4481" spans="1:2">
      <c r="A4481" s="59"/>
      <c r="B4481"/>
    </row>
    <row r="4482" spans="1:2">
      <c r="A4482" s="59"/>
      <c r="B4482"/>
    </row>
    <row r="4483" spans="1:2">
      <c r="A4483" s="59"/>
      <c r="B4483"/>
    </row>
    <row r="4484" spans="1:2">
      <c r="A4484" s="59"/>
      <c r="B4484"/>
    </row>
    <row r="4485" spans="1:2">
      <c r="A4485" s="59"/>
      <c r="B4485"/>
    </row>
    <row r="4486" spans="1:2">
      <c r="A4486" s="59"/>
      <c r="B4486"/>
    </row>
    <row r="4487" spans="1:2">
      <c r="A4487" s="59"/>
      <c r="B4487"/>
    </row>
    <row r="4488" spans="1:2">
      <c r="A4488" s="59"/>
      <c r="B4488"/>
    </row>
    <row r="4489" spans="1:2">
      <c r="A4489" s="59"/>
      <c r="B4489"/>
    </row>
    <row r="4490" spans="1:2">
      <c r="A4490" s="59"/>
      <c r="B4490"/>
    </row>
    <row r="4491" spans="1:2">
      <c r="A4491" s="59"/>
      <c r="B4491"/>
    </row>
    <row r="4492" spans="1:2">
      <c r="A4492" s="59"/>
      <c r="B4492"/>
    </row>
    <row r="4493" spans="1:2">
      <c r="A4493" s="59"/>
      <c r="B4493"/>
    </row>
    <row r="4494" spans="1:2">
      <c r="A4494" s="59"/>
      <c r="B4494"/>
    </row>
    <row r="4495" spans="1:2">
      <c r="A4495" s="59"/>
      <c r="B4495"/>
    </row>
    <row r="4496" spans="1:2">
      <c r="A4496" s="59"/>
      <c r="B4496"/>
    </row>
    <row r="4497" spans="1:2">
      <c r="A4497" s="59"/>
      <c r="B4497"/>
    </row>
    <row r="4498" spans="1:2">
      <c r="A4498" s="59"/>
      <c r="B4498"/>
    </row>
    <row r="4499" spans="1:2">
      <c r="A4499" s="59"/>
      <c r="B4499"/>
    </row>
    <row r="4500" spans="1:2">
      <c r="A4500" s="59"/>
      <c r="B4500"/>
    </row>
    <row r="4501" spans="1:2">
      <c r="A4501" s="59"/>
      <c r="B4501"/>
    </row>
    <row r="4502" spans="1:2">
      <c r="A4502" s="59"/>
      <c r="B4502"/>
    </row>
    <row r="4503" spans="1:2">
      <c r="A4503" s="59"/>
      <c r="B4503"/>
    </row>
    <row r="4504" spans="1:2">
      <c r="A4504" s="59"/>
      <c r="B4504"/>
    </row>
    <row r="4505" spans="1:2">
      <c r="A4505" s="59"/>
      <c r="B4505"/>
    </row>
    <row r="4506" spans="1:2">
      <c r="A4506" s="59"/>
      <c r="B4506"/>
    </row>
    <row r="4507" spans="1:2">
      <c r="A4507" s="59"/>
      <c r="B4507"/>
    </row>
    <row r="4508" spans="1:2">
      <c r="A4508" s="59"/>
      <c r="B4508"/>
    </row>
    <row r="4509" spans="1:2">
      <c r="A4509" s="59"/>
      <c r="B4509"/>
    </row>
    <row r="4510" spans="1:2">
      <c r="A4510" s="59"/>
      <c r="B4510"/>
    </row>
    <row r="4511" spans="1:2">
      <c r="A4511" s="59"/>
      <c r="B4511"/>
    </row>
    <row r="4512" spans="1:2">
      <c r="A4512" s="59"/>
      <c r="B4512"/>
    </row>
    <row r="4513" spans="1:2">
      <c r="A4513" s="59"/>
      <c r="B4513"/>
    </row>
    <row r="4514" spans="1:2">
      <c r="A4514" s="59"/>
      <c r="B4514"/>
    </row>
    <row r="4515" spans="1:2">
      <c r="A4515" s="59"/>
      <c r="B4515"/>
    </row>
    <row r="4516" spans="1:2">
      <c r="A4516" s="59"/>
      <c r="B4516"/>
    </row>
    <row r="4517" spans="1:2">
      <c r="A4517" s="59"/>
      <c r="B4517"/>
    </row>
    <row r="4518" spans="1:2">
      <c r="A4518" s="59"/>
      <c r="B4518"/>
    </row>
    <row r="4519" spans="1:2">
      <c r="A4519" s="59"/>
      <c r="B4519"/>
    </row>
    <row r="4520" spans="1:2">
      <c r="A4520" s="59"/>
      <c r="B4520"/>
    </row>
    <row r="4521" spans="1:2">
      <c r="A4521" s="59"/>
      <c r="B4521"/>
    </row>
    <row r="4522" spans="1:2">
      <c r="A4522" s="59"/>
      <c r="B4522"/>
    </row>
    <row r="4523" spans="1:2">
      <c r="A4523" s="59"/>
      <c r="B4523"/>
    </row>
    <row r="4524" spans="1:2">
      <c r="A4524" s="59"/>
      <c r="B4524"/>
    </row>
    <row r="4525" spans="1:2">
      <c r="A4525" s="59"/>
      <c r="B4525"/>
    </row>
    <row r="4526" spans="1:2">
      <c r="A4526" s="59"/>
      <c r="B4526"/>
    </row>
    <row r="4527" spans="1:2">
      <c r="A4527" s="59"/>
      <c r="B4527"/>
    </row>
    <row r="4528" spans="1:2">
      <c r="A4528" s="59"/>
      <c r="B4528"/>
    </row>
    <row r="4529" spans="1:2">
      <c r="A4529" s="59"/>
      <c r="B4529"/>
    </row>
    <row r="4530" spans="1:2">
      <c r="A4530" s="59"/>
      <c r="B4530"/>
    </row>
    <row r="4531" spans="1:2">
      <c r="A4531" s="59"/>
      <c r="B4531"/>
    </row>
    <row r="4532" spans="1:2">
      <c r="A4532" s="59"/>
      <c r="B4532"/>
    </row>
    <row r="4533" spans="1:2">
      <c r="A4533" s="59"/>
      <c r="B4533"/>
    </row>
    <row r="4534" spans="1:2">
      <c r="A4534" s="59"/>
      <c r="B4534"/>
    </row>
    <row r="4535" spans="1:2">
      <c r="A4535" s="59"/>
      <c r="B4535"/>
    </row>
    <row r="4536" spans="1:2">
      <c r="A4536" s="59"/>
      <c r="B4536"/>
    </row>
    <row r="4537" spans="1:2">
      <c r="A4537" s="59"/>
      <c r="B4537"/>
    </row>
    <row r="4538" spans="1:2">
      <c r="A4538" s="59"/>
      <c r="B4538"/>
    </row>
    <row r="4539" spans="1:2">
      <c r="A4539" s="59"/>
      <c r="B4539"/>
    </row>
    <row r="4540" spans="1:2">
      <c r="A4540" s="59"/>
      <c r="B4540"/>
    </row>
    <row r="4541" spans="1:2">
      <c r="A4541" s="59"/>
      <c r="B4541"/>
    </row>
    <row r="4542" spans="1:2">
      <c r="A4542" s="59"/>
      <c r="B4542"/>
    </row>
    <row r="4543" spans="1:2">
      <c r="A4543" s="59"/>
      <c r="B4543"/>
    </row>
    <row r="4544" spans="1:2">
      <c r="A4544" s="59"/>
      <c r="B4544"/>
    </row>
    <row r="4545" spans="1:2">
      <c r="A4545" s="59"/>
      <c r="B4545"/>
    </row>
    <row r="4546" spans="1:2">
      <c r="A4546" s="59"/>
      <c r="B4546"/>
    </row>
    <row r="4547" spans="1:2">
      <c r="A4547" s="59"/>
      <c r="B4547"/>
    </row>
    <row r="4548" spans="1:2">
      <c r="A4548" s="59"/>
      <c r="B4548"/>
    </row>
    <row r="4549" spans="1:2">
      <c r="A4549" s="59"/>
      <c r="B4549"/>
    </row>
    <row r="4550" spans="1:2">
      <c r="A4550" s="59"/>
      <c r="B4550"/>
    </row>
    <row r="4551" spans="1:2">
      <c r="A4551" s="59"/>
      <c r="B4551"/>
    </row>
    <row r="4552" spans="1:2">
      <c r="A4552" s="59"/>
      <c r="B4552"/>
    </row>
    <row r="4553" spans="1:2">
      <c r="A4553" s="59"/>
      <c r="B4553"/>
    </row>
    <row r="4554" spans="1:2">
      <c r="A4554" s="59"/>
      <c r="B4554"/>
    </row>
    <row r="4555" spans="1:2">
      <c r="A4555" s="59"/>
      <c r="B4555"/>
    </row>
    <row r="4556" spans="1:2">
      <c r="A4556" s="59"/>
      <c r="B4556"/>
    </row>
    <row r="4557" spans="1:2">
      <c r="A4557" s="59"/>
      <c r="B4557"/>
    </row>
    <row r="4558" spans="1:2">
      <c r="A4558" s="59"/>
      <c r="B4558"/>
    </row>
    <row r="4559" spans="1:2">
      <c r="A4559" s="59"/>
      <c r="B4559"/>
    </row>
    <row r="4560" spans="1:2">
      <c r="A4560" s="59"/>
      <c r="B4560"/>
    </row>
    <row r="4561" spans="1:2">
      <c r="A4561" s="59"/>
      <c r="B4561"/>
    </row>
    <row r="4562" spans="1:2">
      <c r="A4562" s="59"/>
      <c r="B4562"/>
    </row>
    <row r="4563" spans="1:2">
      <c r="A4563" s="59"/>
      <c r="B4563"/>
    </row>
    <row r="4564" spans="1:2">
      <c r="A4564" s="59"/>
      <c r="B4564"/>
    </row>
    <row r="4565" spans="1:2">
      <c r="A4565" s="59"/>
      <c r="B4565"/>
    </row>
    <row r="4566" spans="1:2">
      <c r="A4566" s="59"/>
      <c r="B4566"/>
    </row>
    <row r="4567" spans="1:2">
      <c r="A4567" s="59"/>
      <c r="B4567"/>
    </row>
    <row r="4568" spans="1:2">
      <c r="A4568" s="59"/>
      <c r="B4568"/>
    </row>
    <row r="4569" spans="1:2">
      <c r="A4569" s="59"/>
      <c r="B4569"/>
    </row>
    <row r="4570" spans="1:2">
      <c r="A4570" s="59"/>
      <c r="B4570"/>
    </row>
    <row r="4571" spans="1:2">
      <c r="A4571" s="59"/>
      <c r="B4571"/>
    </row>
    <row r="4572" spans="1:2">
      <c r="A4572" s="59"/>
      <c r="B4572"/>
    </row>
    <row r="4573" spans="1:2">
      <c r="A4573" s="59"/>
      <c r="B4573"/>
    </row>
    <row r="4574" spans="1:2">
      <c r="A4574" s="59"/>
      <c r="B4574"/>
    </row>
    <row r="4575" spans="1:2">
      <c r="A4575" s="59"/>
      <c r="B4575"/>
    </row>
    <row r="4576" spans="1:2">
      <c r="A4576" s="59"/>
      <c r="B4576"/>
    </row>
    <row r="4577" spans="1:2">
      <c r="A4577" s="59"/>
      <c r="B4577"/>
    </row>
    <row r="4578" spans="1:2">
      <c r="A4578" s="59"/>
      <c r="B4578"/>
    </row>
    <row r="4579" spans="1:2">
      <c r="A4579" s="59"/>
      <c r="B4579"/>
    </row>
    <row r="4580" spans="1:2">
      <c r="A4580" s="59"/>
      <c r="B4580"/>
    </row>
    <row r="4581" spans="1:2">
      <c r="A4581" s="59"/>
      <c r="B4581"/>
    </row>
    <row r="4582" spans="1:2">
      <c r="A4582" s="59"/>
      <c r="B4582"/>
    </row>
    <row r="4583" spans="1:2">
      <c r="A4583" s="59"/>
      <c r="B4583"/>
    </row>
    <row r="4584" spans="1:2">
      <c r="A4584" s="59"/>
      <c r="B4584"/>
    </row>
    <row r="4585" spans="1:2">
      <c r="A4585" s="59"/>
      <c r="B4585"/>
    </row>
    <row r="4586" spans="1:2">
      <c r="A4586" s="59"/>
      <c r="B4586"/>
    </row>
    <row r="4587" spans="1:2">
      <c r="A4587" s="59"/>
      <c r="B4587"/>
    </row>
    <row r="4588" spans="1:2">
      <c r="A4588" s="59"/>
      <c r="B4588"/>
    </row>
    <row r="4589" spans="1:2">
      <c r="A4589" s="59"/>
      <c r="B4589"/>
    </row>
    <row r="4590" spans="1:2">
      <c r="A4590" s="59"/>
      <c r="B4590"/>
    </row>
    <row r="4591" spans="1:2">
      <c r="A4591" s="59"/>
      <c r="B4591"/>
    </row>
    <row r="4592" spans="1:2">
      <c r="A4592" s="59"/>
      <c r="B4592"/>
    </row>
    <row r="4593" spans="1:2">
      <c r="A4593" s="59"/>
      <c r="B4593"/>
    </row>
    <row r="4594" spans="1:2">
      <c r="A4594" s="59"/>
      <c r="B4594"/>
    </row>
    <row r="4595" spans="1:2">
      <c r="A4595" s="59"/>
      <c r="B4595"/>
    </row>
    <row r="4596" spans="1:2">
      <c r="A4596" s="59"/>
      <c r="B4596"/>
    </row>
    <row r="4597" spans="1:2">
      <c r="A4597" s="59"/>
      <c r="B4597"/>
    </row>
    <row r="4598" spans="1:2">
      <c r="A4598" s="59"/>
      <c r="B4598"/>
    </row>
    <row r="4599" spans="1:2">
      <c r="A4599" s="59"/>
      <c r="B4599"/>
    </row>
    <row r="4600" spans="1:2">
      <c r="A4600" s="59"/>
      <c r="B4600"/>
    </row>
    <row r="4601" spans="1:2">
      <c r="A4601" s="59"/>
      <c r="B4601"/>
    </row>
    <row r="4602" spans="1:2">
      <c r="A4602" s="59"/>
      <c r="B4602"/>
    </row>
    <row r="4603" spans="1:2">
      <c r="A4603" s="59"/>
      <c r="B4603"/>
    </row>
    <row r="4604" spans="1:2">
      <c r="A4604" s="59"/>
      <c r="B4604"/>
    </row>
    <row r="4605" spans="1:2">
      <c r="A4605" s="59"/>
      <c r="B4605"/>
    </row>
    <row r="4606" spans="1:2">
      <c r="A4606" s="59"/>
      <c r="B4606"/>
    </row>
    <row r="4607" spans="1:2">
      <c r="A4607" s="59"/>
      <c r="B4607"/>
    </row>
    <row r="4608" spans="1:2">
      <c r="A4608" s="59"/>
      <c r="B4608"/>
    </row>
    <row r="4609" spans="1:2">
      <c r="A4609" s="59"/>
      <c r="B4609"/>
    </row>
    <row r="4610" spans="1:2">
      <c r="A4610" s="59"/>
      <c r="B4610"/>
    </row>
    <row r="4611" spans="1:2">
      <c r="A4611" s="59"/>
      <c r="B4611"/>
    </row>
    <row r="4612" spans="1:2">
      <c r="A4612" s="59"/>
      <c r="B4612"/>
    </row>
    <row r="4613" spans="1:2">
      <c r="A4613" s="59"/>
      <c r="B4613"/>
    </row>
    <row r="4614" spans="1:2">
      <c r="A4614" s="59"/>
      <c r="B4614"/>
    </row>
    <row r="4615" spans="1:2">
      <c r="A4615" s="59"/>
      <c r="B4615"/>
    </row>
    <row r="4616" spans="1:2">
      <c r="A4616" s="59"/>
      <c r="B4616"/>
    </row>
    <row r="4617" spans="1:2">
      <c r="A4617" s="59"/>
      <c r="B4617"/>
    </row>
    <row r="4618" spans="1:2">
      <c r="A4618" s="59"/>
      <c r="B4618"/>
    </row>
    <row r="4619" spans="1:2">
      <c r="A4619" s="59"/>
      <c r="B4619"/>
    </row>
    <row r="4620" spans="1:2">
      <c r="A4620" s="59"/>
      <c r="B4620"/>
    </row>
    <row r="4621" spans="1:2">
      <c r="A4621" s="59"/>
      <c r="B4621"/>
    </row>
    <row r="4622" spans="1:2">
      <c r="A4622" s="59"/>
      <c r="B4622"/>
    </row>
    <row r="4623" spans="1:2">
      <c r="A4623" s="59"/>
      <c r="B4623"/>
    </row>
    <row r="4624" spans="1:2">
      <c r="A4624" s="59"/>
      <c r="B4624"/>
    </row>
    <row r="4625" spans="1:2">
      <c r="A4625" s="59"/>
      <c r="B4625"/>
    </row>
    <row r="4626" spans="1:2">
      <c r="A4626" s="59"/>
      <c r="B4626"/>
    </row>
    <row r="4627" spans="1:2">
      <c r="A4627" s="59"/>
      <c r="B4627"/>
    </row>
    <row r="4628" spans="1:2">
      <c r="A4628" s="59"/>
      <c r="B4628"/>
    </row>
    <row r="4629" spans="1:2">
      <c r="A4629" s="59"/>
      <c r="B4629"/>
    </row>
    <row r="4630" spans="1:2">
      <c r="A4630" s="59"/>
      <c r="B4630"/>
    </row>
    <row r="4631" spans="1:2">
      <c r="A4631" s="59"/>
      <c r="B4631"/>
    </row>
    <row r="4632" spans="1:2">
      <c r="A4632" s="59"/>
      <c r="B4632"/>
    </row>
    <row r="4633" spans="1:2">
      <c r="A4633" s="59"/>
      <c r="B4633"/>
    </row>
    <row r="4634" spans="1:2">
      <c r="A4634" s="59"/>
      <c r="B4634"/>
    </row>
    <row r="4635" spans="1:2">
      <c r="A4635" s="59"/>
      <c r="B4635"/>
    </row>
    <row r="4636" spans="1:2">
      <c r="A4636" s="59"/>
      <c r="B4636"/>
    </row>
    <row r="4637" spans="1:2">
      <c r="A4637" s="59"/>
      <c r="B4637"/>
    </row>
    <row r="4638" spans="1:2">
      <c r="A4638" s="59"/>
      <c r="B4638"/>
    </row>
    <row r="4639" spans="1:2">
      <c r="A4639" s="59"/>
      <c r="B4639"/>
    </row>
    <row r="4640" spans="1:2">
      <c r="A4640" s="59"/>
      <c r="B4640"/>
    </row>
    <row r="4641" spans="1:2">
      <c r="A4641" s="59"/>
      <c r="B4641"/>
    </row>
    <row r="4642" spans="1:2">
      <c r="A4642" s="59"/>
      <c r="B4642"/>
    </row>
    <row r="4643" spans="1:2">
      <c r="A4643" s="59"/>
      <c r="B4643"/>
    </row>
    <row r="4644" spans="1:2">
      <c r="A4644" s="59"/>
      <c r="B4644"/>
    </row>
    <row r="4645" spans="1:2">
      <c r="A4645" s="59"/>
      <c r="B4645"/>
    </row>
    <row r="4646" spans="1:2">
      <c r="A4646" s="59"/>
      <c r="B4646"/>
    </row>
    <row r="4647" spans="1:2">
      <c r="A4647" s="59"/>
      <c r="B4647"/>
    </row>
    <row r="4648" spans="1:2">
      <c r="A4648" s="59"/>
      <c r="B4648"/>
    </row>
    <row r="4649" spans="1:2">
      <c r="A4649" s="59"/>
      <c r="B4649"/>
    </row>
    <row r="4650" spans="1:2">
      <c r="A4650" s="59"/>
      <c r="B4650"/>
    </row>
    <row r="4651" spans="1:2">
      <c r="A4651" s="59"/>
      <c r="B4651"/>
    </row>
    <row r="4652" spans="1:2">
      <c r="A4652" s="59"/>
      <c r="B4652"/>
    </row>
    <row r="4653" spans="1:2">
      <c r="A4653" s="59"/>
      <c r="B4653"/>
    </row>
    <row r="4654" spans="1:2">
      <c r="A4654" s="59"/>
      <c r="B4654"/>
    </row>
    <row r="4655" spans="1:2">
      <c r="A4655" s="59"/>
      <c r="B4655"/>
    </row>
    <row r="4656" spans="1:2">
      <c r="A4656" s="59"/>
      <c r="B4656"/>
    </row>
    <row r="4657" spans="1:2">
      <c r="A4657" s="59"/>
      <c r="B4657"/>
    </row>
    <row r="4658" spans="1:2">
      <c r="A4658" s="59"/>
      <c r="B4658"/>
    </row>
    <row r="4659" spans="1:2">
      <c r="A4659" s="59"/>
      <c r="B4659"/>
    </row>
    <row r="4660" spans="1:2">
      <c r="A4660" s="59"/>
      <c r="B4660"/>
    </row>
    <row r="4661" spans="1:2">
      <c r="A4661" s="59"/>
      <c r="B4661"/>
    </row>
    <row r="4662" spans="1:2">
      <c r="A4662" s="59"/>
      <c r="B4662"/>
    </row>
    <row r="4663" spans="1:2">
      <c r="A4663" s="59"/>
      <c r="B4663"/>
    </row>
    <row r="4664" spans="1:2">
      <c r="A4664" s="59"/>
      <c r="B4664"/>
    </row>
    <row r="4665" spans="1:2">
      <c r="A4665" s="59"/>
      <c r="B4665"/>
    </row>
    <row r="4666" spans="1:2">
      <c r="A4666" s="59"/>
      <c r="B4666"/>
    </row>
    <row r="4667" spans="1:2">
      <c r="A4667" s="59"/>
      <c r="B4667"/>
    </row>
    <row r="4668" spans="1:2">
      <c r="A4668" s="59"/>
      <c r="B4668"/>
    </row>
    <row r="4669" spans="1:2">
      <c r="A4669" s="59"/>
      <c r="B4669"/>
    </row>
    <row r="4670" spans="1:2">
      <c r="A4670" s="59"/>
      <c r="B4670"/>
    </row>
    <row r="4671" spans="1:2">
      <c r="A4671" s="59"/>
      <c r="B4671"/>
    </row>
    <row r="4672" spans="1:2">
      <c r="A4672" s="59"/>
      <c r="B4672"/>
    </row>
    <row r="4673" spans="1:2">
      <c r="A4673" s="59"/>
      <c r="B4673"/>
    </row>
    <row r="4674" spans="1:2">
      <c r="A4674" s="59"/>
      <c r="B4674"/>
    </row>
    <row r="4675" spans="1:2">
      <c r="A4675" s="59"/>
      <c r="B4675"/>
    </row>
    <row r="4676" spans="1:2">
      <c r="A4676" s="59"/>
      <c r="B4676"/>
    </row>
    <row r="4677" spans="1:2">
      <c r="A4677" s="59"/>
      <c r="B4677"/>
    </row>
    <row r="4678" spans="1:2">
      <c r="A4678" s="59"/>
      <c r="B4678"/>
    </row>
    <row r="4679" spans="1:2">
      <c r="A4679" s="59"/>
      <c r="B4679"/>
    </row>
    <row r="4680" spans="1:2">
      <c r="A4680" s="59"/>
      <c r="B4680"/>
    </row>
    <row r="4681" spans="1:2">
      <c r="A4681" s="59"/>
      <c r="B4681"/>
    </row>
    <row r="4682" spans="1:2">
      <c r="A4682" s="59"/>
      <c r="B4682"/>
    </row>
    <row r="4683" spans="1:2">
      <c r="A4683" s="59"/>
      <c r="B4683"/>
    </row>
    <row r="4684" spans="1:2">
      <c r="A4684" s="59"/>
      <c r="B4684"/>
    </row>
    <row r="4685" spans="1:2">
      <c r="A4685" s="59"/>
      <c r="B4685"/>
    </row>
    <row r="4686" spans="1:2">
      <c r="A4686" s="59"/>
      <c r="B4686"/>
    </row>
    <row r="4687" spans="1:2">
      <c r="A4687" s="59"/>
      <c r="B4687"/>
    </row>
    <row r="4688" spans="1:2">
      <c r="A4688" s="59"/>
      <c r="B4688"/>
    </row>
    <row r="4689" spans="1:2">
      <c r="A4689" s="59"/>
      <c r="B4689"/>
    </row>
    <row r="4690" spans="1:2">
      <c r="A4690" s="59"/>
      <c r="B4690"/>
    </row>
    <row r="4691" spans="1:2">
      <c r="A4691" s="59"/>
      <c r="B4691"/>
    </row>
    <row r="4692" spans="1:2">
      <c r="A4692" s="59"/>
      <c r="B4692"/>
    </row>
    <row r="4693" spans="1:2">
      <c r="A4693" s="59"/>
      <c r="B4693"/>
    </row>
    <row r="4694" spans="1:2">
      <c r="A4694" s="59"/>
      <c r="B4694"/>
    </row>
    <row r="4695" spans="1:2">
      <c r="A4695" s="59"/>
      <c r="B4695"/>
    </row>
    <row r="4696" spans="1:2">
      <c r="A4696" s="59"/>
      <c r="B4696"/>
    </row>
    <row r="4697" spans="1:2">
      <c r="A4697" s="59"/>
      <c r="B4697"/>
    </row>
    <row r="4698" spans="1:2">
      <c r="A4698" s="59"/>
      <c r="B4698"/>
    </row>
    <row r="4699" spans="1:2">
      <c r="A4699" s="59"/>
      <c r="B4699"/>
    </row>
    <row r="4700" spans="1:2">
      <c r="A4700" s="59"/>
      <c r="B4700"/>
    </row>
    <row r="4701" spans="1:2">
      <c r="A4701" s="59"/>
      <c r="B4701"/>
    </row>
    <row r="4702" spans="1:2">
      <c r="A4702" s="59"/>
      <c r="B4702"/>
    </row>
    <row r="4703" spans="1:2">
      <c r="A4703" s="59"/>
      <c r="B4703"/>
    </row>
    <row r="4704" spans="1:2">
      <c r="A4704" s="59"/>
      <c r="B4704"/>
    </row>
    <row r="4705" spans="1:2">
      <c r="A4705" s="59"/>
      <c r="B4705"/>
    </row>
    <row r="4706" spans="1:2">
      <c r="A4706" s="59"/>
      <c r="B4706"/>
    </row>
    <row r="4707" spans="1:2">
      <c r="A4707" s="59"/>
      <c r="B4707"/>
    </row>
    <row r="4708" spans="1:2">
      <c r="A4708" s="59"/>
      <c r="B4708"/>
    </row>
    <row r="4709" spans="1:2">
      <c r="A4709" s="59"/>
      <c r="B4709"/>
    </row>
    <row r="4710" spans="1:2">
      <c r="A4710" s="59"/>
      <c r="B4710"/>
    </row>
    <row r="4711" spans="1:2">
      <c r="A4711" s="59"/>
      <c r="B4711"/>
    </row>
    <row r="4712" spans="1:2">
      <c r="A4712" s="59"/>
      <c r="B4712"/>
    </row>
    <row r="4713" spans="1:2">
      <c r="A4713" s="59"/>
      <c r="B4713"/>
    </row>
    <row r="4714" spans="1:2">
      <c r="A4714" s="59"/>
      <c r="B4714"/>
    </row>
    <row r="4715" spans="1:2">
      <c r="A4715" s="59"/>
      <c r="B4715"/>
    </row>
    <row r="4716" spans="1:2">
      <c r="A4716" s="59"/>
      <c r="B4716"/>
    </row>
    <row r="4717" spans="1:2">
      <c r="A4717" s="59"/>
      <c r="B4717"/>
    </row>
    <row r="4718" spans="1:2">
      <c r="A4718" s="59"/>
      <c r="B4718"/>
    </row>
    <row r="4719" spans="1:2">
      <c r="A4719" s="59"/>
      <c r="B4719"/>
    </row>
    <row r="4720" spans="1:2">
      <c r="A4720" s="59"/>
      <c r="B4720"/>
    </row>
    <row r="4721" spans="1:2">
      <c r="A4721" s="59"/>
      <c r="B4721"/>
    </row>
    <row r="4722" spans="1:2">
      <c r="A4722" s="59"/>
      <c r="B4722"/>
    </row>
    <row r="4723" spans="1:2">
      <c r="A4723" s="59"/>
      <c r="B4723"/>
    </row>
    <row r="4724" spans="1:2">
      <c r="A4724" s="59"/>
      <c r="B4724"/>
    </row>
    <row r="4725" spans="1:2">
      <c r="A4725" s="59"/>
      <c r="B4725"/>
    </row>
    <row r="4726" spans="1:2">
      <c r="A4726" s="59"/>
      <c r="B4726"/>
    </row>
    <row r="4727" spans="1:2">
      <c r="A4727" s="59"/>
      <c r="B4727"/>
    </row>
    <row r="4728" spans="1:2">
      <c r="A4728" s="59"/>
      <c r="B4728"/>
    </row>
    <row r="4729" spans="1:2">
      <c r="A4729" s="59"/>
      <c r="B4729"/>
    </row>
    <row r="4730" spans="1:2">
      <c r="A4730" s="59"/>
      <c r="B4730"/>
    </row>
    <row r="4731" spans="1:2">
      <c r="A4731" s="59"/>
      <c r="B4731"/>
    </row>
    <row r="4732" spans="1:2">
      <c r="A4732" s="59"/>
      <c r="B4732"/>
    </row>
    <row r="4733" spans="1:2">
      <c r="A4733" s="59"/>
      <c r="B4733"/>
    </row>
    <row r="4734" spans="1:2">
      <c r="A4734" s="59"/>
      <c r="B4734"/>
    </row>
    <row r="4735" spans="1:2">
      <c r="A4735" s="59"/>
      <c r="B4735"/>
    </row>
    <row r="4736" spans="1:2">
      <c r="A4736" s="59"/>
      <c r="B4736"/>
    </row>
    <row r="4737" spans="1:2">
      <c r="A4737" s="59"/>
      <c r="B4737"/>
    </row>
    <row r="4738" spans="1:2">
      <c r="A4738" s="59"/>
      <c r="B4738"/>
    </row>
    <row r="4739" spans="1:2">
      <c r="A4739" s="59"/>
      <c r="B4739"/>
    </row>
    <row r="4740" spans="1:2">
      <c r="A4740" s="59"/>
      <c r="B4740"/>
    </row>
    <row r="4741" spans="1:2">
      <c r="A4741" s="59"/>
      <c r="B4741"/>
    </row>
    <row r="4742" spans="1:2">
      <c r="A4742" s="59"/>
      <c r="B4742"/>
    </row>
    <row r="4743" spans="1:2">
      <c r="A4743" s="59"/>
      <c r="B4743"/>
    </row>
    <row r="4744" spans="1:2">
      <c r="A4744" s="59"/>
      <c r="B4744"/>
    </row>
    <row r="4745" spans="1:2">
      <c r="A4745" s="59"/>
      <c r="B4745"/>
    </row>
    <row r="4746" spans="1:2">
      <c r="A4746" s="59"/>
      <c r="B4746"/>
    </row>
    <row r="4747" spans="1:2">
      <c r="A4747" s="59"/>
      <c r="B4747"/>
    </row>
    <row r="4748" spans="1:2">
      <c r="A4748" s="59"/>
      <c r="B4748"/>
    </row>
    <row r="4749" spans="1:2">
      <c r="A4749" s="59"/>
      <c r="B4749"/>
    </row>
    <row r="4750" spans="1:2">
      <c r="A4750" s="59"/>
      <c r="B4750"/>
    </row>
    <row r="4751" spans="1:2">
      <c r="A4751" s="59"/>
      <c r="B4751"/>
    </row>
    <row r="4752" spans="1:2">
      <c r="A4752" s="59"/>
      <c r="B4752"/>
    </row>
    <row r="4753" spans="1:2">
      <c r="A4753" s="59"/>
      <c r="B4753"/>
    </row>
    <row r="4754" spans="1:2">
      <c r="A4754" s="59"/>
      <c r="B4754"/>
    </row>
    <row r="4755" spans="1:2">
      <c r="A4755" s="59"/>
      <c r="B4755"/>
    </row>
    <row r="4756" spans="1:2">
      <c r="A4756" s="59"/>
      <c r="B4756"/>
    </row>
    <row r="4757" spans="1:2">
      <c r="A4757" s="59"/>
      <c r="B4757"/>
    </row>
    <row r="4758" spans="1:2">
      <c r="A4758" s="59"/>
      <c r="B4758"/>
    </row>
    <row r="4759" spans="1:2">
      <c r="A4759" s="59"/>
      <c r="B4759"/>
    </row>
    <row r="4760" spans="1:2">
      <c r="A4760" s="59"/>
      <c r="B4760"/>
    </row>
    <row r="4761" spans="1:2">
      <c r="A4761" s="59"/>
      <c r="B4761"/>
    </row>
    <row r="4762" spans="1:2">
      <c r="A4762" s="59"/>
      <c r="B4762"/>
    </row>
    <row r="4763" spans="1:2">
      <c r="A4763" s="59"/>
      <c r="B4763"/>
    </row>
    <row r="4764" spans="1:2">
      <c r="A4764" s="59"/>
      <c r="B4764"/>
    </row>
    <row r="4765" spans="1:2">
      <c r="A4765" s="59"/>
      <c r="B4765"/>
    </row>
    <row r="4766" spans="1:2">
      <c r="A4766" s="59"/>
      <c r="B4766"/>
    </row>
    <row r="4767" spans="1:2">
      <c r="A4767" s="59"/>
      <c r="B4767"/>
    </row>
    <row r="4768" spans="1:2">
      <c r="A4768" s="59"/>
      <c r="B4768"/>
    </row>
    <row r="4769" spans="1:2">
      <c r="A4769" s="59"/>
      <c r="B4769"/>
    </row>
    <row r="4770" spans="1:2">
      <c r="A4770" s="59"/>
      <c r="B4770"/>
    </row>
    <row r="4771" spans="1:2">
      <c r="A4771" s="59"/>
      <c r="B4771"/>
    </row>
    <row r="4772" spans="1:2">
      <c r="A4772" s="59"/>
      <c r="B4772"/>
    </row>
    <row r="4773" spans="1:2">
      <c r="A4773" s="59"/>
      <c r="B4773"/>
    </row>
    <row r="4774" spans="1:2">
      <c r="A4774" s="59"/>
      <c r="B4774"/>
    </row>
    <row r="4775" spans="1:2">
      <c r="A4775" s="59"/>
      <c r="B4775"/>
    </row>
    <row r="4776" spans="1:2">
      <c r="A4776" s="59"/>
      <c r="B4776"/>
    </row>
    <row r="4777" spans="1:2">
      <c r="A4777" s="59"/>
      <c r="B4777"/>
    </row>
    <row r="4778" spans="1:2">
      <c r="A4778" s="59"/>
      <c r="B4778"/>
    </row>
    <row r="4779" spans="1:2">
      <c r="A4779" s="59"/>
      <c r="B4779"/>
    </row>
    <row r="4780" spans="1:2">
      <c r="A4780" s="59"/>
      <c r="B4780"/>
    </row>
    <row r="4781" spans="1:2">
      <c r="A4781" s="59"/>
      <c r="B4781"/>
    </row>
    <row r="4782" spans="1:2">
      <c r="A4782" s="59"/>
      <c r="B4782"/>
    </row>
    <row r="4783" spans="1:2">
      <c r="A4783" s="59"/>
      <c r="B4783"/>
    </row>
    <row r="4784" spans="1:2">
      <c r="A4784" s="59"/>
      <c r="B4784"/>
    </row>
    <row r="4785" spans="1:2">
      <c r="A4785" s="59"/>
      <c r="B4785"/>
    </row>
    <row r="4786" spans="1:2">
      <c r="A4786" s="59"/>
      <c r="B4786"/>
    </row>
    <row r="4787" spans="1:2">
      <c r="A4787" s="59"/>
      <c r="B4787"/>
    </row>
    <row r="4788" spans="1:2">
      <c r="A4788" s="59"/>
      <c r="B4788"/>
    </row>
    <row r="4789" spans="1:2">
      <c r="A4789" s="59"/>
      <c r="B4789"/>
    </row>
    <row r="4790" spans="1:2">
      <c r="A4790" s="59"/>
      <c r="B4790"/>
    </row>
    <row r="4791" spans="1:2">
      <c r="A4791" s="59"/>
      <c r="B4791"/>
    </row>
    <row r="4792" spans="1:2">
      <c r="A4792" s="59"/>
      <c r="B4792"/>
    </row>
    <row r="4793" spans="1:2">
      <c r="A4793" s="59"/>
      <c r="B4793"/>
    </row>
    <row r="4794" spans="1:2">
      <c r="A4794" s="59"/>
      <c r="B4794"/>
    </row>
    <row r="4795" spans="1:2">
      <c r="A4795" s="59"/>
      <c r="B4795"/>
    </row>
    <row r="4796" spans="1:2">
      <c r="A4796" s="59"/>
      <c r="B4796"/>
    </row>
    <row r="4797" spans="1:2">
      <c r="A4797" s="59"/>
      <c r="B4797"/>
    </row>
    <row r="4798" spans="1:2">
      <c r="A4798" s="59"/>
      <c r="B4798"/>
    </row>
    <row r="4799" spans="1:2">
      <c r="A4799" s="59"/>
      <c r="B4799"/>
    </row>
    <row r="4800" spans="1:2">
      <c r="A4800" s="59"/>
      <c r="B4800"/>
    </row>
    <row r="4801" spans="1:2">
      <c r="A4801" s="59"/>
      <c r="B4801"/>
    </row>
    <row r="4802" spans="1:2">
      <c r="A4802" s="59"/>
      <c r="B4802"/>
    </row>
    <row r="4803" spans="1:2">
      <c r="A4803" s="59"/>
      <c r="B4803"/>
    </row>
    <row r="4804" spans="1:2">
      <c r="A4804" s="59"/>
      <c r="B4804"/>
    </row>
    <row r="4805" spans="1:2">
      <c r="A4805" s="59"/>
      <c r="B4805"/>
    </row>
    <row r="4806" spans="1:2">
      <c r="A4806" s="59"/>
      <c r="B4806"/>
    </row>
    <row r="4807" spans="1:2">
      <c r="A4807" s="59"/>
      <c r="B4807"/>
    </row>
    <row r="4808" spans="1:2">
      <c r="A4808" s="59"/>
      <c r="B4808"/>
    </row>
    <row r="4809" spans="1:2">
      <c r="A4809" s="59"/>
      <c r="B4809"/>
    </row>
    <row r="4810" spans="1:2">
      <c r="A4810" s="59"/>
      <c r="B4810"/>
    </row>
    <row r="4811" spans="1:2">
      <c r="A4811" s="59"/>
      <c r="B4811"/>
    </row>
    <row r="4812" spans="1:2">
      <c r="A4812" s="59"/>
      <c r="B4812"/>
    </row>
    <row r="4813" spans="1:2">
      <c r="A4813" s="59"/>
      <c r="B4813"/>
    </row>
    <row r="4814" spans="1:2">
      <c r="A4814" s="59"/>
      <c r="B4814"/>
    </row>
    <row r="4815" spans="1:2">
      <c r="A4815" s="59"/>
      <c r="B4815"/>
    </row>
    <row r="4816" spans="1:2">
      <c r="A4816" s="59"/>
      <c r="B4816"/>
    </row>
    <row r="4817" spans="1:2">
      <c r="A4817" s="59"/>
      <c r="B4817"/>
    </row>
    <row r="4818" spans="1:2">
      <c r="A4818" s="59"/>
      <c r="B4818"/>
    </row>
    <row r="4819" spans="1:2">
      <c r="A4819" s="59"/>
      <c r="B4819"/>
    </row>
    <row r="4820" spans="1:2">
      <c r="A4820" s="59"/>
      <c r="B4820"/>
    </row>
    <row r="4821" spans="1:2">
      <c r="A4821" s="59"/>
      <c r="B4821"/>
    </row>
    <row r="4822" spans="1:2">
      <c r="A4822" s="59"/>
      <c r="B4822"/>
    </row>
    <row r="4823" spans="1:2">
      <c r="A4823" s="59"/>
      <c r="B4823"/>
    </row>
    <row r="4824" spans="1:2">
      <c r="A4824" s="59"/>
      <c r="B4824"/>
    </row>
    <row r="4825" spans="1:2">
      <c r="A4825" s="59"/>
      <c r="B4825"/>
    </row>
    <row r="4826" spans="1:2">
      <c r="A4826" s="59"/>
      <c r="B4826"/>
    </row>
    <row r="4827" spans="1:2">
      <c r="A4827" s="59"/>
      <c r="B4827"/>
    </row>
    <row r="4828" spans="1:2">
      <c r="A4828" s="59"/>
      <c r="B4828"/>
    </row>
    <row r="4829" spans="1:2">
      <c r="A4829" s="59"/>
      <c r="B4829"/>
    </row>
    <row r="4830" spans="1:2">
      <c r="A4830" s="59"/>
      <c r="B4830"/>
    </row>
    <row r="4831" spans="1:2">
      <c r="A4831" s="59"/>
      <c r="B4831"/>
    </row>
    <row r="4832" spans="1:2">
      <c r="A4832" s="59"/>
      <c r="B4832"/>
    </row>
    <row r="4833" spans="1:2">
      <c r="A4833" s="59"/>
      <c r="B4833"/>
    </row>
    <row r="4834" spans="1:2">
      <c r="A4834" s="59"/>
      <c r="B4834"/>
    </row>
    <row r="4835" spans="1:2">
      <c r="A4835" s="59"/>
      <c r="B4835"/>
    </row>
    <row r="4836" spans="1:2">
      <c r="A4836" s="59"/>
      <c r="B4836"/>
    </row>
    <row r="4837" spans="1:2">
      <c r="A4837" s="59"/>
      <c r="B4837"/>
    </row>
    <row r="4838" spans="1:2">
      <c r="A4838" s="59"/>
      <c r="B4838"/>
    </row>
    <row r="4839" spans="1:2">
      <c r="A4839" s="59"/>
      <c r="B4839"/>
    </row>
    <row r="4840" spans="1:2">
      <c r="A4840" s="59"/>
      <c r="B4840"/>
    </row>
    <row r="4841" spans="1:2">
      <c r="A4841" s="59"/>
      <c r="B4841"/>
    </row>
    <row r="4842" spans="1:2">
      <c r="A4842" s="59"/>
      <c r="B4842"/>
    </row>
    <row r="4843" spans="1:2">
      <c r="A4843" s="59"/>
      <c r="B4843"/>
    </row>
    <row r="4844" spans="1:2">
      <c r="A4844" s="59"/>
      <c r="B4844"/>
    </row>
    <row r="4845" spans="1:2">
      <c r="A4845" s="59"/>
      <c r="B4845"/>
    </row>
    <row r="4846" spans="1:2">
      <c r="A4846" s="59"/>
      <c r="B4846"/>
    </row>
    <row r="4847" spans="1:2">
      <c r="A4847" s="59"/>
      <c r="B4847"/>
    </row>
    <row r="4848" spans="1:2">
      <c r="A4848" s="59"/>
      <c r="B4848"/>
    </row>
    <row r="4849" spans="1:2">
      <c r="A4849" s="59"/>
      <c r="B4849"/>
    </row>
    <row r="4850" spans="1:2">
      <c r="A4850" s="59"/>
      <c r="B4850"/>
    </row>
    <row r="4851" spans="1:2">
      <c r="A4851" s="59"/>
      <c r="B4851"/>
    </row>
    <row r="4852" spans="1:2">
      <c r="A4852" s="59"/>
      <c r="B4852"/>
    </row>
    <row r="4853" spans="1:2">
      <c r="A4853" s="59"/>
      <c r="B4853"/>
    </row>
    <row r="4854" spans="1:2">
      <c r="A4854" s="59"/>
      <c r="B4854"/>
    </row>
    <row r="4855" spans="1:2">
      <c r="A4855" s="59"/>
      <c r="B4855"/>
    </row>
    <row r="4856" spans="1:2">
      <c r="A4856" s="59"/>
      <c r="B4856"/>
    </row>
    <row r="4857" spans="1:2">
      <c r="A4857" s="59"/>
      <c r="B4857"/>
    </row>
    <row r="4858" spans="1:2">
      <c r="A4858" s="59"/>
      <c r="B4858"/>
    </row>
    <row r="4859" spans="1:2">
      <c r="A4859" s="59"/>
      <c r="B4859"/>
    </row>
    <row r="4860" spans="1:2">
      <c r="A4860" s="59"/>
      <c r="B4860"/>
    </row>
    <row r="4861" spans="1:2">
      <c r="A4861" s="59"/>
      <c r="B4861"/>
    </row>
    <row r="4862" spans="1:2">
      <c r="A4862" s="59"/>
      <c r="B4862"/>
    </row>
    <row r="4863" spans="1:2">
      <c r="A4863" s="59"/>
      <c r="B4863"/>
    </row>
    <row r="4864" spans="1:2">
      <c r="A4864" s="59"/>
      <c r="B4864"/>
    </row>
    <row r="4865" spans="1:2">
      <c r="A4865" s="59"/>
      <c r="B4865"/>
    </row>
    <row r="4866" spans="1:2">
      <c r="A4866" s="59"/>
      <c r="B4866"/>
    </row>
    <row r="4867" spans="1:2">
      <c r="A4867" s="59"/>
      <c r="B4867"/>
    </row>
    <row r="4868" spans="1:2">
      <c r="A4868" s="59"/>
      <c r="B4868"/>
    </row>
    <row r="4869" spans="1:2">
      <c r="A4869" s="59"/>
      <c r="B4869"/>
    </row>
    <row r="4870" spans="1:2">
      <c r="A4870" s="59"/>
      <c r="B4870"/>
    </row>
    <row r="4871" spans="1:2">
      <c r="A4871" s="59"/>
      <c r="B4871"/>
    </row>
    <row r="4872" spans="1:2">
      <c r="A4872" s="59"/>
      <c r="B4872"/>
    </row>
    <row r="4873" spans="1:2">
      <c r="A4873" s="59"/>
      <c r="B4873"/>
    </row>
    <row r="4874" spans="1:2">
      <c r="A4874" s="59"/>
      <c r="B4874"/>
    </row>
    <row r="4875" spans="1:2">
      <c r="A4875" s="59"/>
      <c r="B4875"/>
    </row>
    <row r="4876" spans="1:2">
      <c r="A4876" s="59"/>
      <c r="B4876"/>
    </row>
    <row r="4877" spans="1:2">
      <c r="A4877" s="59"/>
      <c r="B4877"/>
    </row>
    <row r="4878" spans="1:2">
      <c r="A4878" s="59"/>
      <c r="B4878"/>
    </row>
    <row r="4879" spans="1:2">
      <c r="A4879" s="59"/>
      <c r="B4879"/>
    </row>
    <row r="4880" spans="1:2">
      <c r="A4880" s="59"/>
      <c r="B4880"/>
    </row>
    <row r="4881" spans="1:2">
      <c r="A4881" s="59"/>
      <c r="B4881"/>
    </row>
    <row r="4882" spans="1:2">
      <c r="A4882" s="59"/>
      <c r="B4882"/>
    </row>
    <row r="4883" spans="1:2">
      <c r="A4883" s="59"/>
      <c r="B4883"/>
    </row>
    <row r="4884" spans="1:2">
      <c r="A4884" s="59"/>
      <c r="B4884"/>
    </row>
    <row r="4885" spans="1:2">
      <c r="A4885" s="59"/>
      <c r="B4885"/>
    </row>
    <row r="4886" spans="1:2">
      <c r="A4886" s="59"/>
      <c r="B4886"/>
    </row>
    <row r="4887" spans="1:2">
      <c r="A4887" s="59"/>
      <c r="B4887"/>
    </row>
    <row r="4888" spans="1:2">
      <c r="A4888" s="59"/>
      <c r="B4888"/>
    </row>
    <row r="4889" spans="1:2">
      <c r="A4889" s="59"/>
      <c r="B4889"/>
    </row>
    <row r="4890" spans="1:2">
      <c r="A4890" s="59"/>
      <c r="B4890"/>
    </row>
    <row r="4891" spans="1:2">
      <c r="A4891" s="59"/>
      <c r="B4891"/>
    </row>
    <row r="4892" spans="1:2">
      <c r="A4892" s="59"/>
      <c r="B4892"/>
    </row>
    <row r="4893" spans="1:2">
      <c r="A4893" s="59"/>
      <c r="B4893"/>
    </row>
    <row r="4894" spans="1:2">
      <c r="A4894" s="59"/>
      <c r="B4894"/>
    </row>
    <row r="4895" spans="1:2">
      <c r="A4895" s="59"/>
      <c r="B4895"/>
    </row>
    <row r="4896" spans="1:2">
      <c r="A4896" s="59"/>
      <c r="B4896"/>
    </row>
    <row r="4897" spans="1:2">
      <c r="A4897" s="59"/>
      <c r="B4897"/>
    </row>
    <row r="4898" spans="1:2">
      <c r="A4898" s="59"/>
      <c r="B4898"/>
    </row>
    <row r="4899" spans="1:2">
      <c r="A4899" s="59"/>
      <c r="B4899"/>
    </row>
    <row r="4900" spans="1:2">
      <c r="A4900" s="59"/>
      <c r="B4900"/>
    </row>
    <row r="4901" spans="1:2">
      <c r="A4901" s="59"/>
      <c r="B4901"/>
    </row>
    <row r="4902" spans="1:2">
      <c r="A4902" s="59"/>
      <c r="B4902"/>
    </row>
    <row r="4903" spans="1:2">
      <c r="A4903" s="59"/>
      <c r="B4903"/>
    </row>
    <row r="4904" spans="1:2">
      <c r="A4904" s="59"/>
      <c r="B4904"/>
    </row>
    <row r="4905" spans="1:2">
      <c r="A4905" s="59"/>
      <c r="B4905"/>
    </row>
    <row r="4906" spans="1:2">
      <c r="A4906" s="59"/>
      <c r="B4906"/>
    </row>
    <row r="4907" spans="1:2">
      <c r="A4907" s="59"/>
      <c r="B4907"/>
    </row>
    <row r="4908" spans="1:2">
      <c r="A4908" s="59"/>
      <c r="B4908"/>
    </row>
    <row r="4909" spans="1:2">
      <c r="A4909" s="59"/>
      <c r="B4909"/>
    </row>
    <row r="4910" spans="1:2">
      <c r="A4910" s="59"/>
      <c r="B4910"/>
    </row>
    <row r="4911" spans="1:2">
      <c r="A4911" s="59"/>
      <c r="B4911"/>
    </row>
    <row r="4912" spans="1:2">
      <c r="A4912" s="59"/>
      <c r="B4912"/>
    </row>
    <row r="4913" spans="1:2">
      <c r="A4913" s="59"/>
      <c r="B4913"/>
    </row>
    <row r="4914" spans="1:2">
      <c r="A4914" s="59"/>
      <c r="B4914"/>
    </row>
    <row r="4915" spans="1:2">
      <c r="A4915" s="59"/>
      <c r="B4915"/>
    </row>
    <row r="4916" spans="1:2">
      <c r="A4916" s="59"/>
      <c r="B4916"/>
    </row>
    <row r="4917" spans="1:2">
      <c r="A4917" s="59"/>
      <c r="B4917"/>
    </row>
    <row r="4918" spans="1:2">
      <c r="A4918" s="59"/>
      <c r="B4918"/>
    </row>
    <row r="4919" spans="1:2">
      <c r="A4919" s="59"/>
      <c r="B4919"/>
    </row>
    <row r="4920" spans="1:2">
      <c r="A4920" s="59"/>
      <c r="B4920"/>
    </row>
    <row r="4921" spans="1:2">
      <c r="A4921" s="59"/>
      <c r="B4921"/>
    </row>
    <row r="4922" spans="1:2">
      <c r="A4922" s="59"/>
      <c r="B4922"/>
    </row>
    <row r="4923" spans="1:2">
      <c r="A4923" s="59"/>
      <c r="B4923"/>
    </row>
    <row r="4924" spans="1:2">
      <c r="A4924" s="59"/>
      <c r="B4924"/>
    </row>
    <row r="4925" spans="1:2">
      <c r="A4925" s="59"/>
      <c r="B4925"/>
    </row>
    <row r="4926" spans="1:2">
      <c r="A4926" s="59"/>
      <c r="B4926"/>
    </row>
    <row r="4927" spans="1:2">
      <c r="A4927" s="59"/>
      <c r="B4927"/>
    </row>
    <row r="4928" spans="1:2">
      <c r="A4928" s="59"/>
      <c r="B4928"/>
    </row>
    <row r="4929" spans="1:2">
      <c r="A4929" s="59"/>
      <c r="B4929"/>
    </row>
    <row r="4930" spans="1:2">
      <c r="A4930" s="59"/>
      <c r="B4930"/>
    </row>
    <row r="4931" spans="1:2">
      <c r="A4931" s="59"/>
      <c r="B4931"/>
    </row>
    <row r="4932" spans="1:2">
      <c r="A4932" s="59"/>
      <c r="B4932"/>
    </row>
    <row r="4933" spans="1:2">
      <c r="A4933" s="59"/>
      <c r="B4933"/>
    </row>
    <row r="4934" spans="1:2">
      <c r="A4934" s="59"/>
      <c r="B4934"/>
    </row>
    <row r="4935" spans="1:2">
      <c r="A4935" s="59"/>
      <c r="B4935"/>
    </row>
    <row r="4936" spans="1:2">
      <c r="A4936" s="59"/>
      <c r="B4936"/>
    </row>
    <row r="4937" spans="1:2">
      <c r="A4937" s="59"/>
      <c r="B4937"/>
    </row>
    <row r="4938" spans="1:2">
      <c r="A4938" s="59"/>
      <c r="B4938"/>
    </row>
    <row r="4939" spans="1:2">
      <c r="A4939" s="59"/>
      <c r="B4939"/>
    </row>
    <row r="4940" spans="1:2">
      <c r="A4940" s="59"/>
      <c r="B4940"/>
    </row>
    <row r="4941" spans="1:2">
      <c r="A4941" s="59"/>
      <c r="B4941"/>
    </row>
    <row r="4942" spans="1:2">
      <c r="A4942" s="59"/>
      <c r="B4942"/>
    </row>
    <row r="4943" spans="1:2">
      <c r="A4943" s="59"/>
      <c r="B4943"/>
    </row>
    <row r="4944" spans="1:2">
      <c r="A4944" s="59"/>
      <c r="B4944"/>
    </row>
    <row r="4945" spans="1:2">
      <c r="A4945" s="59"/>
      <c r="B4945"/>
    </row>
    <row r="4946" spans="1:2">
      <c r="A4946" s="59"/>
      <c r="B4946"/>
    </row>
    <row r="4947" spans="1:2">
      <c r="A4947" s="59"/>
      <c r="B4947"/>
    </row>
    <row r="4948" spans="1:2">
      <c r="A4948" s="59"/>
      <c r="B4948"/>
    </row>
    <row r="4949" spans="1:2">
      <c r="A4949" s="59"/>
      <c r="B4949"/>
    </row>
    <row r="4950" spans="1:2">
      <c r="A4950" s="59"/>
      <c r="B4950"/>
    </row>
    <row r="4951" spans="1:2">
      <c r="A4951" s="59"/>
      <c r="B4951"/>
    </row>
    <row r="4952" spans="1:2">
      <c r="A4952" s="59"/>
      <c r="B4952"/>
    </row>
    <row r="4953" spans="1:2">
      <c r="A4953" s="59"/>
      <c r="B4953"/>
    </row>
    <row r="4954" spans="1:2">
      <c r="A4954" s="59"/>
      <c r="B4954"/>
    </row>
    <row r="4955" spans="1:2">
      <c r="A4955" s="59"/>
      <c r="B4955"/>
    </row>
    <row r="4956" spans="1:2">
      <c r="A4956" s="59"/>
      <c r="B4956"/>
    </row>
    <row r="4957" spans="1:2">
      <c r="A4957" s="59"/>
      <c r="B4957"/>
    </row>
    <row r="4958" spans="1:2">
      <c r="A4958" s="59"/>
      <c r="B4958"/>
    </row>
    <row r="4959" spans="1:2">
      <c r="A4959" s="59"/>
      <c r="B4959"/>
    </row>
    <row r="4960" spans="1:2">
      <c r="A4960" s="59"/>
      <c r="B4960"/>
    </row>
    <row r="4961" spans="1:2">
      <c r="A4961" s="59"/>
      <c r="B4961"/>
    </row>
    <row r="4962" spans="1:2">
      <c r="A4962" s="59"/>
      <c r="B4962"/>
    </row>
    <row r="4963" spans="1:2">
      <c r="A4963" s="59"/>
      <c r="B4963"/>
    </row>
    <row r="4964" spans="1:2">
      <c r="A4964" s="59"/>
      <c r="B4964"/>
    </row>
    <row r="4965" spans="1:2">
      <c r="A4965" s="59"/>
      <c r="B4965"/>
    </row>
    <row r="4966" spans="1:2">
      <c r="A4966" s="59"/>
      <c r="B4966"/>
    </row>
    <row r="4967" spans="1:2">
      <c r="A4967" s="59"/>
      <c r="B4967"/>
    </row>
    <row r="4968" spans="1:2">
      <c r="A4968" s="59"/>
      <c r="B4968"/>
    </row>
    <row r="4969" spans="1:2">
      <c r="A4969" s="59"/>
      <c r="B4969"/>
    </row>
    <row r="4970" spans="1:2">
      <c r="A4970" s="59"/>
      <c r="B4970"/>
    </row>
    <row r="4971" spans="1:2">
      <c r="A4971" s="59"/>
      <c r="B4971"/>
    </row>
    <row r="4972" spans="1:2">
      <c r="A4972" s="59"/>
      <c r="B4972"/>
    </row>
    <row r="4973" spans="1:2">
      <c r="A4973" s="59"/>
      <c r="B4973"/>
    </row>
    <row r="4974" spans="1:2">
      <c r="A4974" s="59"/>
      <c r="B4974"/>
    </row>
    <row r="4975" spans="1:2">
      <c r="A4975" s="59"/>
      <c r="B4975"/>
    </row>
    <row r="4976" spans="1:2">
      <c r="A4976" s="59"/>
      <c r="B4976"/>
    </row>
    <row r="4977" spans="1:2">
      <c r="A4977" s="59"/>
      <c r="B4977"/>
    </row>
    <row r="4978" spans="1:2">
      <c r="A4978" s="59"/>
      <c r="B4978"/>
    </row>
    <row r="4979" spans="1:2">
      <c r="A4979" s="59"/>
      <c r="B4979"/>
    </row>
    <row r="4980" spans="1:2">
      <c r="A4980" s="59"/>
      <c r="B4980"/>
    </row>
    <row r="4981" spans="1:2">
      <c r="A4981" s="59"/>
      <c r="B4981"/>
    </row>
    <row r="4982" spans="1:2">
      <c r="A4982" s="59"/>
      <c r="B4982"/>
    </row>
    <row r="4983" spans="1:2">
      <c r="A4983" s="59"/>
      <c r="B4983"/>
    </row>
    <row r="4984" spans="1:2">
      <c r="A4984" s="59"/>
      <c r="B4984"/>
    </row>
    <row r="4985" spans="1:2">
      <c r="A4985" s="59"/>
      <c r="B4985"/>
    </row>
    <row r="4986" spans="1:2">
      <c r="A4986" s="59"/>
      <c r="B4986"/>
    </row>
    <row r="4987" spans="1:2">
      <c r="A4987" s="59"/>
      <c r="B4987"/>
    </row>
    <row r="4988" spans="1:2">
      <c r="A4988" s="59"/>
      <c r="B4988"/>
    </row>
    <row r="4989" spans="1:2">
      <c r="A4989" s="59"/>
      <c r="B4989"/>
    </row>
    <row r="4990" spans="1:2">
      <c r="A4990" s="59"/>
      <c r="B4990"/>
    </row>
    <row r="4991" spans="1:2">
      <c r="A4991" s="59"/>
      <c r="B4991"/>
    </row>
    <row r="4992" spans="1:2">
      <c r="A4992" s="59"/>
      <c r="B4992"/>
    </row>
    <row r="4993" spans="1:2">
      <c r="A4993" s="59"/>
      <c r="B4993"/>
    </row>
    <row r="4994" spans="1:2">
      <c r="A4994" s="59"/>
      <c r="B4994"/>
    </row>
    <row r="4995" spans="1:2">
      <c r="A4995" s="59"/>
      <c r="B4995"/>
    </row>
    <row r="4996" spans="1:2">
      <c r="A4996" s="59"/>
      <c r="B4996"/>
    </row>
    <row r="4997" spans="1:2">
      <c r="A4997" s="59"/>
      <c r="B4997"/>
    </row>
    <row r="4998" spans="1:2">
      <c r="A4998" s="59"/>
      <c r="B4998"/>
    </row>
    <row r="4999" spans="1:2">
      <c r="A4999" s="59"/>
      <c r="B4999"/>
    </row>
    <row r="5000" spans="1:2">
      <c r="A5000" s="59"/>
      <c r="B5000"/>
    </row>
    <row r="5001" spans="1:2">
      <c r="A5001" s="59"/>
      <c r="B5001"/>
    </row>
    <row r="5002" spans="1:2">
      <c r="A5002" s="59"/>
      <c r="B5002"/>
    </row>
    <row r="5003" spans="1:2">
      <c r="A5003" s="59"/>
      <c r="B5003"/>
    </row>
    <row r="5004" spans="1:2">
      <c r="A5004" s="59"/>
      <c r="B5004"/>
    </row>
    <row r="5005" spans="1:2">
      <c r="A5005" s="59"/>
      <c r="B5005"/>
    </row>
    <row r="5006" spans="1:2">
      <c r="A5006" s="59"/>
      <c r="B5006"/>
    </row>
    <row r="5007" spans="1:2">
      <c r="A5007" s="59"/>
      <c r="B5007"/>
    </row>
    <row r="5008" spans="1:2">
      <c r="A5008" s="59"/>
      <c r="B5008"/>
    </row>
    <row r="5009" spans="1:2">
      <c r="A5009" s="59"/>
      <c r="B5009"/>
    </row>
    <row r="5010" spans="1:2">
      <c r="A5010" s="59"/>
      <c r="B5010"/>
    </row>
    <row r="5011" spans="1:2">
      <c r="A5011" s="59"/>
      <c r="B5011"/>
    </row>
    <row r="5012" spans="1:2">
      <c r="A5012" s="59"/>
      <c r="B5012"/>
    </row>
    <row r="5013" spans="1:2">
      <c r="A5013" s="59"/>
      <c r="B5013"/>
    </row>
    <row r="5014" spans="1:2">
      <c r="A5014" s="59"/>
      <c r="B5014"/>
    </row>
    <row r="5015" spans="1:2">
      <c r="A5015" s="59"/>
      <c r="B5015"/>
    </row>
    <row r="5016" spans="1:2">
      <c r="A5016" s="59"/>
      <c r="B5016"/>
    </row>
    <row r="5017" spans="1:2">
      <c r="A5017" s="59"/>
      <c r="B5017"/>
    </row>
    <row r="5018" spans="1:2">
      <c r="A5018" s="59"/>
      <c r="B5018"/>
    </row>
    <row r="5019" spans="1:2">
      <c r="A5019" s="59"/>
      <c r="B5019"/>
    </row>
    <row r="5020" spans="1:2">
      <c r="A5020" s="59"/>
      <c r="B5020"/>
    </row>
    <row r="5021" spans="1:2">
      <c r="A5021" s="59"/>
      <c r="B5021"/>
    </row>
    <row r="5022" spans="1:2">
      <c r="A5022" s="59"/>
      <c r="B5022"/>
    </row>
    <row r="5023" spans="1:2">
      <c r="A5023" s="59"/>
      <c r="B5023"/>
    </row>
    <row r="5024" spans="1:2">
      <c r="A5024" s="59"/>
      <c r="B5024"/>
    </row>
    <row r="5025" spans="1:2">
      <c r="A5025" s="59"/>
      <c r="B5025"/>
    </row>
    <row r="5026" spans="1:2">
      <c r="A5026" s="59"/>
      <c r="B5026"/>
    </row>
    <row r="5027" spans="1:2">
      <c r="A5027" s="59"/>
      <c r="B5027"/>
    </row>
    <row r="5028" spans="1:2">
      <c r="A5028" s="59"/>
      <c r="B5028"/>
    </row>
    <row r="5029" spans="1:2">
      <c r="A5029" s="59"/>
      <c r="B5029"/>
    </row>
    <row r="5030" spans="1:2">
      <c r="A5030" s="59"/>
      <c r="B5030"/>
    </row>
    <row r="5031" spans="1:2">
      <c r="A5031" s="59"/>
      <c r="B5031"/>
    </row>
    <row r="5032" spans="1:2">
      <c r="A5032" s="59"/>
      <c r="B5032"/>
    </row>
    <row r="5033" spans="1:2">
      <c r="A5033" s="59"/>
      <c r="B5033"/>
    </row>
    <row r="5034" spans="1:2">
      <c r="A5034" s="59"/>
      <c r="B5034"/>
    </row>
    <row r="5035" spans="1:2">
      <c r="A5035" s="59"/>
      <c r="B5035"/>
    </row>
    <row r="5036" spans="1:2">
      <c r="A5036" s="59"/>
      <c r="B5036"/>
    </row>
    <row r="5037" spans="1:2">
      <c r="A5037" s="59"/>
      <c r="B5037"/>
    </row>
    <row r="5038" spans="1:2">
      <c r="A5038" s="59"/>
      <c r="B5038"/>
    </row>
    <row r="5039" spans="1:2">
      <c r="A5039" s="59"/>
      <c r="B5039"/>
    </row>
    <row r="5040" spans="1:2">
      <c r="A5040" s="59"/>
      <c r="B5040"/>
    </row>
    <row r="5041" spans="1:2">
      <c r="A5041" s="59"/>
      <c r="B5041"/>
    </row>
    <row r="5042" spans="1:2">
      <c r="A5042" s="59"/>
      <c r="B5042"/>
    </row>
    <row r="5043" spans="1:2">
      <c r="A5043" s="59"/>
      <c r="B5043"/>
    </row>
    <row r="5044" spans="1:2">
      <c r="A5044" s="59"/>
      <c r="B5044"/>
    </row>
    <row r="5045" spans="1:2">
      <c r="A5045" s="59"/>
      <c r="B5045"/>
    </row>
    <row r="5046" spans="1:2">
      <c r="A5046" s="59"/>
      <c r="B5046"/>
    </row>
    <row r="5047" spans="1:2">
      <c r="A5047" s="59"/>
      <c r="B5047"/>
    </row>
    <row r="5048" spans="1:2">
      <c r="A5048" s="59"/>
      <c r="B5048"/>
    </row>
    <row r="5049" spans="1:2">
      <c r="A5049" s="59"/>
      <c r="B5049"/>
    </row>
    <row r="5050" spans="1:2">
      <c r="A5050" s="59"/>
      <c r="B5050"/>
    </row>
    <row r="5051" spans="1:2">
      <c r="A5051" s="59"/>
      <c r="B5051"/>
    </row>
    <row r="5052" spans="1:2">
      <c r="A5052" s="59"/>
      <c r="B5052"/>
    </row>
    <row r="5053" spans="1:2">
      <c r="A5053" s="59"/>
      <c r="B5053"/>
    </row>
    <row r="5054" spans="1:2">
      <c r="A5054" s="59"/>
      <c r="B5054"/>
    </row>
    <row r="5055" spans="1:2">
      <c r="A5055" s="59"/>
      <c r="B5055"/>
    </row>
    <row r="5056" spans="1:2">
      <c r="A5056" s="59"/>
      <c r="B5056"/>
    </row>
    <row r="5057" spans="1:2">
      <c r="A5057" s="59"/>
      <c r="B5057"/>
    </row>
    <row r="5058" spans="1:2">
      <c r="A5058" s="59"/>
      <c r="B5058"/>
    </row>
    <row r="5059" spans="1:2">
      <c r="A5059" s="59"/>
      <c r="B5059"/>
    </row>
    <row r="5060" spans="1:2">
      <c r="A5060" s="59"/>
      <c r="B5060"/>
    </row>
    <row r="5061" spans="1:2">
      <c r="A5061" s="59"/>
      <c r="B5061"/>
    </row>
    <row r="5062" spans="1:2">
      <c r="A5062" s="59"/>
      <c r="B5062"/>
    </row>
    <row r="5063" spans="1:2">
      <c r="A5063" s="59"/>
      <c r="B5063"/>
    </row>
    <row r="5064" spans="1:2">
      <c r="A5064" s="59"/>
      <c r="B5064"/>
    </row>
    <row r="5065" spans="1:2">
      <c r="A5065" s="59"/>
      <c r="B5065"/>
    </row>
    <row r="5066" spans="1:2">
      <c r="A5066" s="59"/>
      <c r="B5066"/>
    </row>
    <row r="5067" spans="1:2">
      <c r="A5067" s="59"/>
      <c r="B5067"/>
    </row>
    <row r="5068" spans="1:2">
      <c r="A5068" s="59"/>
      <c r="B5068"/>
    </row>
    <row r="5069" spans="1:2">
      <c r="A5069" s="59"/>
      <c r="B5069"/>
    </row>
    <row r="5070" spans="1:2">
      <c r="A5070" s="59"/>
      <c r="B5070"/>
    </row>
    <row r="5071" spans="1:2">
      <c r="A5071" s="59"/>
      <c r="B5071"/>
    </row>
    <row r="5072" spans="1:2">
      <c r="A5072" s="59"/>
      <c r="B5072"/>
    </row>
    <row r="5073" spans="1:2">
      <c r="A5073" s="59"/>
      <c r="B5073"/>
    </row>
    <row r="5074" spans="1:2">
      <c r="A5074" s="59"/>
      <c r="B5074"/>
    </row>
    <row r="5075" spans="1:2">
      <c r="A5075" s="59"/>
      <c r="B5075"/>
    </row>
    <row r="5076" spans="1:2">
      <c r="A5076" s="59"/>
      <c r="B5076"/>
    </row>
    <row r="5077" spans="1:2">
      <c r="A5077" s="59"/>
      <c r="B5077"/>
    </row>
    <row r="5078" spans="1:2">
      <c r="A5078" s="59"/>
      <c r="B5078"/>
    </row>
    <row r="5079" spans="1:2">
      <c r="A5079" s="59"/>
      <c r="B5079"/>
    </row>
    <row r="5080" spans="1:2">
      <c r="A5080" s="59"/>
      <c r="B5080"/>
    </row>
    <row r="5081" spans="1:2">
      <c r="A5081" s="59"/>
      <c r="B5081"/>
    </row>
    <row r="5082" spans="1:2">
      <c r="A5082" s="59"/>
      <c r="B5082"/>
    </row>
    <row r="5083" spans="1:2">
      <c r="A5083" s="59"/>
      <c r="B5083"/>
    </row>
    <row r="5084" spans="1:2">
      <c r="A5084" s="59"/>
      <c r="B5084"/>
    </row>
    <row r="5085" spans="1:2">
      <c r="A5085" s="59"/>
      <c r="B5085"/>
    </row>
    <row r="5086" spans="1:2">
      <c r="A5086" s="59"/>
      <c r="B5086"/>
    </row>
    <row r="5087" spans="1:2">
      <c r="A5087" s="59"/>
      <c r="B5087"/>
    </row>
    <row r="5088" spans="1:2">
      <c r="A5088" s="59"/>
      <c r="B5088"/>
    </row>
    <row r="5089" spans="1:2">
      <c r="A5089" s="59"/>
      <c r="B5089"/>
    </row>
    <row r="5090" spans="1:2">
      <c r="A5090" s="59"/>
      <c r="B5090"/>
    </row>
    <row r="5091" spans="1:2">
      <c r="A5091" s="59"/>
      <c r="B5091"/>
    </row>
    <row r="5092" spans="1:2">
      <c r="A5092" s="59"/>
      <c r="B5092"/>
    </row>
    <row r="5093" spans="1:2">
      <c r="A5093" s="59"/>
      <c r="B5093"/>
    </row>
    <row r="5094" spans="1:2">
      <c r="A5094" s="59"/>
      <c r="B5094"/>
    </row>
    <row r="5095" spans="1:2">
      <c r="A5095" s="59"/>
      <c r="B5095"/>
    </row>
    <row r="5096" spans="1:2">
      <c r="A5096" s="59"/>
      <c r="B5096"/>
    </row>
    <row r="5097" spans="1:2">
      <c r="A5097" s="59"/>
      <c r="B5097"/>
    </row>
    <row r="5098" spans="1:2">
      <c r="A5098" s="59"/>
      <c r="B5098"/>
    </row>
    <row r="5099" spans="1:2">
      <c r="A5099" s="59"/>
      <c r="B5099"/>
    </row>
    <row r="5100" spans="1:2">
      <c r="A5100" s="59"/>
      <c r="B5100"/>
    </row>
    <row r="5101" spans="1:2">
      <c r="A5101" s="59"/>
      <c r="B5101"/>
    </row>
    <row r="5102" spans="1:2">
      <c r="A5102" s="59"/>
      <c r="B5102"/>
    </row>
    <row r="5103" spans="1:2">
      <c r="A5103" s="59"/>
      <c r="B5103"/>
    </row>
    <row r="5104" spans="1:2">
      <c r="A5104" s="59"/>
      <c r="B5104"/>
    </row>
    <row r="5105" spans="1:2">
      <c r="A5105" s="59"/>
      <c r="B5105"/>
    </row>
    <row r="5106" spans="1:2">
      <c r="A5106" s="59"/>
      <c r="B5106"/>
    </row>
    <row r="5107" spans="1:2">
      <c r="A5107" s="59"/>
      <c r="B5107"/>
    </row>
    <row r="5108" spans="1:2">
      <c r="A5108" s="59"/>
      <c r="B5108"/>
    </row>
    <row r="5109" spans="1:2">
      <c r="A5109" s="59"/>
      <c r="B5109"/>
    </row>
    <row r="5110" spans="1:2">
      <c r="A5110" s="59"/>
      <c r="B5110"/>
    </row>
    <row r="5111" spans="1:2">
      <c r="A5111" s="59"/>
      <c r="B5111"/>
    </row>
    <row r="5112" spans="1:2">
      <c r="A5112" s="59"/>
      <c r="B5112"/>
    </row>
    <row r="5113" spans="1:2">
      <c r="A5113" s="59"/>
      <c r="B5113"/>
    </row>
    <row r="5114" spans="1:2">
      <c r="A5114" s="59"/>
      <c r="B5114"/>
    </row>
    <row r="5115" spans="1:2">
      <c r="A5115" s="59"/>
      <c r="B5115"/>
    </row>
    <row r="5116" spans="1:2">
      <c r="A5116" s="59"/>
      <c r="B5116"/>
    </row>
    <row r="5117" spans="1:2">
      <c r="A5117" s="59"/>
      <c r="B5117"/>
    </row>
    <row r="5118" spans="1:2">
      <c r="A5118" s="59"/>
      <c r="B5118"/>
    </row>
    <row r="5119" spans="1:2">
      <c r="A5119" s="59"/>
      <c r="B5119"/>
    </row>
    <row r="5120" spans="1:2">
      <c r="A5120" s="59"/>
      <c r="B5120"/>
    </row>
    <row r="5121" spans="1:2">
      <c r="A5121" s="59"/>
      <c r="B5121"/>
    </row>
    <row r="5122" spans="1:2">
      <c r="A5122" s="59"/>
      <c r="B5122"/>
    </row>
    <row r="5123" spans="1:2">
      <c r="A5123" s="59"/>
      <c r="B5123"/>
    </row>
    <row r="5124" spans="1:2">
      <c r="A5124" s="59"/>
      <c r="B5124"/>
    </row>
    <row r="5125" spans="1:2">
      <c r="A5125" s="59"/>
      <c r="B5125"/>
    </row>
    <row r="5126" spans="1:2">
      <c r="A5126" s="59"/>
      <c r="B5126"/>
    </row>
    <row r="5127" spans="1:2">
      <c r="A5127" s="59"/>
      <c r="B5127"/>
    </row>
    <row r="5128" spans="1:2">
      <c r="A5128" s="59"/>
      <c r="B5128"/>
    </row>
    <row r="5129" spans="1:2">
      <c r="A5129" s="59"/>
      <c r="B5129"/>
    </row>
    <row r="5130" spans="1:2">
      <c r="A5130" s="59"/>
      <c r="B5130"/>
    </row>
    <row r="5131" spans="1:2">
      <c r="A5131" s="59"/>
      <c r="B5131"/>
    </row>
    <row r="5132" spans="1:2">
      <c r="A5132" s="59"/>
      <c r="B5132"/>
    </row>
    <row r="5133" spans="1:2">
      <c r="A5133" s="59"/>
      <c r="B5133"/>
    </row>
    <row r="5134" spans="1:2">
      <c r="A5134" s="59"/>
      <c r="B5134"/>
    </row>
    <row r="5135" spans="1:2">
      <c r="A5135" s="59"/>
      <c r="B5135"/>
    </row>
    <row r="5136" spans="1:2">
      <c r="A5136" s="59"/>
      <c r="B5136"/>
    </row>
    <row r="5137" spans="1:2">
      <c r="A5137" s="59"/>
      <c r="B5137"/>
    </row>
    <row r="5138" spans="1:2">
      <c r="A5138" s="59"/>
      <c r="B5138"/>
    </row>
    <row r="5139" spans="1:2">
      <c r="A5139" s="59"/>
      <c r="B5139"/>
    </row>
    <row r="5140" spans="1:2">
      <c r="A5140" s="59"/>
      <c r="B5140"/>
    </row>
    <row r="5141" spans="1:2">
      <c r="A5141" s="59"/>
      <c r="B5141"/>
    </row>
    <row r="5142" spans="1:2">
      <c r="A5142" s="59"/>
      <c r="B5142"/>
    </row>
    <row r="5143" spans="1:2">
      <c r="A5143" s="59"/>
      <c r="B5143"/>
    </row>
    <row r="5144" spans="1:2">
      <c r="A5144" s="59"/>
      <c r="B5144"/>
    </row>
    <row r="5145" spans="1:2">
      <c r="A5145" s="59"/>
      <c r="B5145"/>
    </row>
    <row r="5146" spans="1:2">
      <c r="A5146" s="59"/>
      <c r="B5146"/>
    </row>
    <row r="5147" spans="1:2">
      <c r="A5147" s="59"/>
      <c r="B5147"/>
    </row>
    <row r="5148" spans="1:2">
      <c r="A5148" s="59"/>
      <c r="B5148"/>
    </row>
    <row r="5149" spans="1:2">
      <c r="A5149" s="59"/>
      <c r="B5149"/>
    </row>
    <row r="5150" spans="1:2">
      <c r="A5150" s="59"/>
      <c r="B5150"/>
    </row>
    <row r="5151" spans="1:2">
      <c r="A5151" s="59"/>
      <c r="B5151"/>
    </row>
    <row r="5152" spans="1:2">
      <c r="A5152" s="59"/>
      <c r="B5152"/>
    </row>
    <row r="5153" spans="1:2">
      <c r="A5153" s="59"/>
      <c r="B5153"/>
    </row>
    <row r="5154" spans="1:2">
      <c r="A5154" s="59"/>
      <c r="B5154"/>
    </row>
    <row r="5155" spans="1:2">
      <c r="A5155" s="59"/>
      <c r="B5155"/>
    </row>
    <row r="5156" spans="1:2">
      <c r="A5156" s="59"/>
      <c r="B5156"/>
    </row>
    <row r="5157" spans="1:2">
      <c r="A5157" s="59"/>
      <c r="B5157"/>
    </row>
    <row r="5158" spans="1:2">
      <c r="A5158" s="59"/>
      <c r="B5158"/>
    </row>
    <row r="5159" spans="1:2">
      <c r="A5159" s="59"/>
      <c r="B5159"/>
    </row>
    <row r="5160" spans="1:2">
      <c r="A5160" s="59"/>
      <c r="B5160"/>
    </row>
    <row r="5161" spans="1:2">
      <c r="A5161" s="59"/>
      <c r="B5161"/>
    </row>
    <row r="5162" spans="1:2">
      <c r="A5162" s="59"/>
      <c r="B5162"/>
    </row>
    <row r="5163" spans="1:2">
      <c r="A5163" s="59"/>
      <c r="B5163"/>
    </row>
    <row r="5164" spans="1:2">
      <c r="A5164" s="59"/>
      <c r="B5164"/>
    </row>
    <row r="5165" spans="1:2">
      <c r="A5165" s="59"/>
      <c r="B5165"/>
    </row>
    <row r="5166" spans="1:2">
      <c r="A5166" s="59"/>
      <c r="B5166"/>
    </row>
    <row r="5167" spans="1:2">
      <c r="A5167" s="59"/>
      <c r="B5167"/>
    </row>
    <row r="5168" spans="1:2">
      <c r="A5168" s="59"/>
      <c r="B5168"/>
    </row>
    <row r="5169" spans="1:2">
      <c r="A5169" s="59"/>
      <c r="B5169"/>
    </row>
    <row r="5170" spans="1:2">
      <c r="A5170" s="59"/>
      <c r="B5170"/>
    </row>
    <row r="5171" spans="1:2">
      <c r="A5171" s="59"/>
      <c r="B5171"/>
    </row>
    <row r="5172" spans="1:2">
      <c r="A5172" s="59"/>
      <c r="B5172"/>
    </row>
    <row r="5173" spans="1:2">
      <c r="A5173" s="59"/>
      <c r="B5173"/>
    </row>
    <row r="5174" spans="1:2">
      <c r="A5174" s="59"/>
      <c r="B5174"/>
    </row>
    <row r="5175" spans="1:2">
      <c r="A5175" s="59"/>
      <c r="B5175"/>
    </row>
    <row r="5176" spans="1:2">
      <c r="A5176" s="59"/>
      <c r="B5176"/>
    </row>
    <row r="5177" spans="1:2">
      <c r="A5177" s="59"/>
      <c r="B5177"/>
    </row>
    <row r="5178" spans="1:2">
      <c r="A5178" s="59"/>
      <c r="B5178"/>
    </row>
    <row r="5179" spans="1:2">
      <c r="A5179" s="59"/>
      <c r="B5179"/>
    </row>
    <row r="5180" spans="1:2">
      <c r="A5180" s="59"/>
      <c r="B5180"/>
    </row>
    <row r="5181" spans="1:2">
      <c r="A5181" s="59"/>
      <c r="B5181"/>
    </row>
    <row r="5182" spans="1:2">
      <c r="A5182" s="59"/>
      <c r="B5182"/>
    </row>
    <row r="5183" spans="1:2">
      <c r="A5183" s="59"/>
      <c r="B5183"/>
    </row>
    <row r="5184" spans="1:2">
      <c r="A5184" s="59"/>
      <c r="B5184"/>
    </row>
    <row r="5185" spans="1:2">
      <c r="A5185" s="59"/>
      <c r="B5185"/>
    </row>
    <row r="5186" spans="1:2">
      <c r="A5186" s="59"/>
      <c r="B5186"/>
    </row>
    <row r="5187" spans="1:2">
      <c r="A5187" s="59"/>
      <c r="B5187"/>
    </row>
    <row r="5188" spans="1:2">
      <c r="A5188" s="59"/>
      <c r="B5188"/>
    </row>
    <row r="5189" spans="1:2">
      <c r="A5189" s="59"/>
      <c r="B5189"/>
    </row>
    <row r="5190" spans="1:2">
      <c r="A5190" s="59"/>
      <c r="B5190"/>
    </row>
    <row r="5191" spans="1:2">
      <c r="A5191" s="59"/>
      <c r="B5191"/>
    </row>
    <row r="5192" spans="1:2">
      <c r="A5192" s="59"/>
      <c r="B5192"/>
    </row>
    <row r="5193" spans="1:2">
      <c r="A5193" s="59"/>
      <c r="B5193"/>
    </row>
    <row r="5194" spans="1:2">
      <c r="A5194" s="59"/>
      <c r="B5194"/>
    </row>
    <row r="5195" spans="1:2">
      <c r="A5195" s="59"/>
      <c r="B5195"/>
    </row>
    <row r="5196" spans="1:2">
      <c r="A5196" s="59"/>
      <c r="B5196"/>
    </row>
    <row r="5197" spans="1:2">
      <c r="A5197" s="59"/>
      <c r="B5197"/>
    </row>
    <row r="5198" spans="1:2">
      <c r="A5198" s="59"/>
      <c r="B5198"/>
    </row>
    <row r="5199" spans="1:2">
      <c r="A5199" s="59"/>
      <c r="B5199"/>
    </row>
    <row r="5200" spans="1:2">
      <c r="A5200" s="59"/>
      <c r="B5200"/>
    </row>
    <row r="5201" spans="1:2">
      <c r="A5201" s="59"/>
      <c r="B5201"/>
    </row>
    <row r="5202" spans="1:2">
      <c r="A5202" s="59"/>
      <c r="B5202"/>
    </row>
    <row r="5203" spans="1:2">
      <c r="A5203" s="59"/>
      <c r="B5203"/>
    </row>
    <row r="5204" spans="1:2">
      <c r="A5204" s="59"/>
      <c r="B5204"/>
    </row>
    <row r="5205" spans="1:2">
      <c r="A5205" s="59"/>
      <c r="B5205"/>
    </row>
    <row r="5206" spans="1:2">
      <c r="A5206" s="59"/>
      <c r="B5206"/>
    </row>
    <row r="5207" spans="1:2">
      <c r="A5207" s="59"/>
      <c r="B5207"/>
    </row>
    <row r="5208" spans="1:2">
      <c r="A5208" s="59"/>
      <c r="B5208"/>
    </row>
    <row r="5209" spans="1:2">
      <c r="A5209" s="59"/>
      <c r="B5209"/>
    </row>
    <row r="5210" spans="1:2">
      <c r="A5210" s="59"/>
      <c r="B5210"/>
    </row>
    <row r="5211" spans="1:2">
      <c r="A5211" s="59"/>
      <c r="B5211"/>
    </row>
    <row r="5212" spans="1:2">
      <c r="A5212" s="59"/>
      <c r="B5212"/>
    </row>
    <row r="5213" spans="1:2">
      <c r="A5213" s="59"/>
      <c r="B5213"/>
    </row>
    <row r="5214" spans="1:2">
      <c r="A5214" s="59"/>
      <c r="B5214"/>
    </row>
    <row r="5215" spans="1:2">
      <c r="A5215" s="59"/>
      <c r="B5215"/>
    </row>
    <row r="5216" spans="1:2">
      <c r="A5216" s="59"/>
      <c r="B5216"/>
    </row>
    <row r="5217" spans="1:2">
      <c r="A5217" s="59"/>
      <c r="B5217"/>
    </row>
    <row r="5218" spans="1:2">
      <c r="A5218" s="59"/>
      <c r="B5218"/>
    </row>
    <row r="5219" spans="1:2">
      <c r="A5219" s="59"/>
      <c r="B5219"/>
    </row>
    <row r="5220" spans="1:2">
      <c r="A5220" s="59"/>
      <c r="B5220"/>
    </row>
    <row r="5221" spans="1:2">
      <c r="A5221" s="59"/>
      <c r="B5221"/>
    </row>
    <row r="5222" spans="1:2">
      <c r="A5222" s="59"/>
      <c r="B5222"/>
    </row>
    <row r="5223" spans="1:2">
      <c r="A5223" s="59"/>
      <c r="B5223"/>
    </row>
    <row r="5224" spans="1:2">
      <c r="A5224" s="59"/>
      <c r="B5224"/>
    </row>
    <row r="5225" spans="1:2">
      <c r="A5225" s="59"/>
      <c r="B5225"/>
    </row>
    <row r="5226" spans="1:2">
      <c r="A5226" s="59"/>
      <c r="B5226"/>
    </row>
    <row r="5227" spans="1:2">
      <c r="A5227" s="59"/>
      <c r="B5227"/>
    </row>
    <row r="5228" spans="1:2">
      <c r="A5228" s="59"/>
      <c r="B5228"/>
    </row>
    <row r="5229" spans="1:2">
      <c r="A5229" s="59"/>
      <c r="B5229"/>
    </row>
    <row r="5230" spans="1:2">
      <c r="A5230" s="59"/>
      <c r="B5230"/>
    </row>
    <row r="5231" spans="1:2">
      <c r="A5231" s="59"/>
      <c r="B5231"/>
    </row>
    <row r="5232" spans="1:2">
      <c r="A5232" s="59"/>
      <c r="B5232"/>
    </row>
    <row r="5233" spans="1:2">
      <c r="A5233" s="59"/>
      <c r="B5233"/>
    </row>
    <row r="5234" spans="1:2">
      <c r="A5234" s="59"/>
      <c r="B5234"/>
    </row>
    <row r="5235" spans="1:2">
      <c r="A5235" s="59"/>
      <c r="B5235"/>
    </row>
    <row r="5236" spans="1:2">
      <c r="A5236" s="59"/>
      <c r="B5236"/>
    </row>
    <row r="5237" spans="1:2">
      <c r="A5237" s="59"/>
      <c r="B5237"/>
    </row>
    <row r="5238" spans="1:2">
      <c r="A5238" s="59"/>
      <c r="B5238"/>
    </row>
    <row r="5239" spans="1:2">
      <c r="A5239" s="59"/>
      <c r="B5239"/>
    </row>
    <row r="5240" spans="1:2">
      <c r="A5240" s="59"/>
      <c r="B5240"/>
    </row>
    <row r="5241" spans="1:2">
      <c r="A5241" s="59"/>
      <c r="B5241"/>
    </row>
    <row r="5242" spans="1:2">
      <c r="A5242" s="59"/>
      <c r="B5242"/>
    </row>
    <row r="5243" spans="1:2">
      <c r="A5243" s="59"/>
      <c r="B5243"/>
    </row>
    <row r="5244" spans="1:2">
      <c r="A5244" s="59"/>
      <c r="B5244"/>
    </row>
    <row r="5245" spans="1:2">
      <c r="A5245" s="59"/>
      <c r="B5245"/>
    </row>
    <row r="5246" spans="1:2">
      <c r="A5246" s="59"/>
      <c r="B5246"/>
    </row>
    <row r="5247" spans="1:2">
      <c r="A5247" s="59"/>
      <c r="B5247"/>
    </row>
    <row r="5248" spans="1:2">
      <c r="A5248" s="59"/>
      <c r="B5248"/>
    </row>
    <row r="5249" spans="1:2">
      <c r="A5249" s="59"/>
      <c r="B5249"/>
    </row>
    <row r="5250" spans="1:2">
      <c r="A5250" s="59"/>
      <c r="B5250"/>
    </row>
    <row r="5251" spans="1:2">
      <c r="A5251" s="59"/>
      <c r="B5251"/>
    </row>
    <row r="5252" spans="1:2">
      <c r="A5252" s="59"/>
      <c r="B5252"/>
    </row>
    <row r="5253" spans="1:2">
      <c r="A5253" s="59"/>
      <c r="B5253"/>
    </row>
    <row r="5254" spans="1:2">
      <c r="A5254" s="59"/>
      <c r="B5254"/>
    </row>
    <row r="5255" spans="1:2">
      <c r="A5255" s="59"/>
      <c r="B5255"/>
    </row>
    <row r="5256" spans="1:2">
      <c r="A5256" s="59"/>
      <c r="B5256"/>
    </row>
    <row r="5257" spans="1:2">
      <c r="A5257" s="59"/>
      <c r="B5257"/>
    </row>
    <row r="5258" spans="1:2">
      <c r="A5258" s="59"/>
      <c r="B5258"/>
    </row>
    <row r="5259" spans="1:2">
      <c r="A5259" s="59"/>
      <c r="B5259"/>
    </row>
    <row r="5260" spans="1:2">
      <c r="A5260" s="59"/>
      <c r="B5260"/>
    </row>
    <row r="5261" spans="1:2">
      <c r="A5261" s="59"/>
      <c r="B5261"/>
    </row>
    <row r="5262" spans="1:2">
      <c r="A5262" s="59"/>
      <c r="B5262"/>
    </row>
    <row r="5263" spans="1:2">
      <c r="A5263" s="59"/>
      <c r="B5263"/>
    </row>
    <row r="5264" spans="1:2">
      <c r="A5264" s="59"/>
      <c r="B5264"/>
    </row>
    <row r="5265" spans="1:2">
      <c r="A5265" s="59"/>
      <c r="B5265"/>
    </row>
    <row r="5266" spans="1:2">
      <c r="A5266" s="59"/>
      <c r="B5266"/>
    </row>
    <row r="5267" spans="1:2">
      <c r="A5267" s="59"/>
      <c r="B5267"/>
    </row>
    <row r="5268" spans="1:2">
      <c r="A5268" s="59"/>
      <c r="B5268"/>
    </row>
    <row r="5269" spans="1:2">
      <c r="A5269" s="59"/>
      <c r="B5269"/>
    </row>
    <row r="5270" spans="1:2">
      <c r="A5270" s="59"/>
      <c r="B5270"/>
    </row>
    <row r="5271" spans="1:2">
      <c r="A5271" s="59"/>
      <c r="B5271"/>
    </row>
    <row r="5272" spans="1:2">
      <c r="A5272" s="59"/>
      <c r="B5272"/>
    </row>
    <row r="5273" spans="1:2">
      <c r="A5273" s="59"/>
      <c r="B5273"/>
    </row>
    <row r="5274" spans="1:2">
      <c r="A5274" s="59"/>
      <c r="B5274"/>
    </row>
    <row r="5275" spans="1:2">
      <c r="A5275" s="59"/>
      <c r="B5275"/>
    </row>
    <row r="5276" spans="1:2">
      <c r="A5276" s="59"/>
      <c r="B5276"/>
    </row>
    <row r="5277" spans="1:2">
      <c r="A5277" s="59"/>
      <c r="B5277"/>
    </row>
    <row r="5278" spans="1:2">
      <c r="A5278" s="59"/>
      <c r="B5278"/>
    </row>
    <row r="5279" spans="1:2">
      <c r="A5279" s="59"/>
      <c r="B5279"/>
    </row>
    <row r="5280" spans="1:2">
      <c r="A5280" s="59"/>
      <c r="B5280"/>
    </row>
    <row r="5281" spans="1:2">
      <c r="A5281" s="59"/>
      <c r="B5281"/>
    </row>
    <row r="5282" spans="1:2">
      <c r="A5282" s="59"/>
      <c r="B5282"/>
    </row>
    <row r="5283" spans="1:2">
      <c r="A5283" s="59"/>
      <c r="B5283"/>
    </row>
    <row r="5284" spans="1:2">
      <c r="A5284" s="59"/>
      <c r="B5284"/>
    </row>
    <row r="5285" spans="1:2">
      <c r="A5285" s="59"/>
      <c r="B5285"/>
    </row>
    <row r="5286" spans="1:2">
      <c r="A5286" s="59"/>
      <c r="B5286"/>
    </row>
    <row r="5287" spans="1:2">
      <c r="A5287" s="59"/>
      <c r="B5287"/>
    </row>
    <row r="5288" spans="1:2">
      <c r="A5288" s="59"/>
      <c r="B5288"/>
    </row>
    <row r="5289" spans="1:2">
      <c r="A5289" s="59"/>
      <c r="B5289"/>
    </row>
    <row r="5290" spans="1:2">
      <c r="A5290" s="59"/>
      <c r="B5290"/>
    </row>
    <row r="5291" spans="1:2">
      <c r="A5291" s="59"/>
      <c r="B5291"/>
    </row>
    <row r="5292" spans="1:2">
      <c r="A5292" s="59"/>
      <c r="B5292"/>
    </row>
    <row r="5293" spans="1:2">
      <c r="A5293" s="59"/>
      <c r="B5293"/>
    </row>
    <row r="5294" spans="1:2">
      <c r="A5294" s="59"/>
      <c r="B5294"/>
    </row>
    <row r="5295" spans="1:2">
      <c r="A5295" s="59"/>
      <c r="B5295"/>
    </row>
    <row r="5296" spans="1:2">
      <c r="A5296" s="59"/>
      <c r="B5296"/>
    </row>
    <row r="5297" spans="1:2">
      <c r="A5297" s="59"/>
      <c r="B5297"/>
    </row>
    <row r="5298" spans="1:2">
      <c r="A5298" s="59"/>
      <c r="B5298"/>
    </row>
    <row r="5299" spans="1:2">
      <c r="A5299" s="59"/>
      <c r="B5299"/>
    </row>
    <row r="5300" spans="1:2">
      <c r="A5300" s="59"/>
      <c r="B5300"/>
    </row>
    <row r="5301" spans="1:2">
      <c r="A5301" s="59"/>
      <c r="B5301"/>
    </row>
    <row r="5302" spans="1:2">
      <c r="A5302" s="59"/>
      <c r="B5302"/>
    </row>
    <row r="5303" spans="1:2">
      <c r="A5303" s="59"/>
      <c r="B5303"/>
    </row>
    <row r="5304" spans="1:2">
      <c r="A5304" s="59"/>
      <c r="B5304"/>
    </row>
    <row r="5305" spans="1:2">
      <c r="A5305" s="59"/>
      <c r="B5305"/>
    </row>
    <row r="5306" spans="1:2">
      <c r="A5306" s="59"/>
      <c r="B5306"/>
    </row>
    <row r="5307" spans="1:2">
      <c r="A5307" s="59"/>
      <c r="B5307"/>
    </row>
    <row r="5308" spans="1:2">
      <c r="A5308" s="59"/>
      <c r="B5308"/>
    </row>
    <row r="5309" spans="1:2">
      <c r="A5309" s="59"/>
      <c r="B5309"/>
    </row>
    <row r="5310" spans="1:2">
      <c r="A5310" s="59"/>
      <c r="B5310"/>
    </row>
    <row r="5311" spans="1:2">
      <c r="A5311" s="59"/>
      <c r="B5311"/>
    </row>
    <row r="5312" spans="1:2">
      <c r="A5312" s="59"/>
      <c r="B5312"/>
    </row>
    <row r="5313" spans="1:2">
      <c r="A5313" s="59"/>
      <c r="B5313"/>
    </row>
    <row r="5314" spans="1:2">
      <c r="A5314" s="59"/>
      <c r="B5314"/>
    </row>
    <row r="5315" spans="1:2">
      <c r="A5315" s="59"/>
      <c r="B5315"/>
    </row>
    <row r="5316" spans="1:2">
      <c r="A5316" s="59"/>
      <c r="B5316"/>
    </row>
    <row r="5317" spans="1:2">
      <c r="A5317" s="59"/>
      <c r="B5317"/>
    </row>
    <row r="5318" spans="1:2">
      <c r="A5318" s="59"/>
      <c r="B5318"/>
    </row>
    <row r="5319" spans="1:2">
      <c r="A5319" s="59"/>
      <c r="B5319"/>
    </row>
    <row r="5320" spans="1:2">
      <c r="A5320" s="59"/>
      <c r="B5320"/>
    </row>
    <row r="5321" spans="1:2">
      <c r="A5321" s="59"/>
      <c r="B5321"/>
    </row>
    <row r="5322" spans="1:2">
      <c r="A5322" s="59"/>
      <c r="B5322"/>
    </row>
    <row r="5323" spans="1:2">
      <c r="A5323" s="59"/>
      <c r="B5323"/>
    </row>
    <row r="5324" spans="1:2">
      <c r="A5324" s="59"/>
      <c r="B5324"/>
    </row>
    <row r="5325" spans="1:2">
      <c r="A5325" s="59"/>
      <c r="B5325"/>
    </row>
    <row r="5326" spans="1:2">
      <c r="A5326" s="59"/>
      <c r="B5326"/>
    </row>
    <row r="5327" spans="1:2">
      <c r="A5327" s="59"/>
      <c r="B5327"/>
    </row>
    <row r="5328" spans="1:2">
      <c r="A5328" s="59"/>
      <c r="B5328"/>
    </row>
    <row r="5329" spans="1:2">
      <c r="A5329" s="59"/>
      <c r="B5329"/>
    </row>
    <row r="5330" spans="1:2">
      <c r="A5330" s="59"/>
      <c r="B5330"/>
    </row>
    <row r="5331" spans="1:2">
      <c r="A5331" s="59"/>
      <c r="B5331"/>
    </row>
    <row r="5332" spans="1:2">
      <c r="A5332" s="59"/>
      <c r="B5332"/>
    </row>
    <row r="5333" spans="1:2">
      <c r="A5333" s="59"/>
      <c r="B5333"/>
    </row>
    <row r="5334" spans="1:2">
      <c r="A5334" s="59"/>
      <c r="B5334"/>
    </row>
    <row r="5335" spans="1:2">
      <c r="A5335" s="59"/>
      <c r="B5335"/>
    </row>
    <row r="5336" spans="1:2">
      <c r="A5336" s="59"/>
      <c r="B5336"/>
    </row>
    <row r="5337" spans="1:2">
      <c r="A5337" s="59"/>
      <c r="B5337"/>
    </row>
    <row r="5338" spans="1:2">
      <c r="A5338" s="59"/>
      <c r="B5338"/>
    </row>
    <row r="5339" spans="1:2">
      <c r="A5339" s="59"/>
      <c r="B5339"/>
    </row>
    <row r="5340" spans="1:2">
      <c r="A5340" s="59"/>
      <c r="B5340"/>
    </row>
    <row r="5341" spans="1:2">
      <c r="A5341" s="59"/>
      <c r="B5341"/>
    </row>
    <row r="5342" spans="1:2">
      <c r="A5342" s="59"/>
      <c r="B5342"/>
    </row>
    <row r="5343" spans="1:2">
      <c r="A5343" s="59"/>
      <c r="B5343"/>
    </row>
    <row r="5344" spans="1:2">
      <c r="A5344" s="59"/>
      <c r="B5344"/>
    </row>
    <row r="5345" spans="1:2">
      <c r="A5345" s="59"/>
      <c r="B5345"/>
    </row>
    <row r="5346" spans="1:2">
      <c r="A5346" s="59"/>
      <c r="B5346"/>
    </row>
    <row r="5347" spans="1:2">
      <c r="A5347" s="59"/>
      <c r="B5347"/>
    </row>
    <row r="5348" spans="1:2">
      <c r="A5348" s="59"/>
      <c r="B5348"/>
    </row>
    <row r="5349" spans="1:2">
      <c r="A5349" s="59"/>
      <c r="B5349"/>
    </row>
    <row r="5350" spans="1:2">
      <c r="A5350" s="59"/>
      <c r="B5350"/>
    </row>
    <row r="5351" spans="1:2">
      <c r="A5351" s="59"/>
      <c r="B5351"/>
    </row>
    <row r="5352" spans="1:2">
      <c r="A5352" s="59"/>
      <c r="B5352"/>
    </row>
    <row r="5353" spans="1:2">
      <c r="A5353" s="59"/>
      <c r="B5353"/>
    </row>
    <row r="5354" spans="1:2">
      <c r="A5354" s="59"/>
      <c r="B5354"/>
    </row>
    <row r="5355" spans="1:2">
      <c r="A5355" s="59"/>
      <c r="B5355"/>
    </row>
    <row r="5356" spans="1:2">
      <c r="A5356" s="59"/>
      <c r="B5356"/>
    </row>
    <row r="5357" spans="1:2">
      <c r="A5357" s="59"/>
      <c r="B5357"/>
    </row>
    <row r="5358" spans="1:2">
      <c r="A5358" s="59"/>
      <c r="B5358"/>
    </row>
    <row r="5359" spans="1:2">
      <c r="A5359" s="59"/>
      <c r="B5359"/>
    </row>
    <row r="5360" spans="1:2">
      <c r="A5360" s="59"/>
      <c r="B5360"/>
    </row>
    <row r="5361" spans="1:2">
      <c r="A5361" s="59"/>
      <c r="B5361"/>
    </row>
    <row r="5362" spans="1:2">
      <c r="A5362" s="59"/>
      <c r="B5362"/>
    </row>
    <row r="5363" spans="1:2">
      <c r="A5363" s="59"/>
      <c r="B5363"/>
    </row>
    <row r="5364" spans="1:2">
      <c r="A5364" s="59"/>
      <c r="B5364"/>
    </row>
    <row r="5365" spans="1:2">
      <c r="A5365" s="59"/>
      <c r="B5365"/>
    </row>
    <row r="5366" spans="1:2">
      <c r="A5366" s="59"/>
      <c r="B5366"/>
    </row>
    <row r="5367" spans="1:2">
      <c r="A5367" s="59"/>
      <c r="B5367"/>
    </row>
    <row r="5368" spans="1:2">
      <c r="A5368" s="59"/>
      <c r="B5368"/>
    </row>
    <row r="5369" spans="1:2">
      <c r="A5369" s="59"/>
      <c r="B5369"/>
    </row>
    <row r="5370" spans="1:2">
      <c r="A5370" s="59"/>
      <c r="B5370"/>
    </row>
    <row r="5371" spans="1:2">
      <c r="A5371" s="59"/>
      <c r="B5371"/>
    </row>
    <row r="5372" spans="1:2">
      <c r="A5372" s="59"/>
      <c r="B5372"/>
    </row>
    <row r="5373" spans="1:2">
      <c r="A5373" s="59"/>
      <c r="B5373"/>
    </row>
    <row r="5374" spans="1:2">
      <c r="A5374" s="59"/>
      <c r="B5374"/>
    </row>
    <row r="5375" spans="1:2">
      <c r="A5375" s="59"/>
      <c r="B5375"/>
    </row>
    <row r="5376" spans="1:2">
      <c r="A5376" s="59"/>
      <c r="B5376"/>
    </row>
    <row r="5377" spans="1:2">
      <c r="A5377" s="59"/>
      <c r="B5377"/>
    </row>
    <row r="5378" spans="1:2">
      <c r="A5378" s="59"/>
      <c r="B5378"/>
    </row>
    <row r="5379" spans="1:2">
      <c r="A5379" s="59"/>
      <c r="B5379"/>
    </row>
    <row r="5380" spans="1:2">
      <c r="A5380" s="59"/>
      <c r="B5380"/>
    </row>
    <row r="5381" spans="1:2">
      <c r="A5381" s="59"/>
      <c r="B5381"/>
    </row>
    <row r="5382" spans="1:2">
      <c r="A5382" s="59"/>
      <c r="B5382"/>
    </row>
    <row r="5383" spans="1:2">
      <c r="A5383" s="59"/>
      <c r="B5383"/>
    </row>
    <row r="5384" spans="1:2">
      <c r="A5384" s="59"/>
      <c r="B5384"/>
    </row>
    <row r="5385" spans="1:2">
      <c r="A5385" s="59"/>
      <c r="B5385"/>
    </row>
    <row r="5386" spans="1:2">
      <c r="A5386" s="59"/>
      <c r="B5386"/>
    </row>
    <row r="5387" spans="1:2">
      <c r="A5387" s="59"/>
      <c r="B5387"/>
    </row>
    <row r="5388" spans="1:2">
      <c r="A5388" s="59"/>
      <c r="B5388"/>
    </row>
    <row r="5389" spans="1:2">
      <c r="A5389" s="59"/>
      <c r="B5389"/>
    </row>
    <row r="5390" spans="1:2">
      <c r="A5390" s="59"/>
      <c r="B5390"/>
    </row>
    <row r="5391" spans="1:2">
      <c r="A5391" s="59"/>
      <c r="B5391"/>
    </row>
    <row r="5392" spans="1:2">
      <c r="A5392" s="59"/>
      <c r="B5392"/>
    </row>
    <row r="5393" spans="1:2">
      <c r="A5393" s="59"/>
      <c r="B5393"/>
    </row>
    <row r="5394" spans="1:2">
      <c r="A5394" s="59"/>
      <c r="B5394"/>
    </row>
    <row r="5395" spans="1:2">
      <c r="A5395" s="59"/>
      <c r="B5395"/>
    </row>
    <row r="5396" spans="1:2">
      <c r="A5396" s="59"/>
      <c r="B5396"/>
    </row>
    <row r="5397" spans="1:2">
      <c r="A5397" s="59"/>
      <c r="B5397"/>
    </row>
    <row r="5398" spans="1:2">
      <c r="A5398" s="59"/>
      <c r="B5398"/>
    </row>
    <row r="5399" spans="1:2">
      <c r="A5399" s="59"/>
      <c r="B5399"/>
    </row>
    <row r="5400" spans="1:2">
      <c r="A5400" s="59"/>
      <c r="B5400"/>
    </row>
    <row r="5401" spans="1:2">
      <c r="A5401" s="59"/>
      <c r="B5401"/>
    </row>
    <row r="5402" spans="1:2">
      <c r="A5402" s="59"/>
      <c r="B5402"/>
    </row>
    <row r="5403" spans="1:2">
      <c r="A5403" s="59"/>
      <c r="B5403"/>
    </row>
    <row r="5404" spans="1:2">
      <c r="A5404" s="59"/>
      <c r="B5404"/>
    </row>
    <row r="5405" spans="1:2">
      <c r="A5405" s="59"/>
      <c r="B5405"/>
    </row>
    <row r="5406" spans="1:2">
      <c r="A5406" s="59"/>
      <c r="B5406"/>
    </row>
    <row r="5407" spans="1:2">
      <c r="A5407" s="59"/>
      <c r="B5407"/>
    </row>
    <row r="5408" spans="1:2">
      <c r="A5408" s="59"/>
      <c r="B5408"/>
    </row>
    <row r="5409" spans="1:2">
      <c r="A5409" s="59"/>
      <c r="B5409"/>
    </row>
    <row r="5410" spans="1:2">
      <c r="A5410" s="59"/>
      <c r="B5410"/>
    </row>
    <row r="5411" spans="1:2">
      <c r="A5411" s="59"/>
      <c r="B5411"/>
    </row>
    <row r="5412" spans="1:2">
      <c r="A5412" s="59"/>
      <c r="B5412"/>
    </row>
    <row r="5413" spans="1:2">
      <c r="A5413" s="59"/>
      <c r="B5413"/>
    </row>
    <row r="5414" spans="1:2">
      <c r="A5414" s="59"/>
      <c r="B5414"/>
    </row>
    <row r="5415" spans="1:2">
      <c r="A5415" s="59"/>
      <c r="B5415"/>
    </row>
    <row r="5416" spans="1:2">
      <c r="A5416" s="59"/>
      <c r="B5416"/>
    </row>
    <row r="5417" spans="1:2">
      <c r="A5417" s="59"/>
      <c r="B5417"/>
    </row>
    <row r="5418" spans="1:2">
      <c r="A5418" s="59"/>
      <c r="B5418"/>
    </row>
    <row r="5419" spans="1:2">
      <c r="A5419" s="59"/>
      <c r="B5419"/>
    </row>
    <row r="5420" spans="1:2">
      <c r="A5420" s="59"/>
      <c r="B5420"/>
    </row>
    <row r="5421" spans="1:2">
      <c r="A5421" s="59"/>
      <c r="B5421"/>
    </row>
    <row r="5422" spans="1:2">
      <c r="A5422" s="59"/>
      <c r="B5422"/>
    </row>
    <row r="5423" spans="1:2">
      <c r="A5423" s="59"/>
      <c r="B5423"/>
    </row>
    <row r="5424" spans="1:2">
      <c r="A5424" s="59"/>
      <c r="B5424"/>
    </row>
    <row r="5425" spans="1:2">
      <c r="A5425" s="59"/>
      <c r="B5425"/>
    </row>
    <row r="5426" spans="1:2">
      <c r="A5426" s="59"/>
      <c r="B5426"/>
    </row>
    <row r="5427" spans="1:2">
      <c r="A5427" s="59"/>
      <c r="B5427"/>
    </row>
    <row r="5428" spans="1:2">
      <c r="A5428" s="59"/>
      <c r="B5428"/>
    </row>
    <row r="5429" spans="1:2">
      <c r="A5429" s="59"/>
      <c r="B5429"/>
    </row>
    <row r="5430" spans="1:2">
      <c r="A5430" s="59"/>
      <c r="B5430"/>
    </row>
    <row r="5431" spans="1:2">
      <c r="A5431" s="59"/>
      <c r="B5431"/>
    </row>
    <row r="5432" spans="1:2">
      <c r="A5432" s="59"/>
      <c r="B5432"/>
    </row>
    <row r="5433" spans="1:2">
      <c r="A5433" s="59"/>
      <c r="B5433"/>
    </row>
    <row r="5434" spans="1:2">
      <c r="A5434" s="59"/>
      <c r="B5434"/>
    </row>
    <row r="5435" spans="1:2">
      <c r="A5435" s="59"/>
      <c r="B5435"/>
    </row>
    <row r="5436" spans="1:2">
      <c r="A5436" s="59"/>
      <c r="B5436"/>
    </row>
    <row r="5437" spans="1:2">
      <c r="A5437" s="59"/>
      <c r="B5437"/>
    </row>
    <row r="5438" spans="1:2">
      <c r="A5438" s="59"/>
      <c r="B5438"/>
    </row>
    <row r="5439" spans="1:2">
      <c r="A5439" s="59"/>
      <c r="B5439"/>
    </row>
    <row r="5440" spans="1:2">
      <c r="A5440" s="59"/>
      <c r="B5440"/>
    </row>
    <row r="5441" spans="1:2">
      <c r="A5441" s="59"/>
      <c r="B5441"/>
    </row>
    <row r="5442" spans="1:2">
      <c r="A5442" s="59"/>
      <c r="B5442"/>
    </row>
    <row r="5443" spans="1:2">
      <c r="A5443" s="59"/>
      <c r="B5443"/>
    </row>
    <row r="5444" spans="1:2">
      <c r="A5444" s="59"/>
      <c r="B5444"/>
    </row>
    <row r="5445" spans="1:2">
      <c r="A5445" s="59"/>
      <c r="B5445"/>
    </row>
    <row r="5446" spans="1:2">
      <c r="A5446" s="59"/>
      <c r="B5446"/>
    </row>
    <row r="5447" spans="1:2">
      <c r="A5447" s="59"/>
      <c r="B5447"/>
    </row>
    <row r="5448" spans="1:2">
      <c r="A5448" s="59"/>
      <c r="B5448"/>
    </row>
    <row r="5449" spans="1:2">
      <c r="A5449" s="59"/>
      <c r="B5449"/>
    </row>
    <row r="5450" spans="1:2">
      <c r="A5450" s="59"/>
      <c r="B5450"/>
    </row>
    <row r="5451" spans="1:2">
      <c r="A5451" s="59"/>
      <c r="B5451"/>
    </row>
    <row r="5452" spans="1:2">
      <c r="A5452" s="59"/>
      <c r="B5452"/>
    </row>
    <row r="5453" spans="1:2">
      <c r="A5453" s="59"/>
      <c r="B5453"/>
    </row>
    <row r="5454" spans="1:2">
      <c r="A5454" s="59"/>
      <c r="B5454"/>
    </row>
    <row r="5455" spans="1:2">
      <c r="A5455" s="59"/>
      <c r="B5455"/>
    </row>
    <row r="5456" spans="1:2">
      <c r="A5456" s="59"/>
      <c r="B5456"/>
    </row>
    <row r="5457" spans="1:2">
      <c r="A5457" s="59"/>
      <c r="B5457"/>
    </row>
    <row r="5458" spans="1:2">
      <c r="A5458" s="59"/>
      <c r="B5458"/>
    </row>
    <row r="5459" spans="1:2">
      <c r="A5459" s="59"/>
      <c r="B5459"/>
    </row>
    <row r="5460" spans="1:2">
      <c r="A5460" s="59"/>
      <c r="B5460"/>
    </row>
    <row r="5461" spans="1:2">
      <c r="A5461" s="59"/>
      <c r="B5461"/>
    </row>
    <row r="5462" spans="1:2">
      <c r="A5462" s="59"/>
      <c r="B5462"/>
    </row>
    <row r="5463" spans="1:2">
      <c r="A5463" s="59"/>
      <c r="B5463"/>
    </row>
    <row r="5464" spans="1:2">
      <c r="A5464" s="59"/>
      <c r="B5464"/>
    </row>
    <row r="5465" spans="1:2">
      <c r="A5465" s="59"/>
      <c r="B5465"/>
    </row>
    <row r="5466" spans="1:2">
      <c r="A5466" s="59"/>
      <c r="B5466"/>
    </row>
    <row r="5467" spans="1:2">
      <c r="A5467" s="59"/>
      <c r="B5467"/>
    </row>
    <row r="5468" spans="1:2">
      <c r="A5468" s="59"/>
      <c r="B5468"/>
    </row>
    <row r="5469" spans="1:2">
      <c r="A5469" s="59"/>
      <c r="B5469"/>
    </row>
    <row r="5470" spans="1:2">
      <c r="A5470" s="59"/>
      <c r="B5470"/>
    </row>
    <row r="5471" spans="1:2">
      <c r="A5471" s="59"/>
      <c r="B5471"/>
    </row>
    <row r="5472" spans="1:2">
      <c r="A5472" s="59"/>
      <c r="B5472"/>
    </row>
    <row r="5473" spans="1:2">
      <c r="A5473" s="59"/>
      <c r="B5473"/>
    </row>
    <row r="5474" spans="1:2">
      <c r="A5474" s="59"/>
      <c r="B5474"/>
    </row>
    <row r="5475" spans="1:2">
      <c r="A5475" s="59"/>
      <c r="B5475"/>
    </row>
    <row r="5476" spans="1:2">
      <c r="A5476" s="59"/>
      <c r="B5476"/>
    </row>
    <row r="5477" spans="1:2">
      <c r="A5477" s="59"/>
      <c r="B5477"/>
    </row>
    <row r="5478" spans="1:2">
      <c r="A5478" s="59"/>
      <c r="B5478"/>
    </row>
    <row r="5479" spans="1:2">
      <c r="A5479" s="59"/>
      <c r="B5479"/>
    </row>
    <row r="5480" spans="1:2">
      <c r="A5480" s="59"/>
      <c r="B5480"/>
    </row>
    <row r="5481" spans="1:2">
      <c r="A5481" s="59"/>
      <c r="B5481"/>
    </row>
    <row r="5482" spans="1:2">
      <c r="A5482" s="59"/>
      <c r="B5482"/>
    </row>
    <row r="5483" spans="1:2">
      <c r="A5483" s="59"/>
      <c r="B5483"/>
    </row>
    <row r="5484" spans="1:2">
      <c r="A5484" s="59"/>
      <c r="B5484"/>
    </row>
    <row r="5485" spans="1:2">
      <c r="A5485" s="59"/>
      <c r="B5485"/>
    </row>
    <row r="5486" spans="1:2">
      <c r="A5486" s="59"/>
      <c r="B5486"/>
    </row>
    <row r="5487" spans="1:2">
      <c r="A5487" s="59"/>
      <c r="B5487"/>
    </row>
    <row r="5488" spans="1:2">
      <c r="A5488" s="59"/>
      <c r="B5488"/>
    </row>
    <row r="5489" spans="1:2">
      <c r="A5489" s="59"/>
      <c r="B5489"/>
    </row>
    <row r="5490" spans="1:2">
      <c r="A5490" s="59"/>
      <c r="B5490"/>
    </row>
    <row r="5491" spans="1:2">
      <c r="A5491" s="59"/>
      <c r="B5491"/>
    </row>
    <row r="5492" spans="1:2">
      <c r="A5492" s="59"/>
      <c r="B5492"/>
    </row>
    <row r="5493" spans="1:2">
      <c r="A5493" s="59"/>
      <c r="B5493"/>
    </row>
    <row r="5494" spans="1:2">
      <c r="A5494" s="59"/>
      <c r="B5494"/>
    </row>
    <row r="5495" spans="1:2">
      <c r="A5495" s="59"/>
      <c r="B5495"/>
    </row>
    <row r="5496" spans="1:2">
      <c r="A5496" s="59"/>
      <c r="B5496"/>
    </row>
    <row r="5497" spans="1:2">
      <c r="A5497" s="59"/>
      <c r="B5497"/>
    </row>
    <row r="5498" spans="1:2">
      <c r="A5498" s="59"/>
      <c r="B5498"/>
    </row>
    <row r="5499" spans="1:2">
      <c r="A5499" s="59"/>
      <c r="B5499"/>
    </row>
    <row r="5500" spans="1:2">
      <c r="A5500" s="59"/>
      <c r="B5500"/>
    </row>
    <row r="5501" spans="1:2">
      <c r="A5501" s="59"/>
      <c r="B5501"/>
    </row>
    <row r="5502" spans="1:2">
      <c r="A5502" s="59"/>
      <c r="B5502"/>
    </row>
    <row r="5503" spans="1:2">
      <c r="A5503" s="59"/>
      <c r="B5503"/>
    </row>
    <row r="5504" spans="1:2">
      <c r="A5504" s="59"/>
      <c r="B5504"/>
    </row>
    <row r="5505" spans="1:2">
      <c r="A5505" s="59"/>
      <c r="B5505"/>
    </row>
    <row r="5506" spans="1:2">
      <c r="A5506" s="59"/>
      <c r="B5506"/>
    </row>
    <row r="5507" spans="1:2">
      <c r="A5507" s="59"/>
      <c r="B5507"/>
    </row>
    <row r="5508" spans="1:2">
      <c r="A5508" s="59"/>
      <c r="B5508"/>
    </row>
    <row r="5509" spans="1:2">
      <c r="A5509" s="59"/>
      <c r="B5509"/>
    </row>
    <row r="5510" spans="1:2">
      <c r="A5510" s="59"/>
      <c r="B5510"/>
    </row>
    <row r="5511" spans="1:2">
      <c r="A5511" s="59"/>
      <c r="B5511"/>
    </row>
    <row r="5512" spans="1:2">
      <c r="A5512" s="59"/>
      <c r="B5512"/>
    </row>
    <row r="5513" spans="1:2">
      <c r="A5513" s="59"/>
      <c r="B5513"/>
    </row>
    <row r="5514" spans="1:2">
      <c r="A5514" s="59"/>
      <c r="B5514"/>
    </row>
    <row r="5515" spans="1:2">
      <c r="A5515" s="59"/>
      <c r="B5515"/>
    </row>
    <row r="5516" spans="1:2">
      <c r="A5516" s="59"/>
      <c r="B5516"/>
    </row>
    <row r="5517" spans="1:2">
      <c r="A5517" s="59"/>
      <c r="B5517"/>
    </row>
    <row r="5518" spans="1:2">
      <c r="A5518" s="59"/>
      <c r="B5518"/>
    </row>
    <row r="5519" spans="1:2">
      <c r="A5519" s="59"/>
      <c r="B5519"/>
    </row>
    <row r="5520" spans="1:2">
      <c r="A5520" s="59"/>
      <c r="B5520"/>
    </row>
    <row r="5521" spans="1:2">
      <c r="A5521" s="59"/>
      <c r="B5521"/>
    </row>
    <row r="5522" spans="1:2">
      <c r="A5522" s="59"/>
      <c r="B5522"/>
    </row>
    <row r="5523" spans="1:2">
      <c r="A5523" s="59"/>
      <c r="B5523"/>
    </row>
    <row r="5524" spans="1:2">
      <c r="A5524" s="59"/>
      <c r="B5524"/>
    </row>
    <row r="5525" spans="1:2">
      <c r="A5525" s="59"/>
      <c r="B5525"/>
    </row>
    <row r="5526" spans="1:2">
      <c r="A5526" s="59"/>
      <c r="B5526"/>
    </row>
    <row r="5527" spans="1:2">
      <c r="A5527" s="59"/>
      <c r="B5527"/>
    </row>
    <row r="5528" spans="1:2">
      <c r="A5528" s="59"/>
      <c r="B5528"/>
    </row>
    <row r="5529" spans="1:2">
      <c r="A5529" s="59"/>
      <c r="B5529"/>
    </row>
    <row r="5530" spans="1:2">
      <c r="A5530" s="59"/>
      <c r="B5530"/>
    </row>
    <row r="5531" spans="1:2">
      <c r="A5531" s="59"/>
      <c r="B5531"/>
    </row>
    <row r="5532" spans="1:2">
      <c r="A5532" s="59"/>
      <c r="B5532"/>
    </row>
    <row r="5533" spans="1:2">
      <c r="A5533" s="59"/>
      <c r="B5533"/>
    </row>
    <row r="5534" spans="1:2">
      <c r="A5534" s="59"/>
      <c r="B5534"/>
    </row>
    <row r="5535" spans="1:2">
      <c r="A5535" s="59"/>
      <c r="B5535"/>
    </row>
    <row r="5536" spans="1:2">
      <c r="A5536" s="59"/>
      <c r="B5536"/>
    </row>
    <row r="5537" spans="1:2">
      <c r="A5537" s="59"/>
      <c r="B5537"/>
    </row>
    <row r="5538" spans="1:2">
      <c r="A5538" s="59"/>
      <c r="B5538"/>
    </row>
    <row r="5539" spans="1:2">
      <c r="A5539" s="59"/>
      <c r="B5539"/>
    </row>
    <row r="5540" spans="1:2">
      <c r="A5540" s="59"/>
      <c r="B5540"/>
    </row>
    <row r="5541" spans="1:2">
      <c r="A5541" s="59"/>
      <c r="B5541"/>
    </row>
    <row r="5542" spans="1:2">
      <c r="A5542" s="59"/>
      <c r="B5542"/>
    </row>
    <row r="5543" spans="1:2">
      <c r="A5543" s="59"/>
      <c r="B5543"/>
    </row>
    <row r="5544" spans="1:2">
      <c r="A5544" s="59"/>
      <c r="B5544"/>
    </row>
    <row r="5545" spans="1:2">
      <c r="A5545" s="59"/>
      <c r="B5545"/>
    </row>
    <row r="5546" spans="1:2">
      <c r="A5546" s="59"/>
      <c r="B5546"/>
    </row>
    <row r="5547" spans="1:2">
      <c r="A5547" s="59"/>
      <c r="B5547"/>
    </row>
    <row r="5548" spans="1:2">
      <c r="A5548" s="59"/>
      <c r="B5548"/>
    </row>
    <row r="5549" spans="1:2">
      <c r="A5549" s="59"/>
      <c r="B5549"/>
    </row>
    <row r="5550" spans="1:2">
      <c r="A5550" s="59"/>
      <c r="B5550"/>
    </row>
    <row r="5551" spans="1:2">
      <c r="A5551" s="59"/>
      <c r="B5551"/>
    </row>
    <row r="5552" spans="1:2">
      <c r="A5552" s="59"/>
      <c r="B5552"/>
    </row>
    <row r="5553" spans="1:2">
      <c r="A5553" s="59"/>
      <c r="B5553"/>
    </row>
    <row r="5554" spans="1:2">
      <c r="A5554" s="59"/>
      <c r="B5554"/>
    </row>
    <row r="5555" spans="1:2">
      <c r="A5555" s="59"/>
      <c r="B5555"/>
    </row>
    <row r="5556" spans="1:2">
      <c r="A5556" s="59"/>
      <c r="B5556"/>
    </row>
    <row r="5557" spans="1:2">
      <c r="A5557" s="59"/>
      <c r="B5557"/>
    </row>
    <row r="5558" spans="1:2">
      <c r="A5558" s="59"/>
      <c r="B5558"/>
    </row>
    <row r="5559" spans="1:2">
      <c r="A5559" s="59"/>
      <c r="B5559"/>
    </row>
    <row r="5560" spans="1:2">
      <c r="A5560" s="59"/>
      <c r="B5560"/>
    </row>
    <row r="5561" spans="1:2">
      <c r="A5561" s="59"/>
      <c r="B5561"/>
    </row>
    <row r="5562" spans="1:2">
      <c r="A5562" s="59"/>
      <c r="B5562"/>
    </row>
    <row r="5563" spans="1:2">
      <c r="A5563" s="59"/>
      <c r="B5563"/>
    </row>
    <row r="5564" spans="1:2">
      <c r="A5564" s="59"/>
      <c r="B5564"/>
    </row>
    <row r="5565" spans="1:2">
      <c r="A5565" s="59"/>
      <c r="B5565"/>
    </row>
    <row r="5566" spans="1:2">
      <c r="A5566" s="59"/>
      <c r="B5566"/>
    </row>
    <row r="5567" spans="1:2">
      <c r="A5567" s="59"/>
      <c r="B5567"/>
    </row>
    <row r="5568" spans="1:2">
      <c r="A5568" s="59"/>
      <c r="B5568"/>
    </row>
    <row r="5569" spans="1:2">
      <c r="A5569" s="59"/>
      <c r="B5569"/>
    </row>
    <row r="5570" spans="1:2">
      <c r="A5570" s="59"/>
      <c r="B5570"/>
    </row>
    <row r="5571" spans="1:2">
      <c r="A5571" s="59"/>
      <c r="B5571"/>
    </row>
    <row r="5572" spans="1:2">
      <c r="A5572" s="59"/>
      <c r="B5572"/>
    </row>
    <row r="5573" spans="1:2">
      <c r="A5573" s="59"/>
      <c r="B5573"/>
    </row>
    <row r="5574" spans="1:2">
      <c r="A5574" s="59"/>
      <c r="B5574"/>
    </row>
    <row r="5575" spans="1:2">
      <c r="A5575" s="59"/>
      <c r="B5575"/>
    </row>
    <row r="5576" spans="1:2">
      <c r="A5576" s="59"/>
      <c r="B5576"/>
    </row>
    <row r="5577" spans="1:2">
      <c r="A5577" s="59"/>
      <c r="B5577"/>
    </row>
    <row r="5578" spans="1:2">
      <c r="A5578" s="59"/>
      <c r="B5578"/>
    </row>
    <row r="5579" spans="1:2">
      <c r="A5579" s="59"/>
      <c r="B5579"/>
    </row>
    <row r="5580" spans="1:2">
      <c r="A5580" s="59"/>
      <c r="B5580"/>
    </row>
    <row r="5581" spans="1:2">
      <c r="A5581" s="59"/>
      <c r="B5581"/>
    </row>
    <row r="5582" spans="1:2">
      <c r="A5582" s="59"/>
      <c r="B5582"/>
    </row>
    <row r="5583" spans="1:2">
      <c r="A5583" s="59"/>
      <c r="B5583"/>
    </row>
    <row r="5584" spans="1:2">
      <c r="A5584" s="59"/>
      <c r="B5584"/>
    </row>
    <row r="5585" spans="1:2">
      <c r="A5585" s="59"/>
      <c r="B5585"/>
    </row>
    <row r="5586" spans="1:2">
      <c r="A5586" s="59"/>
      <c r="B5586"/>
    </row>
    <row r="5587" spans="1:2">
      <c r="A5587" s="59"/>
      <c r="B5587"/>
    </row>
    <row r="5588" spans="1:2">
      <c r="A5588" s="59"/>
      <c r="B5588"/>
    </row>
    <row r="5589" spans="1:2">
      <c r="A5589" s="59"/>
      <c r="B5589"/>
    </row>
    <row r="5590" spans="1:2">
      <c r="A5590" s="59"/>
      <c r="B5590"/>
    </row>
    <row r="5591" spans="1:2">
      <c r="A5591" s="59"/>
      <c r="B5591"/>
    </row>
    <row r="5592" spans="1:2">
      <c r="A5592" s="59"/>
      <c r="B5592"/>
    </row>
    <row r="5593" spans="1:2">
      <c r="A5593" s="59"/>
      <c r="B5593"/>
    </row>
    <row r="5594" spans="1:2">
      <c r="A5594" s="59"/>
      <c r="B5594"/>
    </row>
    <row r="5595" spans="1:2">
      <c r="A5595" s="59"/>
      <c r="B5595"/>
    </row>
    <row r="5596" spans="1:2">
      <c r="A5596" s="59"/>
      <c r="B5596"/>
    </row>
    <row r="5597" spans="1:2">
      <c r="A5597" s="59"/>
      <c r="B5597"/>
    </row>
    <row r="5598" spans="1:2">
      <c r="A5598" s="59"/>
      <c r="B5598"/>
    </row>
    <row r="5599" spans="1:2">
      <c r="A5599" s="59"/>
      <c r="B5599"/>
    </row>
    <row r="5600" spans="1:2">
      <c r="A5600" s="59"/>
      <c r="B5600"/>
    </row>
    <row r="5601" spans="1:2">
      <c r="A5601" s="59"/>
      <c r="B5601"/>
    </row>
    <row r="5602" spans="1:2">
      <c r="A5602" s="59"/>
      <c r="B5602"/>
    </row>
    <row r="5603" spans="1:2">
      <c r="A5603" s="59"/>
      <c r="B5603"/>
    </row>
    <row r="5604" spans="1:2">
      <c r="A5604" s="59"/>
      <c r="B5604"/>
    </row>
    <row r="5605" spans="1:2">
      <c r="A5605" s="59"/>
      <c r="B5605"/>
    </row>
    <row r="5606" spans="1:2">
      <c r="A5606" s="59"/>
      <c r="B5606"/>
    </row>
    <row r="5607" spans="1:2">
      <c r="A5607" s="59"/>
      <c r="B5607"/>
    </row>
    <row r="5608" spans="1:2">
      <c r="A5608" s="59"/>
      <c r="B5608"/>
    </row>
    <row r="5609" spans="1:2">
      <c r="A5609" s="59"/>
      <c r="B5609"/>
    </row>
    <row r="5610" spans="1:2">
      <c r="A5610" s="59"/>
      <c r="B5610"/>
    </row>
    <row r="5611" spans="1:2">
      <c r="A5611" s="59"/>
      <c r="B5611"/>
    </row>
    <row r="5612" spans="1:2">
      <c r="A5612" s="59"/>
      <c r="B5612"/>
    </row>
    <row r="5613" spans="1:2">
      <c r="A5613" s="59"/>
      <c r="B5613"/>
    </row>
    <row r="5614" spans="1:2">
      <c r="A5614" s="59"/>
      <c r="B5614"/>
    </row>
    <row r="5615" spans="1:2">
      <c r="A5615" s="59"/>
      <c r="B5615"/>
    </row>
    <row r="5616" spans="1:2">
      <c r="A5616" s="59"/>
      <c r="B5616"/>
    </row>
    <row r="5617" spans="1:2">
      <c r="A5617" s="59"/>
      <c r="B5617"/>
    </row>
    <row r="5618" spans="1:2">
      <c r="A5618" s="59"/>
      <c r="B5618"/>
    </row>
    <row r="5619" spans="1:2">
      <c r="A5619" s="59"/>
      <c r="B5619"/>
    </row>
    <row r="5620" spans="1:2">
      <c r="A5620" s="59"/>
      <c r="B5620"/>
    </row>
    <row r="5621" spans="1:2">
      <c r="A5621" s="59"/>
      <c r="B5621"/>
    </row>
    <row r="5622" spans="1:2">
      <c r="A5622" s="59"/>
      <c r="B5622"/>
    </row>
    <row r="5623" spans="1:2">
      <c r="A5623" s="59"/>
      <c r="B5623"/>
    </row>
    <row r="5624" spans="1:2">
      <c r="A5624" s="59"/>
      <c r="B5624"/>
    </row>
    <row r="5625" spans="1:2">
      <c r="A5625" s="59"/>
      <c r="B5625"/>
    </row>
    <row r="5626" spans="1:2">
      <c r="A5626" s="59"/>
      <c r="B5626"/>
    </row>
    <row r="5627" spans="1:2">
      <c r="A5627" s="59"/>
      <c r="B5627"/>
    </row>
    <row r="5628" spans="1:2">
      <c r="A5628" s="59"/>
      <c r="B5628"/>
    </row>
    <row r="5629" spans="1:2">
      <c r="A5629" s="59"/>
      <c r="B5629"/>
    </row>
    <row r="5630" spans="1:2">
      <c r="A5630" s="59"/>
      <c r="B5630"/>
    </row>
    <row r="5631" spans="1:2">
      <c r="A5631" s="59"/>
      <c r="B5631"/>
    </row>
    <row r="5632" spans="1:2">
      <c r="A5632" s="59"/>
      <c r="B5632"/>
    </row>
    <row r="5633" spans="1:2">
      <c r="A5633" s="59"/>
      <c r="B5633"/>
    </row>
    <row r="5634" spans="1:2">
      <c r="A5634" s="59"/>
      <c r="B5634"/>
    </row>
    <row r="5635" spans="1:2">
      <c r="A5635" s="59"/>
      <c r="B5635"/>
    </row>
    <row r="5636" spans="1:2">
      <c r="A5636" s="59"/>
      <c r="B5636"/>
    </row>
    <row r="5637" spans="1:2">
      <c r="A5637" s="59"/>
      <c r="B5637"/>
    </row>
    <row r="5638" spans="1:2">
      <c r="A5638" s="59"/>
      <c r="B5638"/>
    </row>
    <row r="5639" spans="1:2">
      <c r="A5639" s="59"/>
      <c r="B5639"/>
    </row>
    <row r="5640" spans="1:2">
      <c r="A5640" s="59"/>
      <c r="B5640"/>
    </row>
    <row r="5641" spans="1:2">
      <c r="A5641" s="59"/>
      <c r="B5641"/>
    </row>
    <row r="5642" spans="1:2">
      <c r="A5642" s="59"/>
      <c r="B5642"/>
    </row>
    <row r="5643" spans="1:2">
      <c r="A5643" s="59"/>
      <c r="B5643"/>
    </row>
    <row r="5644" spans="1:2">
      <c r="A5644" s="59"/>
      <c r="B5644"/>
    </row>
    <row r="5645" spans="1:2">
      <c r="A5645" s="59"/>
      <c r="B5645"/>
    </row>
    <row r="5646" spans="1:2">
      <c r="A5646" s="59"/>
      <c r="B5646"/>
    </row>
    <row r="5647" spans="1:2">
      <c r="A5647" s="59"/>
      <c r="B5647"/>
    </row>
    <row r="5648" spans="1:2">
      <c r="A5648" s="59"/>
      <c r="B5648"/>
    </row>
    <row r="5649" spans="1:2">
      <c r="A5649" s="59"/>
      <c r="B5649"/>
    </row>
    <row r="5650" spans="1:2">
      <c r="A5650" s="59"/>
      <c r="B5650"/>
    </row>
    <row r="5651" spans="1:2">
      <c r="A5651" s="59"/>
      <c r="B5651"/>
    </row>
    <row r="5652" spans="1:2">
      <c r="A5652" s="59"/>
      <c r="B5652"/>
    </row>
    <row r="5653" spans="1:2">
      <c r="A5653" s="59"/>
      <c r="B5653"/>
    </row>
    <row r="5654" spans="1:2">
      <c r="A5654" s="59"/>
      <c r="B5654"/>
    </row>
    <row r="5655" spans="1:2">
      <c r="A5655" s="59"/>
      <c r="B5655"/>
    </row>
    <row r="5656" spans="1:2">
      <c r="A5656" s="59"/>
      <c r="B5656"/>
    </row>
    <row r="5657" spans="1:2">
      <c r="A5657" s="59"/>
      <c r="B5657"/>
    </row>
    <row r="5658" spans="1:2">
      <c r="A5658" s="59"/>
      <c r="B5658"/>
    </row>
    <row r="5659" spans="1:2">
      <c r="A5659" s="59"/>
      <c r="B5659"/>
    </row>
    <row r="5660" spans="1:2">
      <c r="A5660" s="59"/>
      <c r="B5660"/>
    </row>
    <row r="5661" spans="1:2">
      <c r="A5661" s="59"/>
      <c r="B5661"/>
    </row>
    <row r="5662" spans="1:2">
      <c r="A5662" s="59"/>
      <c r="B5662"/>
    </row>
    <row r="5663" spans="1:2">
      <c r="A5663" s="59"/>
      <c r="B5663"/>
    </row>
    <row r="5664" spans="1:2">
      <c r="A5664" s="59"/>
      <c r="B5664"/>
    </row>
    <row r="5665" spans="1:2">
      <c r="A5665" s="59"/>
      <c r="B5665"/>
    </row>
    <row r="5666" spans="1:2">
      <c r="A5666" s="59"/>
      <c r="B5666"/>
    </row>
    <row r="5667" spans="1:2">
      <c r="A5667" s="59"/>
      <c r="B5667"/>
    </row>
    <row r="5668" spans="1:2">
      <c r="A5668" s="59"/>
      <c r="B5668"/>
    </row>
    <row r="5669" spans="1:2">
      <c r="A5669" s="59"/>
      <c r="B5669"/>
    </row>
    <row r="5670" spans="1:2">
      <c r="A5670" s="59"/>
      <c r="B5670"/>
    </row>
    <row r="5671" spans="1:2">
      <c r="A5671" s="59"/>
      <c r="B5671"/>
    </row>
    <row r="5672" spans="1:2">
      <c r="A5672" s="59"/>
      <c r="B5672"/>
    </row>
    <row r="5673" spans="1:2">
      <c r="A5673" s="59"/>
      <c r="B5673"/>
    </row>
    <row r="5674" spans="1:2">
      <c r="A5674" s="59"/>
      <c r="B5674"/>
    </row>
    <row r="5675" spans="1:2">
      <c r="A5675" s="59"/>
      <c r="B5675"/>
    </row>
    <row r="5676" spans="1:2">
      <c r="A5676" s="59"/>
      <c r="B5676"/>
    </row>
    <row r="5677" spans="1:2">
      <c r="A5677" s="59"/>
      <c r="B5677"/>
    </row>
    <row r="5678" spans="1:2">
      <c r="A5678" s="59"/>
      <c r="B5678"/>
    </row>
    <row r="5679" spans="1:2">
      <c r="A5679" s="59"/>
      <c r="B5679"/>
    </row>
    <row r="5680" spans="1:2">
      <c r="A5680" s="59"/>
      <c r="B5680"/>
    </row>
    <row r="5681" spans="1:2">
      <c r="A5681" s="59"/>
      <c r="B5681"/>
    </row>
    <row r="5682" spans="1:2">
      <c r="A5682" s="59"/>
      <c r="B5682"/>
    </row>
    <row r="5683" spans="1:2">
      <c r="A5683" s="59"/>
      <c r="B5683"/>
    </row>
    <row r="5684" spans="1:2">
      <c r="A5684" s="59"/>
      <c r="B5684"/>
    </row>
    <row r="5685" spans="1:2">
      <c r="A5685" s="59"/>
      <c r="B5685"/>
    </row>
    <row r="5686" spans="1:2">
      <c r="A5686" s="59"/>
      <c r="B5686"/>
    </row>
    <row r="5687" spans="1:2">
      <c r="A5687" s="59"/>
      <c r="B5687"/>
    </row>
    <row r="5688" spans="1:2">
      <c r="A5688" s="59"/>
      <c r="B5688"/>
    </row>
    <row r="5689" spans="1:2">
      <c r="A5689" s="59"/>
      <c r="B5689"/>
    </row>
    <row r="5690" spans="1:2">
      <c r="A5690" s="59"/>
      <c r="B5690"/>
    </row>
    <row r="5691" spans="1:2">
      <c r="A5691" s="59"/>
      <c r="B5691"/>
    </row>
    <row r="5692" spans="1:2">
      <c r="A5692" s="59"/>
      <c r="B5692"/>
    </row>
    <row r="5693" spans="1:2">
      <c r="A5693" s="59"/>
      <c r="B5693"/>
    </row>
    <row r="5694" spans="1:2">
      <c r="A5694" s="59"/>
      <c r="B5694"/>
    </row>
    <row r="5695" spans="1:2">
      <c r="A5695" s="59"/>
      <c r="B5695"/>
    </row>
    <row r="5696" spans="1:2">
      <c r="A5696" s="59"/>
      <c r="B5696"/>
    </row>
    <row r="5697" spans="1:2">
      <c r="A5697" s="59"/>
      <c r="B5697"/>
    </row>
    <row r="5698" spans="1:2">
      <c r="A5698" s="59"/>
      <c r="B5698"/>
    </row>
    <row r="5699" spans="1:2">
      <c r="A5699" s="59"/>
      <c r="B5699"/>
    </row>
    <row r="5700" spans="1:2">
      <c r="A5700" s="59"/>
      <c r="B5700"/>
    </row>
    <row r="5701" spans="1:2">
      <c r="A5701" s="59"/>
      <c r="B5701"/>
    </row>
    <row r="5702" spans="1:2">
      <c r="A5702" s="59"/>
      <c r="B5702"/>
    </row>
    <row r="5703" spans="1:2">
      <c r="A5703" s="59"/>
      <c r="B5703"/>
    </row>
    <row r="5704" spans="1:2">
      <c r="A5704" s="59"/>
      <c r="B5704"/>
    </row>
    <row r="5705" spans="1:2">
      <c r="A5705" s="59"/>
      <c r="B5705"/>
    </row>
    <row r="5706" spans="1:2">
      <c r="A5706" s="59"/>
      <c r="B5706"/>
    </row>
    <row r="5707" spans="1:2">
      <c r="A5707" s="59"/>
      <c r="B5707"/>
    </row>
    <row r="5708" spans="1:2">
      <c r="A5708" s="59"/>
      <c r="B5708"/>
    </row>
    <row r="5709" spans="1:2">
      <c r="A5709" s="59"/>
      <c r="B5709"/>
    </row>
    <row r="5710" spans="1:2">
      <c r="A5710" s="59"/>
      <c r="B5710"/>
    </row>
    <row r="5711" spans="1:2">
      <c r="A5711" s="59"/>
      <c r="B5711"/>
    </row>
    <row r="5712" spans="1:2">
      <c r="A5712" s="59"/>
      <c r="B5712"/>
    </row>
    <row r="5713" spans="1:2">
      <c r="A5713" s="59"/>
      <c r="B5713"/>
    </row>
    <row r="5714" spans="1:2">
      <c r="A5714" s="59"/>
      <c r="B5714"/>
    </row>
    <row r="5715" spans="1:2">
      <c r="A5715" s="59"/>
      <c r="B5715"/>
    </row>
    <row r="5716" spans="1:2">
      <c r="A5716" s="59"/>
      <c r="B5716"/>
    </row>
    <row r="5717" spans="1:2">
      <c r="A5717" s="59"/>
      <c r="B5717"/>
    </row>
    <row r="5718" spans="1:2">
      <c r="A5718" s="59"/>
      <c r="B5718"/>
    </row>
    <row r="5719" spans="1:2">
      <c r="A5719" s="59"/>
      <c r="B5719"/>
    </row>
    <row r="5720" spans="1:2">
      <c r="A5720" s="59"/>
      <c r="B5720"/>
    </row>
    <row r="5721" spans="1:2">
      <c r="A5721" s="59"/>
      <c r="B5721"/>
    </row>
    <row r="5722" spans="1:2">
      <c r="A5722" s="59"/>
      <c r="B5722"/>
    </row>
    <row r="5723" spans="1:2">
      <c r="A5723" s="59"/>
      <c r="B5723"/>
    </row>
    <row r="5724" spans="1:2">
      <c r="A5724" s="59"/>
      <c r="B5724"/>
    </row>
    <row r="5725" spans="1:2">
      <c r="A5725" s="59"/>
      <c r="B5725"/>
    </row>
    <row r="5726" spans="1:2">
      <c r="A5726" s="59"/>
      <c r="B5726"/>
    </row>
    <row r="5727" spans="1:2">
      <c r="A5727" s="59"/>
      <c r="B5727"/>
    </row>
    <row r="5728" spans="1:2">
      <c r="A5728" s="59"/>
      <c r="B5728"/>
    </row>
    <row r="5729" spans="1:2">
      <c r="A5729" s="59"/>
      <c r="B5729"/>
    </row>
    <row r="5730" spans="1:2">
      <c r="A5730" s="59"/>
      <c r="B5730"/>
    </row>
    <row r="5731" spans="1:2">
      <c r="A5731" s="59"/>
      <c r="B5731"/>
    </row>
    <row r="5732" spans="1:2">
      <c r="A5732" s="59"/>
      <c r="B5732"/>
    </row>
    <row r="5733" spans="1:2">
      <c r="A5733" s="59"/>
      <c r="B5733"/>
    </row>
    <row r="5734" spans="1:2">
      <c r="A5734" s="59"/>
      <c r="B5734"/>
    </row>
    <row r="5735" spans="1:2">
      <c r="A5735" s="59"/>
      <c r="B5735"/>
    </row>
    <row r="5736" spans="1:2">
      <c r="A5736" s="59"/>
      <c r="B5736"/>
    </row>
    <row r="5737" spans="1:2">
      <c r="A5737" s="59"/>
      <c r="B5737"/>
    </row>
    <row r="5738" spans="1:2">
      <c r="A5738" s="59"/>
      <c r="B5738"/>
    </row>
    <row r="5739" spans="1:2">
      <c r="A5739" s="59"/>
      <c r="B5739"/>
    </row>
    <row r="5740" spans="1:2">
      <c r="A5740" s="59"/>
      <c r="B5740"/>
    </row>
    <row r="5741" spans="1:2">
      <c r="A5741" s="59"/>
      <c r="B5741"/>
    </row>
    <row r="5742" spans="1:2">
      <c r="A5742" s="59"/>
      <c r="B5742"/>
    </row>
    <row r="5743" spans="1:2">
      <c r="A5743" s="59"/>
      <c r="B5743"/>
    </row>
    <row r="5744" spans="1:2">
      <c r="A5744" s="59"/>
      <c r="B5744"/>
    </row>
    <row r="5745" spans="1:2">
      <c r="A5745" s="59"/>
      <c r="B5745"/>
    </row>
    <row r="5746" spans="1:2">
      <c r="A5746" s="59"/>
      <c r="B5746"/>
    </row>
    <row r="5747" spans="1:2">
      <c r="A5747" s="59"/>
      <c r="B5747"/>
    </row>
    <row r="5748" spans="1:2">
      <c r="A5748" s="59"/>
      <c r="B5748"/>
    </row>
    <row r="5749" spans="1:2">
      <c r="A5749" s="59"/>
      <c r="B5749"/>
    </row>
    <row r="5750" spans="1:2">
      <c r="A5750" s="59"/>
      <c r="B5750"/>
    </row>
    <row r="5751" spans="1:2">
      <c r="A5751" s="59"/>
      <c r="B5751"/>
    </row>
    <row r="5752" spans="1:2">
      <c r="A5752" s="59"/>
      <c r="B5752"/>
    </row>
    <row r="5753" spans="1:2">
      <c r="A5753" s="59"/>
      <c r="B5753"/>
    </row>
    <row r="5754" spans="1:2">
      <c r="A5754" s="59"/>
      <c r="B5754"/>
    </row>
    <row r="5755" spans="1:2">
      <c r="A5755" s="59"/>
      <c r="B5755"/>
    </row>
    <row r="5756" spans="1:2">
      <c r="A5756" s="59"/>
      <c r="B5756"/>
    </row>
    <row r="5757" spans="1:2">
      <c r="A5757" s="59"/>
      <c r="B5757"/>
    </row>
    <row r="5758" spans="1:2">
      <c r="A5758" s="59"/>
      <c r="B5758"/>
    </row>
    <row r="5759" spans="1:2">
      <c r="A5759" s="59"/>
      <c r="B5759"/>
    </row>
    <row r="5760" spans="1:2">
      <c r="A5760" s="59"/>
      <c r="B5760"/>
    </row>
    <row r="5761" spans="1:2">
      <c r="A5761" s="59"/>
      <c r="B5761"/>
    </row>
    <row r="5762" spans="1:2">
      <c r="A5762" s="59"/>
      <c r="B5762"/>
    </row>
    <row r="5763" spans="1:2">
      <c r="A5763" s="59"/>
      <c r="B5763"/>
    </row>
    <row r="5764" spans="1:2">
      <c r="A5764" s="59"/>
      <c r="B5764"/>
    </row>
    <row r="5765" spans="1:2">
      <c r="A5765" s="59"/>
      <c r="B5765"/>
    </row>
    <row r="5766" spans="1:2">
      <c r="A5766" s="59"/>
      <c r="B5766"/>
    </row>
    <row r="5767" spans="1:2">
      <c r="A5767" s="59"/>
      <c r="B5767"/>
    </row>
    <row r="5768" spans="1:2">
      <c r="A5768" s="59"/>
      <c r="B5768"/>
    </row>
    <row r="5769" spans="1:2">
      <c r="A5769" s="59"/>
      <c r="B5769"/>
    </row>
    <row r="5770" spans="1:2">
      <c r="A5770" s="59"/>
      <c r="B5770"/>
    </row>
    <row r="5771" spans="1:2">
      <c r="A5771" s="59"/>
      <c r="B5771"/>
    </row>
    <row r="5772" spans="1:2">
      <c r="A5772" s="59"/>
      <c r="B5772"/>
    </row>
    <row r="5773" spans="1:2">
      <c r="A5773" s="59"/>
      <c r="B5773"/>
    </row>
    <row r="5774" spans="1:2">
      <c r="A5774" s="59"/>
      <c r="B5774"/>
    </row>
    <row r="5775" spans="1:2">
      <c r="A5775" s="59"/>
      <c r="B5775"/>
    </row>
    <row r="5776" spans="1:2">
      <c r="A5776" s="59"/>
      <c r="B5776"/>
    </row>
    <row r="5777" spans="1:2">
      <c r="A5777" s="59"/>
      <c r="B5777"/>
    </row>
    <row r="5778" spans="1:2">
      <c r="A5778" s="59"/>
      <c r="B5778"/>
    </row>
    <row r="5779" spans="1:2">
      <c r="A5779" s="59"/>
      <c r="B5779"/>
    </row>
    <row r="5780" spans="1:2">
      <c r="A5780" s="59"/>
      <c r="B5780"/>
    </row>
    <row r="5781" spans="1:2">
      <c r="A5781" s="59"/>
      <c r="B5781"/>
    </row>
    <row r="5782" spans="1:2">
      <c r="A5782" s="59"/>
      <c r="B5782"/>
    </row>
    <row r="5783" spans="1:2">
      <c r="A5783" s="59"/>
      <c r="B5783"/>
    </row>
    <row r="5784" spans="1:2">
      <c r="A5784" s="59"/>
      <c r="B5784"/>
    </row>
    <row r="5785" spans="1:2">
      <c r="A5785" s="59"/>
      <c r="B5785"/>
    </row>
    <row r="5786" spans="1:2">
      <c r="A5786" s="59"/>
      <c r="B5786"/>
    </row>
    <row r="5787" spans="1:2">
      <c r="A5787" s="59"/>
      <c r="B5787"/>
    </row>
    <row r="5788" spans="1:2">
      <c r="A5788" s="59"/>
      <c r="B5788"/>
    </row>
    <row r="5789" spans="1:2">
      <c r="A5789" s="59"/>
      <c r="B5789"/>
    </row>
    <row r="5790" spans="1:2">
      <c r="A5790" s="59"/>
      <c r="B5790"/>
    </row>
    <row r="5791" spans="1:2">
      <c r="A5791" s="59"/>
      <c r="B5791"/>
    </row>
    <row r="5792" spans="1:2">
      <c r="A5792" s="59"/>
      <c r="B5792"/>
    </row>
    <row r="5793" spans="1:2">
      <c r="A5793" s="59"/>
      <c r="B5793"/>
    </row>
    <row r="5794" spans="1:2">
      <c r="A5794" s="59"/>
      <c r="B5794"/>
    </row>
    <row r="5795" spans="1:2">
      <c r="A5795" s="59"/>
      <c r="B5795"/>
    </row>
    <row r="5796" spans="1:2">
      <c r="A5796" s="59"/>
      <c r="B5796"/>
    </row>
    <row r="5797" spans="1:2">
      <c r="A5797" s="59"/>
      <c r="B5797"/>
    </row>
    <row r="5798" spans="1:2">
      <c r="A5798" s="59"/>
      <c r="B5798"/>
    </row>
    <row r="5799" spans="1:2">
      <c r="A5799" s="59"/>
      <c r="B5799"/>
    </row>
    <row r="5800" spans="1:2">
      <c r="A5800" s="59"/>
      <c r="B5800"/>
    </row>
    <row r="5801" spans="1:2">
      <c r="A5801" s="59"/>
      <c r="B5801"/>
    </row>
    <row r="5802" spans="1:2">
      <c r="A5802" s="59"/>
      <c r="B5802"/>
    </row>
    <row r="5803" spans="1:2">
      <c r="A5803" s="59"/>
      <c r="B5803"/>
    </row>
    <row r="5804" spans="1:2">
      <c r="A5804" s="59"/>
      <c r="B5804"/>
    </row>
    <row r="5805" spans="1:2">
      <c r="A5805" s="59"/>
      <c r="B5805"/>
    </row>
    <row r="5806" spans="1:2">
      <c r="A5806" s="59"/>
      <c r="B5806"/>
    </row>
    <row r="5807" spans="1:2">
      <c r="A5807" s="59"/>
      <c r="B5807"/>
    </row>
    <row r="5808" spans="1:2">
      <c r="A5808" s="59"/>
      <c r="B5808"/>
    </row>
    <row r="5809" spans="1:2">
      <c r="A5809" s="59"/>
      <c r="B5809"/>
    </row>
    <row r="5810" spans="1:2">
      <c r="A5810" s="59"/>
      <c r="B5810"/>
    </row>
    <row r="5811" spans="1:2">
      <c r="A5811" s="59"/>
      <c r="B5811"/>
    </row>
    <row r="5812" spans="1:2">
      <c r="A5812" s="59"/>
      <c r="B5812"/>
    </row>
    <row r="5813" spans="1:2">
      <c r="A5813" s="59"/>
      <c r="B5813"/>
    </row>
    <row r="5814" spans="1:2">
      <c r="A5814" s="59"/>
      <c r="B5814"/>
    </row>
    <row r="5815" spans="1:2">
      <c r="A5815" s="59"/>
      <c r="B5815"/>
    </row>
    <row r="5816" spans="1:2">
      <c r="A5816" s="59"/>
      <c r="B5816"/>
    </row>
    <row r="5817" spans="1:2">
      <c r="A5817" s="59"/>
      <c r="B5817"/>
    </row>
    <row r="5818" spans="1:2">
      <c r="A5818" s="59"/>
      <c r="B5818"/>
    </row>
    <row r="5819" spans="1:2">
      <c r="A5819" s="59"/>
      <c r="B5819"/>
    </row>
    <row r="5820" spans="1:2">
      <c r="A5820" s="59"/>
      <c r="B5820"/>
    </row>
    <row r="5821" spans="1:2">
      <c r="A5821" s="59"/>
      <c r="B5821"/>
    </row>
    <row r="5822" spans="1:2">
      <c r="A5822" s="59"/>
      <c r="B5822"/>
    </row>
    <row r="5823" spans="1:2">
      <c r="A5823" s="59"/>
      <c r="B5823"/>
    </row>
    <row r="5824" spans="1:2">
      <c r="A5824" s="59"/>
      <c r="B5824"/>
    </row>
    <row r="5825" spans="1:2">
      <c r="A5825" s="59"/>
      <c r="B5825"/>
    </row>
    <row r="5826" spans="1:2">
      <c r="A5826" s="59"/>
      <c r="B5826"/>
    </row>
    <row r="5827" spans="1:2">
      <c r="A5827" s="59"/>
      <c r="B5827"/>
    </row>
    <row r="5828" spans="1:2">
      <c r="A5828" s="59"/>
      <c r="B5828"/>
    </row>
    <row r="5829" spans="1:2">
      <c r="A5829" s="59"/>
      <c r="B5829"/>
    </row>
    <row r="5830" spans="1:2">
      <c r="A5830" s="59"/>
      <c r="B5830"/>
    </row>
    <row r="5831" spans="1:2">
      <c r="A5831" s="59"/>
      <c r="B5831"/>
    </row>
    <row r="5832" spans="1:2">
      <c r="A5832" s="59"/>
      <c r="B5832"/>
    </row>
    <row r="5833" spans="1:2">
      <c r="A5833" s="59"/>
      <c r="B5833"/>
    </row>
    <row r="5834" spans="1:2">
      <c r="A5834" s="59"/>
      <c r="B5834"/>
    </row>
    <row r="5835" spans="1:2">
      <c r="A5835" s="59"/>
      <c r="B5835"/>
    </row>
    <row r="5836" spans="1:2">
      <c r="A5836" s="59"/>
      <c r="B5836"/>
    </row>
    <row r="5837" spans="1:2">
      <c r="A5837" s="59"/>
      <c r="B5837"/>
    </row>
    <row r="5838" spans="1:2">
      <c r="A5838" s="59"/>
      <c r="B5838"/>
    </row>
    <row r="5839" spans="1:2">
      <c r="A5839" s="59"/>
      <c r="B5839"/>
    </row>
    <row r="5840" spans="1:2">
      <c r="A5840" s="59"/>
      <c r="B5840"/>
    </row>
    <row r="5841" spans="1:2">
      <c r="A5841" s="59"/>
      <c r="B5841"/>
    </row>
    <row r="5842" spans="1:2">
      <c r="A5842" s="59"/>
      <c r="B5842"/>
    </row>
    <row r="5843" spans="1:2">
      <c r="A5843" s="59"/>
      <c r="B5843"/>
    </row>
    <row r="5844" spans="1:2">
      <c r="A5844" s="59"/>
      <c r="B5844"/>
    </row>
    <row r="5845" spans="1:2">
      <c r="A5845" s="59"/>
      <c r="B5845"/>
    </row>
    <row r="5846" spans="1:2">
      <c r="A5846" s="59"/>
      <c r="B5846"/>
    </row>
    <row r="5847" spans="1:2">
      <c r="A5847" s="59"/>
      <c r="B5847"/>
    </row>
    <row r="5848" spans="1:2">
      <c r="A5848" s="59"/>
      <c r="B5848"/>
    </row>
    <row r="5849" spans="1:2">
      <c r="A5849" s="59"/>
      <c r="B5849"/>
    </row>
    <row r="5850" spans="1:2">
      <c r="A5850" s="59"/>
      <c r="B5850"/>
    </row>
    <row r="5851" spans="1:2">
      <c r="A5851" s="59"/>
      <c r="B5851"/>
    </row>
    <row r="5852" spans="1:2">
      <c r="A5852" s="59"/>
      <c r="B5852"/>
    </row>
    <row r="5853" spans="1:2">
      <c r="A5853" s="59"/>
      <c r="B5853"/>
    </row>
    <row r="5854" spans="1:2">
      <c r="A5854" s="59"/>
      <c r="B5854"/>
    </row>
    <row r="5855" spans="1:2">
      <c r="A5855" s="59"/>
      <c r="B5855"/>
    </row>
    <row r="5856" spans="1:2">
      <c r="A5856" s="59"/>
      <c r="B5856"/>
    </row>
    <row r="5857" spans="1:2">
      <c r="A5857" s="59"/>
      <c r="B5857"/>
    </row>
    <row r="5858" spans="1:2">
      <c r="A5858" s="59"/>
      <c r="B5858"/>
    </row>
    <row r="5859" spans="1:2">
      <c r="A5859" s="59"/>
      <c r="B5859"/>
    </row>
    <row r="5860" spans="1:2">
      <c r="A5860" s="59"/>
      <c r="B5860"/>
    </row>
    <row r="5861" spans="1:2">
      <c r="A5861" s="59"/>
      <c r="B5861"/>
    </row>
    <row r="5862" spans="1:2">
      <c r="A5862" s="59"/>
      <c r="B5862"/>
    </row>
    <row r="5863" spans="1:2">
      <c r="A5863" s="59"/>
      <c r="B5863"/>
    </row>
    <row r="5864" spans="1:2">
      <c r="A5864" s="59"/>
      <c r="B5864"/>
    </row>
    <row r="5865" spans="1:2">
      <c r="A5865" s="59"/>
      <c r="B5865"/>
    </row>
    <row r="5866" spans="1:2">
      <c r="A5866" s="59"/>
      <c r="B5866"/>
    </row>
    <row r="5867" spans="1:2">
      <c r="A5867" s="59"/>
      <c r="B5867"/>
    </row>
    <row r="5868" spans="1:2">
      <c r="A5868" s="59"/>
      <c r="B5868"/>
    </row>
    <row r="5869" spans="1:2">
      <c r="A5869" s="59"/>
      <c r="B5869"/>
    </row>
    <row r="5870" spans="1:2">
      <c r="A5870" s="59"/>
      <c r="B5870"/>
    </row>
    <row r="5871" spans="1:2">
      <c r="A5871" s="59"/>
      <c r="B5871"/>
    </row>
    <row r="5872" spans="1:2">
      <c r="A5872" s="59"/>
      <c r="B5872"/>
    </row>
    <row r="5873" spans="1:2">
      <c r="A5873" s="59"/>
      <c r="B5873"/>
    </row>
    <row r="5874" spans="1:2">
      <c r="A5874" s="59"/>
      <c r="B5874"/>
    </row>
    <row r="5875" spans="1:2">
      <c r="A5875" s="59"/>
      <c r="B5875"/>
    </row>
    <row r="5876" spans="1:2">
      <c r="A5876" s="59"/>
      <c r="B5876"/>
    </row>
    <row r="5877" spans="1:2">
      <c r="A5877" s="59"/>
      <c r="B5877"/>
    </row>
    <row r="5878" spans="1:2">
      <c r="A5878" s="59"/>
      <c r="B5878"/>
    </row>
    <row r="5879" spans="1:2">
      <c r="A5879" s="59"/>
      <c r="B5879"/>
    </row>
    <row r="5880" spans="1:2">
      <c r="A5880" s="59"/>
      <c r="B5880"/>
    </row>
    <row r="5881" spans="1:2">
      <c r="A5881" s="59"/>
      <c r="B5881"/>
    </row>
    <row r="5882" spans="1:2">
      <c r="A5882" s="59"/>
      <c r="B5882"/>
    </row>
    <row r="5883" spans="1:2">
      <c r="A5883" s="59"/>
      <c r="B5883"/>
    </row>
    <row r="5884" spans="1:2">
      <c r="A5884" s="59"/>
      <c r="B5884"/>
    </row>
    <row r="5885" spans="1:2">
      <c r="A5885" s="59"/>
      <c r="B5885"/>
    </row>
    <row r="5886" spans="1:2">
      <c r="A5886" s="59"/>
      <c r="B5886"/>
    </row>
    <row r="5887" spans="1:2">
      <c r="A5887" s="59"/>
      <c r="B5887"/>
    </row>
    <row r="5888" spans="1:2">
      <c r="A5888" s="59"/>
      <c r="B5888"/>
    </row>
    <row r="5889" spans="1:2">
      <c r="A5889" s="59"/>
      <c r="B5889"/>
    </row>
    <row r="5890" spans="1:2">
      <c r="A5890" s="59"/>
      <c r="B5890"/>
    </row>
    <row r="5891" spans="1:2">
      <c r="A5891" s="59"/>
      <c r="B5891"/>
    </row>
    <row r="5892" spans="1:2">
      <c r="A5892" s="59"/>
      <c r="B5892"/>
    </row>
    <row r="5893" spans="1:2">
      <c r="A5893" s="59"/>
      <c r="B5893"/>
    </row>
    <row r="5894" spans="1:2">
      <c r="A5894" s="59"/>
      <c r="B5894"/>
    </row>
    <row r="5895" spans="1:2">
      <c r="A5895" s="59"/>
      <c r="B5895"/>
    </row>
    <row r="5896" spans="1:2">
      <c r="A5896" s="59"/>
      <c r="B5896"/>
    </row>
    <row r="5897" spans="1:2">
      <c r="A5897" s="59"/>
      <c r="B5897"/>
    </row>
    <row r="5898" spans="1:2">
      <c r="A5898" s="59"/>
      <c r="B5898"/>
    </row>
    <row r="5899" spans="1:2">
      <c r="A5899" s="59"/>
      <c r="B5899"/>
    </row>
    <row r="5900" spans="1:2">
      <c r="A5900" s="59"/>
      <c r="B5900"/>
    </row>
    <row r="5901" spans="1:2">
      <c r="A5901" s="59"/>
      <c r="B5901"/>
    </row>
    <row r="5902" spans="1:2">
      <c r="A5902" s="59"/>
      <c r="B5902"/>
    </row>
    <row r="5903" spans="1:2">
      <c r="A5903" s="59"/>
      <c r="B5903"/>
    </row>
    <row r="5904" spans="1:2">
      <c r="A5904" s="59"/>
      <c r="B5904"/>
    </row>
    <row r="5905" spans="1:2">
      <c r="A5905" s="59"/>
      <c r="B5905"/>
    </row>
    <row r="5906" spans="1:2">
      <c r="A5906" s="59"/>
      <c r="B5906"/>
    </row>
    <row r="5907" spans="1:2">
      <c r="A5907" s="59"/>
      <c r="B5907"/>
    </row>
    <row r="5908" spans="1:2">
      <c r="A5908" s="59"/>
      <c r="B5908"/>
    </row>
    <row r="5909" spans="1:2">
      <c r="A5909" s="59"/>
      <c r="B5909"/>
    </row>
    <row r="5910" spans="1:2">
      <c r="A5910" s="59"/>
      <c r="B5910"/>
    </row>
    <row r="5911" spans="1:2">
      <c r="A5911" s="59"/>
      <c r="B5911"/>
    </row>
    <row r="5912" spans="1:2">
      <c r="A5912" s="59"/>
      <c r="B5912"/>
    </row>
    <row r="5913" spans="1:2">
      <c r="A5913" s="59"/>
      <c r="B5913"/>
    </row>
    <row r="5914" spans="1:2">
      <c r="A5914" s="59"/>
      <c r="B5914"/>
    </row>
    <row r="5915" spans="1:2">
      <c r="A5915" s="59"/>
      <c r="B5915"/>
    </row>
    <row r="5916" spans="1:2">
      <c r="A5916" s="59"/>
      <c r="B5916"/>
    </row>
    <row r="5917" spans="1:2">
      <c r="A5917" s="59"/>
      <c r="B5917"/>
    </row>
    <row r="5918" spans="1:2">
      <c r="A5918" s="59"/>
      <c r="B5918"/>
    </row>
    <row r="5919" spans="1:2">
      <c r="A5919" s="59"/>
      <c r="B5919"/>
    </row>
    <row r="5920" spans="1:2">
      <c r="A5920" s="59"/>
      <c r="B5920"/>
    </row>
    <row r="5921" spans="1:2">
      <c r="A5921" s="59"/>
      <c r="B5921"/>
    </row>
    <row r="5922" spans="1:2">
      <c r="A5922" s="59"/>
      <c r="B5922"/>
    </row>
    <row r="5923" spans="1:2">
      <c r="A5923" s="59"/>
      <c r="B5923"/>
    </row>
    <row r="5924" spans="1:2">
      <c r="A5924" s="59"/>
      <c r="B5924"/>
    </row>
    <row r="5925" spans="1:2">
      <c r="A5925" s="59"/>
      <c r="B5925"/>
    </row>
    <row r="5926" spans="1:2">
      <c r="A5926" s="59"/>
      <c r="B5926"/>
    </row>
    <row r="5927" spans="1:2">
      <c r="A5927" s="59"/>
      <c r="B5927"/>
    </row>
    <row r="5928" spans="1:2">
      <c r="A5928" s="59"/>
      <c r="B5928"/>
    </row>
    <row r="5929" spans="1:2">
      <c r="A5929" s="59"/>
      <c r="B5929"/>
    </row>
    <row r="5930" spans="1:2">
      <c r="A5930" s="59"/>
      <c r="B5930"/>
    </row>
    <row r="5931" spans="1:2">
      <c r="A5931" s="59"/>
      <c r="B5931"/>
    </row>
    <row r="5932" spans="1:2">
      <c r="A5932" s="59"/>
      <c r="B5932"/>
    </row>
    <row r="5933" spans="1:2">
      <c r="A5933" s="59"/>
      <c r="B5933"/>
    </row>
    <row r="5934" spans="1:2">
      <c r="A5934" s="59"/>
      <c r="B5934"/>
    </row>
    <row r="5935" spans="1:2">
      <c r="A5935" s="59"/>
      <c r="B5935"/>
    </row>
    <row r="5936" spans="1:2">
      <c r="A5936" s="59"/>
      <c r="B5936"/>
    </row>
    <row r="5937" spans="1:2">
      <c r="A5937" s="59"/>
      <c r="B5937"/>
    </row>
    <row r="5938" spans="1:2">
      <c r="A5938" s="59"/>
      <c r="B5938"/>
    </row>
    <row r="5939" spans="1:2">
      <c r="A5939" s="59"/>
      <c r="B5939"/>
    </row>
    <row r="5940" spans="1:2">
      <c r="A5940" s="59"/>
      <c r="B5940"/>
    </row>
    <row r="5941" spans="1:2">
      <c r="A5941" s="59"/>
      <c r="B5941"/>
    </row>
    <row r="5942" spans="1:2">
      <c r="A5942" s="59"/>
      <c r="B5942"/>
    </row>
    <row r="5943" spans="1:2">
      <c r="A5943" s="59"/>
      <c r="B5943"/>
    </row>
    <row r="5944" spans="1:2">
      <c r="A5944" s="59"/>
      <c r="B5944"/>
    </row>
    <row r="5945" spans="1:2">
      <c r="A5945" s="59"/>
      <c r="B5945"/>
    </row>
    <row r="5946" spans="1:2">
      <c r="A5946" s="59"/>
      <c r="B5946"/>
    </row>
    <row r="5947" spans="1:2">
      <c r="A5947" s="59"/>
      <c r="B5947"/>
    </row>
    <row r="5948" spans="1:2">
      <c r="A5948" s="59"/>
      <c r="B5948"/>
    </row>
    <row r="5949" spans="1:2">
      <c r="A5949" s="59"/>
      <c r="B5949"/>
    </row>
    <row r="5950" spans="1:2">
      <c r="A5950" s="59"/>
      <c r="B5950"/>
    </row>
    <row r="5951" spans="1:2">
      <c r="A5951" s="59"/>
      <c r="B5951"/>
    </row>
    <row r="5952" spans="1:2">
      <c r="A5952" s="59"/>
      <c r="B5952"/>
    </row>
    <row r="5953" spans="1:2">
      <c r="A5953" s="59"/>
      <c r="B5953"/>
    </row>
    <row r="5954" spans="1:2">
      <c r="A5954" s="59"/>
      <c r="B5954"/>
    </row>
    <row r="5955" spans="1:2">
      <c r="A5955" s="59"/>
      <c r="B5955"/>
    </row>
    <row r="5956" spans="1:2">
      <c r="A5956" s="59"/>
      <c r="B5956"/>
    </row>
    <row r="5957" spans="1:2">
      <c r="A5957" s="59"/>
      <c r="B5957"/>
    </row>
    <row r="5958" spans="1:2">
      <c r="A5958" s="59"/>
      <c r="B5958"/>
    </row>
    <row r="5959" spans="1:2">
      <c r="A5959" s="59"/>
      <c r="B5959"/>
    </row>
    <row r="5960" spans="1:2">
      <c r="A5960" s="59"/>
      <c r="B5960"/>
    </row>
    <row r="5961" spans="1:2">
      <c r="A5961" s="59"/>
      <c r="B5961"/>
    </row>
    <row r="5962" spans="1:2">
      <c r="A5962" s="59"/>
      <c r="B5962"/>
    </row>
    <row r="5963" spans="1:2">
      <c r="A5963" s="59"/>
      <c r="B5963"/>
    </row>
    <row r="5964" spans="1:2">
      <c r="A5964" s="59"/>
      <c r="B5964"/>
    </row>
    <row r="5965" spans="1:2">
      <c r="A5965" s="59"/>
      <c r="B5965"/>
    </row>
    <row r="5966" spans="1:2">
      <c r="A5966" s="59"/>
      <c r="B5966"/>
    </row>
    <row r="5967" spans="1:2">
      <c r="A5967" s="59"/>
      <c r="B5967"/>
    </row>
    <row r="5968" spans="1:2">
      <c r="A5968" s="59"/>
      <c r="B5968"/>
    </row>
    <row r="5969" spans="1:2">
      <c r="A5969" s="59"/>
      <c r="B5969"/>
    </row>
    <row r="5970" spans="1:2">
      <c r="A5970" s="59"/>
      <c r="B5970"/>
    </row>
    <row r="5971" spans="1:2">
      <c r="A5971" s="59"/>
      <c r="B5971"/>
    </row>
    <row r="5972" spans="1:2">
      <c r="A5972" s="59"/>
      <c r="B5972"/>
    </row>
    <row r="5973" spans="1:2">
      <c r="A5973" s="59"/>
      <c r="B5973"/>
    </row>
    <row r="5974" spans="1:2">
      <c r="A5974" s="59"/>
      <c r="B5974"/>
    </row>
    <row r="5975" spans="1:2">
      <c r="A5975" s="59"/>
      <c r="B5975"/>
    </row>
    <row r="5976" spans="1:2">
      <c r="A5976" s="59"/>
      <c r="B5976"/>
    </row>
    <row r="5977" spans="1:2">
      <c r="A5977" s="59"/>
      <c r="B5977"/>
    </row>
    <row r="5978" spans="1:2">
      <c r="A5978" s="59"/>
      <c r="B5978"/>
    </row>
    <row r="5979" spans="1:2">
      <c r="A5979" s="59"/>
      <c r="B5979"/>
    </row>
    <row r="5980" spans="1:2">
      <c r="A5980" s="59"/>
      <c r="B5980"/>
    </row>
    <row r="5981" spans="1:2">
      <c r="A5981" s="59"/>
      <c r="B5981"/>
    </row>
    <row r="5982" spans="1:2">
      <c r="A5982" s="59"/>
      <c r="B5982"/>
    </row>
    <row r="5983" spans="1:2">
      <c r="A5983" s="59"/>
      <c r="B5983"/>
    </row>
    <row r="5984" spans="1:2">
      <c r="A5984" s="59"/>
      <c r="B5984"/>
    </row>
    <row r="5985" spans="1:2">
      <c r="A5985" s="59"/>
      <c r="B5985"/>
    </row>
    <row r="5986" spans="1:2">
      <c r="A5986" s="59"/>
      <c r="B5986"/>
    </row>
    <row r="5987" spans="1:2">
      <c r="A5987" s="59"/>
      <c r="B5987"/>
    </row>
    <row r="5988" spans="1:2">
      <c r="A5988" s="59"/>
      <c r="B5988"/>
    </row>
    <row r="5989" spans="1:2">
      <c r="A5989" s="59"/>
      <c r="B5989"/>
    </row>
    <row r="5990" spans="1:2">
      <c r="A5990" s="59"/>
      <c r="B5990"/>
    </row>
    <row r="5991" spans="1:2">
      <c r="A5991" s="59"/>
      <c r="B5991"/>
    </row>
    <row r="5992" spans="1:2">
      <c r="A5992" s="59"/>
      <c r="B5992"/>
    </row>
    <row r="5993" spans="1:2">
      <c r="A5993" s="59"/>
      <c r="B5993"/>
    </row>
    <row r="5994" spans="1:2">
      <c r="A5994" s="59"/>
      <c r="B5994"/>
    </row>
    <row r="5995" spans="1:2">
      <c r="A5995" s="59"/>
      <c r="B5995"/>
    </row>
    <row r="5996" spans="1:2">
      <c r="A5996" s="59"/>
      <c r="B5996"/>
    </row>
    <row r="5997" spans="1:2">
      <c r="A5997" s="59"/>
      <c r="B5997"/>
    </row>
    <row r="5998" spans="1:2">
      <c r="A5998" s="59"/>
      <c r="B5998"/>
    </row>
    <row r="5999" spans="1:2">
      <c r="A5999" s="59"/>
      <c r="B5999"/>
    </row>
    <row r="6000" spans="1:2">
      <c r="A6000" s="59"/>
      <c r="B6000"/>
    </row>
    <row r="6001" spans="1:2">
      <c r="A6001" s="59"/>
      <c r="B6001"/>
    </row>
    <row r="6002" spans="1:2">
      <c r="A6002" s="59"/>
      <c r="B6002"/>
    </row>
    <row r="6003" spans="1:2">
      <c r="A6003" s="59"/>
      <c r="B6003"/>
    </row>
    <row r="6004" spans="1:2">
      <c r="A6004" s="59"/>
      <c r="B6004"/>
    </row>
    <row r="6005" spans="1:2">
      <c r="A6005" s="59"/>
      <c r="B6005"/>
    </row>
    <row r="6006" spans="1:2">
      <c r="A6006" s="59"/>
      <c r="B6006"/>
    </row>
    <row r="6007" spans="1:2">
      <c r="A6007" s="59"/>
      <c r="B6007"/>
    </row>
    <row r="6008" spans="1:2">
      <c r="A6008" s="59"/>
      <c r="B6008"/>
    </row>
    <row r="6009" spans="1:2">
      <c r="A6009" s="59"/>
      <c r="B6009"/>
    </row>
    <row r="6010" spans="1:2">
      <c r="A6010" s="59"/>
      <c r="B6010"/>
    </row>
    <row r="6011" spans="1:2">
      <c r="A6011" s="59"/>
      <c r="B6011"/>
    </row>
    <row r="6012" spans="1:2">
      <c r="A6012" s="59"/>
      <c r="B6012"/>
    </row>
    <row r="6013" spans="1:2">
      <c r="A6013" s="59"/>
      <c r="B6013"/>
    </row>
    <row r="6014" spans="1:2">
      <c r="A6014" s="59"/>
      <c r="B6014"/>
    </row>
    <row r="6015" spans="1:2">
      <c r="A6015" s="59"/>
      <c r="B6015"/>
    </row>
    <row r="6016" spans="1:2">
      <c r="A6016" s="59"/>
      <c r="B6016"/>
    </row>
    <row r="6017" spans="1:2">
      <c r="A6017" s="59"/>
      <c r="B6017"/>
    </row>
    <row r="6018" spans="1:2">
      <c r="A6018" s="59"/>
      <c r="B6018"/>
    </row>
    <row r="6019" spans="1:2">
      <c r="A6019" s="59"/>
      <c r="B6019"/>
    </row>
    <row r="6020" spans="1:2">
      <c r="A6020" s="59"/>
      <c r="B6020"/>
    </row>
    <row r="6021" spans="1:2">
      <c r="A6021" s="59"/>
      <c r="B6021"/>
    </row>
    <row r="6022" spans="1:2">
      <c r="A6022" s="59"/>
      <c r="B6022"/>
    </row>
    <row r="6023" spans="1:2">
      <c r="A6023" s="59"/>
      <c r="B6023"/>
    </row>
    <row r="6024" spans="1:2">
      <c r="A6024" s="59"/>
      <c r="B6024"/>
    </row>
    <row r="6025" spans="1:2">
      <c r="A6025" s="59"/>
      <c r="B6025"/>
    </row>
    <row r="6026" spans="1:2">
      <c r="A6026" s="59"/>
      <c r="B6026"/>
    </row>
    <row r="6027" spans="1:2">
      <c r="A6027" s="59"/>
      <c r="B6027"/>
    </row>
    <row r="6028" spans="1:2">
      <c r="A6028" s="59"/>
      <c r="B6028"/>
    </row>
    <row r="6029" spans="1:2">
      <c r="A6029" s="59"/>
      <c r="B6029"/>
    </row>
    <row r="6030" spans="1:2">
      <c r="A6030" s="59"/>
      <c r="B6030"/>
    </row>
    <row r="6031" spans="1:2">
      <c r="A6031" s="59"/>
      <c r="B6031"/>
    </row>
    <row r="6032" spans="1:2">
      <c r="A6032" s="59"/>
      <c r="B6032"/>
    </row>
    <row r="6033" spans="1:2">
      <c r="A6033" s="59"/>
      <c r="B6033"/>
    </row>
    <row r="6034" spans="1:2">
      <c r="A6034" s="59"/>
      <c r="B6034"/>
    </row>
    <row r="6035" spans="1:2">
      <c r="A6035" s="59"/>
      <c r="B6035"/>
    </row>
    <row r="6036" spans="1:2">
      <c r="A6036" s="59"/>
      <c r="B6036"/>
    </row>
    <row r="6037" spans="1:2">
      <c r="A6037" s="59"/>
      <c r="B6037"/>
    </row>
    <row r="6038" spans="1:2">
      <c r="A6038" s="59"/>
      <c r="B6038"/>
    </row>
    <row r="6039" spans="1:2">
      <c r="A6039" s="59"/>
      <c r="B6039"/>
    </row>
    <row r="6040" spans="1:2">
      <c r="A6040" s="59"/>
      <c r="B6040"/>
    </row>
    <row r="6041" spans="1:2">
      <c r="A6041" s="59"/>
      <c r="B6041"/>
    </row>
    <row r="6042" spans="1:2">
      <c r="A6042" s="59"/>
      <c r="B6042"/>
    </row>
    <row r="6043" spans="1:2">
      <c r="A6043" s="59"/>
      <c r="B6043"/>
    </row>
    <row r="6044" spans="1:2">
      <c r="A6044" s="59"/>
      <c r="B6044"/>
    </row>
    <row r="6045" spans="1:2">
      <c r="A6045" s="59"/>
      <c r="B6045"/>
    </row>
    <row r="6046" spans="1:2">
      <c r="A6046" s="59"/>
      <c r="B6046"/>
    </row>
    <row r="6047" spans="1:2">
      <c r="A6047" s="59"/>
      <c r="B6047"/>
    </row>
    <row r="6048" spans="1:2">
      <c r="A6048" s="59"/>
      <c r="B6048"/>
    </row>
    <row r="6049" spans="1:2">
      <c r="A6049" s="59"/>
      <c r="B6049"/>
    </row>
    <row r="6050" spans="1:2">
      <c r="A6050" s="59"/>
      <c r="B6050"/>
    </row>
    <row r="6051" spans="1:2">
      <c r="A6051" s="59"/>
      <c r="B6051"/>
    </row>
    <row r="6052" spans="1:2">
      <c r="A6052" s="59"/>
      <c r="B6052"/>
    </row>
    <row r="6053" spans="1:2">
      <c r="A6053" s="59"/>
      <c r="B6053"/>
    </row>
    <row r="6054" spans="1:2">
      <c r="A6054" s="59"/>
      <c r="B6054"/>
    </row>
    <row r="6055" spans="1:2">
      <c r="A6055" s="59"/>
      <c r="B6055"/>
    </row>
    <row r="6056" spans="1:2">
      <c r="A6056" s="59"/>
      <c r="B6056"/>
    </row>
    <row r="6057" spans="1:2">
      <c r="A6057" s="59"/>
      <c r="B6057"/>
    </row>
    <row r="6058" spans="1:2">
      <c r="A6058" s="59"/>
      <c r="B6058"/>
    </row>
    <row r="6059" spans="1:2">
      <c r="A6059" s="59"/>
      <c r="B6059"/>
    </row>
    <row r="6060" spans="1:2">
      <c r="A6060" s="59"/>
      <c r="B6060"/>
    </row>
    <row r="6061" spans="1:2">
      <c r="A6061" s="59"/>
      <c r="B6061"/>
    </row>
    <row r="6062" spans="1:2">
      <c r="A6062" s="59"/>
      <c r="B6062"/>
    </row>
    <row r="6063" spans="1:2">
      <c r="A6063" s="59"/>
      <c r="B6063"/>
    </row>
    <row r="6064" spans="1:2">
      <c r="A6064" s="59"/>
      <c r="B6064"/>
    </row>
    <row r="6065" spans="1:2">
      <c r="A6065" s="59"/>
      <c r="B6065"/>
    </row>
    <row r="6066" spans="1:2">
      <c r="A6066" s="59"/>
      <c r="B6066"/>
    </row>
    <row r="6067" spans="1:2">
      <c r="A6067" s="59"/>
      <c r="B6067"/>
    </row>
    <row r="6068" spans="1:2">
      <c r="A6068" s="59"/>
      <c r="B6068"/>
    </row>
    <row r="6069" spans="1:2">
      <c r="A6069" s="59"/>
      <c r="B6069"/>
    </row>
    <row r="6070" spans="1:2">
      <c r="A6070" s="59"/>
      <c r="B6070"/>
    </row>
    <row r="6071" spans="1:2">
      <c r="A6071" s="59"/>
      <c r="B6071"/>
    </row>
    <row r="6072" spans="1:2">
      <c r="A6072" s="59"/>
      <c r="B6072"/>
    </row>
    <row r="6073" spans="1:2">
      <c r="A6073" s="59"/>
      <c r="B6073"/>
    </row>
    <row r="6074" spans="1:2">
      <c r="A6074" s="59"/>
      <c r="B6074"/>
    </row>
    <row r="6075" spans="1:2">
      <c r="A6075" s="59"/>
      <c r="B6075"/>
    </row>
    <row r="6076" spans="1:2">
      <c r="A6076" s="59"/>
      <c r="B6076"/>
    </row>
    <row r="6077" spans="1:2">
      <c r="A6077" s="59"/>
      <c r="B6077"/>
    </row>
    <row r="6078" spans="1:2">
      <c r="A6078" s="59"/>
      <c r="B6078"/>
    </row>
    <row r="6079" spans="1:2">
      <c r="A6079" s="59"/>
      <c r="B6079"/>
    </row>
    <row r="6080" spans="1:2">
      <c r="A6080" s="59"/>
      <c r="B6080"/>
    </row>
    <row r="6081" spans="1:2">
      <c r="A6081" s="59"/>
      <c r="B6081"/>
    </row>
    <row r="6082" spans="1:2">
      <c r="A6082" s="59"/>
      <c r="B6082"/>
    </row>
    <row r="6083" spans="1:2">
      <c r="A6083" s="59"/>
      <c r="B6083"/>
    </row>
    <row r="6084" spans="1:2">
      <c r="A6084" s="59"/>
      <c r="B6084"/>
    </row>
    <row r="6085" spans="1:2">
      <c r="A6085" s="59"/>
      <c r="B6085"/>
    </row>
    <row r="6086" spans="1:2">
      <c r="A6086" s="59"/>
      <c r="B6086"/>
    </row>
    <row r="6087" spans="1:2">
      <c r="A6087" s="59"/>
      <c r="B6087"/>
    </row>
    <row r="6088" spans="1:2">
      <c r="A6088" s="59"/>
      <c r="B6088"/>
    </row>
    <row r="6089" spans="1:2">
      <c r="A6089" s="59"/>
      <c r="B6089"/>
    </row>
    <row r="6090" spans="1:2">
      <c r="A6090" s="59"/>
      <c r="B6090"/>
    </row>
    <row r="6091" spans="1:2">
      <c r="A6091" s="59"/>
      <c r="B6091"/>
    </row>
    <row r="6092" spans="1:2">
      <c r="A6092" s="59"/>
      <c r="B6092"/>
    </row>
    <row r="6093" spans="1:2">
      <c r="A6093" s="59"/>
      <c r="B6093"/>
    </row>
    <row r="6094" spans="1:2">
      <c r="A6094" s="59"/>
      <c r="B6094"/>
    </row>
    <row r="6095" spans="1:2">
      <c r="A6095" s="59"/>
      <c r="B6095"/>
    </row>
    <row r="6096" spans="1:2">
      <c r="A6096" s="59"/>
      <c r="B6096"/>
    </row>
    <row r="6097" spans="1:2">
      <c r="A6097" s="59"/>
      <c r="B6097"/>
    </row>
    <row r="6098" spans="1:2">
      <c r="A6098" s="59"/>
      <c r="B6098"/>
    </row>
    <row r="6099" spans="1:2">
      <c r="A6099" s="59"/>
      <c r="B6099"/>
    </row>
    <row r="6100" spans="1:2">
      <c r="A6100" s="59"/>
      <c r="B6100"/>
    </row>
    <row r="6101" spans="1:2">
      <c r="A6101" s="59"/>
      <c r="B6101"/>
    </row>
    <row r="6102" spans="1:2">
      <c r="A6102" s="59"/>
      <c r="B6102"/>
    </row>
    <row r="6103" spans="1:2">
      <c r="A6103" s="59"/>
      <c r="B6103"/>
    </row>
    <row r="6104" spans="1:2">
      <c r="A6104" s="59"/>
      <c r="B6104"/>
    </row>
    <row r="6105" spans="1:2">
      <c r="A6105" s="59"/>
      <c r="B6105"/>
    </row>
    <row r="6106" spans="1:2">
      <c r="A6106" s="59"/>
      <c r="B6106"/>
    </row>
    <row r="6107" spans="1:2">
      <c r="A6107" s="59"/>
      <c r="B6107"/>
    </row>
    <row r="6108" spans="1:2">
      <c r="A6108" s="59"/>
      <c r="B6108"/>
    </row>
    <row r="6109" spans="1:2">
      <c r="A6109" s="59"/>
      <c r="B6109"/>
    </row>
    <row r="6110" spans="1:2">
      <c r="A6110" s="59"/>
      <c r="B6110"/>
    </row>
    <row r="6111" spans="1:2">
      <c r="A6111" s="59"/>
      <c r="B6111"/>
    </row>
    <row r="6112" spans="1:2">
      <c r="A6112" s="59"/>
      <c r="B6112"/>
    </row>
    <row r="6113" spans="1:2">
      <c r="A6113" s="59"/>
      <c r="B6113"/>
    </row>
    <row r="6114" spans="1:2">
      <c r="A6114" s="59"/>
      <c r="B6114"/>
    </row>
    <row r="6115" spans="1:2">
      <c r="A6115" s="59"/>
      <c r="B6115"/>
    </row>
    <row r="6116" spans="1:2">
      <c r="A6116" s="59"/>
      <c r="B6116"/>
    </row>
    <row r="6117" spans="1:2">
      <c r="A6117" s="59"/>
      <c r="B6117"/>
    </row>
    <row r="6118" spans="1:2">
      <c r="A6118" s="59"/>
      <c r="B6118"/>
    </row>
    <row r="6119" spans="1:2">
      <c r="A6119" s="59"/>
      <c r="B6119"/>
    </row>
    <row r="6120" spans="1:2">
      <c r="A6120" s="59"/>
      <c r="B6120"/>
    </row>
    <row r="6121" spans="1:2">
      <c r="A6121" s="59"/>
      <c r="B6121"/>
    </row>
    <row r="6122" spans="1:2">
      <c r="A6122" s="59"/>
      <c r="B6122"/>
    </row>
    <row r="6123" spans="1:2">
      <c r="A6123" s="59"/>
      <c r="B6123"/>
    </row>
    <row r="6124" spans="1:2">
      <c r="A6124" s="59"/>
      <c r="B6124"/>
    </row>
    <row r="6125" spans="1:2">
      <c r="A6125" s="59"/>
      <c r="B6125"/>
    </row>
    <row r="6126" spans="1:2">
      <c r="A6126" s="59"/>
      <c r="B6126"/>
    </row>
    <row r="6127" spans="1:2">
      <c r="A6127" s="59"/>
      <c r="B6127"/>
    </row>
    <row r="6128" spans="1:2">
      <c r="A6128" s="59"/>
      <c r="B6128"/>
    </row>
    <row r="6129" spans="1:2">
      <c r="A6129" s="59"/>
      <c r="B6129"/>
    </row>
    <row r="6130" spans="1:2">
      <c r="A6130" s="59"/>
      <c r="B6130"/>
    </row>
    <row r="6131" spans="1:2">
      <c r="A6131" s="59"/>
      <c r="B6131"/>
    </row>
    <row r="6132" spans="1:2">
      <c r="A6132" s="59"/>
      <c r="B6132"/>
    </row>
    <row r="6133" spans="1:2">
      <c r="A6133" s="59"/>
      <c r="B6133"/>
    </row>
    <row r="6134" spans="1:2">
      <c r="A6134" s="59"/>
      <c r="B6134"/>
    </row>
    <row r="6135" spans="1:2">
      <c r="A6135" s="59"/>
      <c r="B6135"/>
    </row>
    <row r="6136" spans="1:2">
      <c r="A6136" s="59"/>
      <c r="B6136"/>
    </row>
    <row r="6137" spans="1:2">
      <c r="A6137" s="59"/>
      <c r="B6137"/>
    </row>
    <row r="6138" spans="1:2">
      <c r="A6138" s="59"/>
      <c r="B6138"/>
    </row>
    <row r="6139" spans="1:2">
      <c r="A6139" s="59"/>
      <c r="B6139"/>
    </row>
    <row r="6140" spans="1:2">
      <c r="A6140" s="59"/>
      <c r="B6140"/>
    </row>
    <row r="6141" spans="1:2">
      <c r="A6141" s="59"/>
      <c r="B6141"/>
    </row>
    <row r="6142" spans="1:2">
      <c r="A6142" s="59"/>
      <c r="B6142"/>
    </row>
    <row r="6143" spans="1:2">
      <c r="A6143" s="59"/>
      <c r="B6143"/>
    </row>
    <row r="6144" spans="1:2">
      <c r="A6144" s="59"/>
      <c r="B6144"/>
    </row>
    <row r="6145" spans="1:2">
      <c r="A6145" s="59"/>
      <c r="B6145"/>
    </row>
    <row r="6146" spans="1:2">
      <c r="A6146" s="59"/>
      <c r="B6146"/>
    </row>
    <row r="6147" spans="1:2">
      <c r="A6147" s="59"/>
      <c r="B6147"/>
    </row>
    <row r="6148" spans="1:2">
      <c r="A6148" s="59"/>
      <c r="B6148"/>
    </row>
    <row r="6149" spans="1:2">
      <c r="A6149" s="59"/>
      <c r="B6149"/>
    </row>
    <row r="6150" spans="1:2">
      <c r="A6150" s="59"/>
      <c r="B6150"/>
    </row>
    <row r="6151" spans="1:2">
      <c r="A6151" s="59"/>
      <c r="B6151"/>
    </row>
    <row r="6152" spans="1:2">
      <c r="A6152" s="59"/>
      <c r="B6152"/>
    </row>
    <row r="6153" spans="1:2">
      <c r="A6153" s="59"/>
      <c r="B6153"/>
    </row>
    <row r="6154" spans="1:2">
      <c r="A6154" s="59"/>
      <c r="B6154"/>
    </row>
    <row r="6155" spans="1:2">
      <c r="A6155" s="59"/>
      <c r="B6155"/>
    </row>
    <row r="6156" spans="1:2">
      <c r="A6156" s="59"/>
      <c r="B6156"/>
    </row>
    <row r="6157" spans="1:2">
      <c r="A6157" s="59"/>
      <c r="B6157"/>
    </row>
    <row r="6158" spans="1:2">
      <c r="A6158" s="59"/>
      <c r="B6158"/>
    </row>
    <row r="6159" spans="1:2">
      <c r="A6159" s="59"/>
      <c r="B6159"/>
    </row>
    <row r="6160" spans="1:2">
      <c r="A6160" s="59"/>
      <c r="B6160"/>
    </row>
    <row r="6161" spans="1:2">
      <c r="A6161" s="59"/>
      <c r="B6161"/>
    </row>
    <row r="6162" spans="1:2">
      <c r="A6162" s="59"/>
      <c r="B6162"/>
    </row>
    <row r="6163" spans="1:2">
      <c r="A6163" s="59"/>
      <c r="B6163"/>
    </row>
    <row r="6164" spans="1:2">
      <c r="A6164" s="59"/>
      <c r="B6164"/>
    </row>
    <row r="6165" spans="1:2">
      <c r="A6165" s="59"/>
      <c r="B6165"/>
    </row>
    <row r="6166" spans="1:2">
      <c r="A6166" s="59"/>
      <c r="B6166"/>
    </row>
    <row r="6167" spans="1:2">
      <c r="A6167" s="59"/>
      <c r="B6167"/>
    </row>
    <row r="6168" spans="1:2">
      <c r="A6168" s="59"/>
      <c r="B6168"/>
    </row>
    <row r="6169" spans="1:2">
      <c r="A6169" s="59"/>
      <c r="B6169"/>
    </row>
    <row r="6170" spans="1:2">
      <c r="A6170" s="59"/>
      <c r="B6170"/>
    </row>
    <row r="6171" spans="1:2">
      <c r="A6171" s="59"/>
      <c r="B6171"/>
    </row>
    <row r="6172" spans="1:2">
      <c r="A6172" s="59"/>
      <c r="B6172"/>
    </row>
    <row r="6173" spans="1:2">
      <c r="A6173" s="59"/>
      <c r="B6173"/>
    </row>
    <row r="6174" spans="1:2">
      <c r="A6174" s="59"/>
      <c r="B6174"/>
    </row>
    <row r="6175" spans="1:2">
      <c r="A6175" s="59"/>
      <c r="B6175"/>
    </row>
    <row r="6176" spans="1:2">
      <c r="A6176" s="59"/>
      <c r="B6176"/>
    </row>
    <row r="6177" spans="1:2">
      <c r="A6177" s="59"/>
      <c r="B6177"/>
    </row>
    <row r="6178" spans="1:2">
      <c r="A6178" s="59"/>
      <c r="B6178"/>
    </row>
    <row r="6179" spans="1:2">
      <c r="A6179" s="59"/>
      <c r="B6179"/>
    </row>
    <row r="6180" spans="1:2">
      <c r="A6180" s="59"/>
      <c r="B6180"/>
    </row>
    <row r="6181" spans="1:2">
      <c r="A6181" s="59"/>
      <c r="B6181"/>
    </row>
    <row r="6182" spans="1:2">
      <c r="A6182" s="59"/>
      <c r="B6182"/>
    </row>
    <row r="6183" spans="1:2">
      <c r="A6183" s="59"/>
      <c r="B6183"/>
    </row>
    <row r="6184" spans="1:2">
      <c r="A6184" s="59"/>
      <c r="B6184"/>
    </row>
    <row r="6185" spans="1:2">
      <c r="A6185" s="59"/>
      <c r="B6185"/>
    </row>
    <row r="6186" spans="1:2">
      <c r="A6186" s="59"/>
      <c r="B6186"/>
    </row>
    <row r="6187" spans="1:2">
      <c r="A6187" s="59"/>
      <c r="B6187"/>
    </row>
    <row r="6188" spans="1:2">
      <c r="A6188" s="59"/>
      <c r="B6188"/>
    </row>
    <row r="6189" spans="1:2">
      <c r="A6189" s="59"/>
      <c r="B6189"/>
    </row>
    <row r="6190" spans="1:2">
      <c r="A6190" s="59"/>
      <c r="B6190"/>
    </row>
    <row r="6191" spans="1:2">
      <c r="A6191" s="59"/>
      <c r="B6191"/>
    </row>
    <row r="6192" spans="1:2">
      <c r="A6192" s="59"/>
      <c r="B6192"/>
    </row>
    <row r="6193" spans="1:2">
      <c r="A6193" s="59"/>
      <c r="B6193"/>
    </row>
    <row r="6194" spans="1:2">
      <c r="A6194" s="59"/>
      <c r="B6194"/>
    </row>
    <row r="6195" spans="1:2">
      <c r="A6195" s="59"/>
      <c r="B6195"/>
    </row>
    <row r="6196" spans="1:2">
      <c r="A6196" s="59"/>
      <c r="B6196"/>
    </row>
    <row r="6197" spans="1:2">
      <c r="A6197" s="59"/>
      <c r="B6197"/>
    </row>
    <row r="6198" spans="1:2">
      <c r="A6198" s="59"/>
      <c r="B6198"/>
    </row>
    <row r="6199" spans="1:2">
      <c r="A6199" s="59"/>
      <c r="B6199"/>
    </row>
    <row r="6200" spans="1:2">
      <c r="A6200" s="59"/>
      <c r="B6200"/>
    </row>
    <row r="6201" spans="1:2">
      <c r="A6201" s="59"/>
      <c r="B6201"/>
    </row>
    <row r="6202" spans="1:2">
      <c r="A6202" s="59"/>
      <c r="B6202"/>
    </row>
    <row r="6203" spans="1:2">
      <c r="A6203" s="59"/>
      <c r="B6203"/>
    </row>
    <row r="6204" spans="1:2">
      <c r="A6204" s="59"/>
      <c r="B6204"/>
    </row>
    <row r="6205" spans="1:2">
      <c r="A6205" s="59"/>
      <c r="B6205"/>
    </row>
    <row r="6206" spans="1:2">
      <c r="A6206" s="59"/>
      <c r="B6206"/>
    </row>
    <row r="6207" spans="1:2">
      <c r="A6207" s="59"/>
      <c r="B6207"/>
    </row>
    <row r="6208" spans="1:2">
      <c r="A6208" s="59"/>
      <c r="B6208"/>
    </row>
    <row r="6209" spans="1:2">
      <c r="A6209" s="59"/>
      <c r="B6209"/>
    </row>
    <row r="6210" spans="1:2">
      <c r="A6210" s="59"/>
      <c r="B6210"/>
    </row>
    <row r="6211" spans="1:2">
      <c r="A6211" s="59"/>
      <c r="B6211"/>
    </row>
    <row r="6212" spans="1:2">
      <c r="A6212" s="59"/>
      <c r="B6212"/>
    </row>
    <row r="6213" spans="1:2">
      <c r="A6213" s="59"/>
      <c r="B6213"/>
    </row>
    <row r="6214" spans="1:2">
      <c r="A6214" s="59"/>
      <c r="B6214"/>
    </row>
    <row r="6215" spans="1:2">
      <c r="A6215" s="59"/>
      <c r="B6215"/>
    </row>
    <row r="6216" spans="1:2">
      <c r="A6216" s="59"/>
      <c r="B6216"/>
    </row>
    <row r="6217" spans="1:2">
      <c r="A6217" s="59"/>
      <c r="B6217"/>
    </row>
    <row r="6218" spans="1:2">
      <c r="A6218" s="59"/>
      <c r="B6218"/>
    </row>
    <row r="6219" spans="1:2">
      <c r="A6219" s="59"/>
      <c r="B6219"/>
    </row>
    <row r="6220" spans="1:2">
      <c r="A6220" s="59"/>
      <c r="B6220"/>
    </row>
    <row r="6221" spans="1:2">
      <c r="A6221" s="59"/>
      <c r="B6221"/>
    </row>
    <row r="6222" spans="1:2">
      <c r="A6222" s="59"/>
      <c r="B6222"/>
    </row>
    <row r="6223" spans="1:2">
      <c r="A6223" s="59"/>
      <c r="B6223"/>
    </row>
    <row r="6224" spans="1:2">
      <c r="A6224" s="59"/>
      <c r="B6224"/>
    </row>
    <row r="6225" spans="1:2">
      <c r="A6225" s="59"/>
      <c r="B6225"/>
    </row>
    <row r="6226" spans="1:2">
      <c r="A6226" s="59"/>
      <c r="B6226"/>
    </row>
    <row r="6227" spans="1:2">
      <c r="A6227" s="59"/>
      <c r="B6227"/>
    </row>
    <row r="6228" spans="1:2">
      <c r="A6228" s="59"/>
      <c r="B6228"/>
    </row>
    <row r="6229" spans="1:2">
      <c r="A6229" s="59"/>
      <c r="B6229"/>
    </row>
    <row r="6230" spans="1:2">
      <c r="A6230" s="59"/>
      <c r="B6230"/>
    </row>
    <row r="6231" spans="1:2">
      <c r="A6231" s="59"/>
      <c r="B6231"/>
    </row>
    <row r="6232" spans="1:2">
      <c r="A6232" s="59"/>
      <c r="B6232"/>
    </row>
    <row r="6233" spans="1:2">
      <c r="A6233" s="59"/>
      <c r="B6233"/>
    </row>
    <row r="6234" spans="1:2">
      <c r="A6234" s="59"/>
      <c r="B6234"/>
    </row>
    <row r="6235" spans="1:2">
      <c r="A6235" s="59"/>
      <c r="B6235"/>
    </row>
    <row r="6236" spans="1:2">
      <c r="A6236" s="59"/>
      <c r="B6236"/>
    </row>
    <row r="6237" spans="1:2">
      <c r="A6237" s="59"/>
      <c r="B6237"/>
    </row>
    <row r="6238" spans="1:2">
      <c r="A6238" s="59"/>
      <c r="B6238"/>
    </row>
    <row r="6239" spans="1:2">
      <c r="A6239" s="59"/>
      <c r="B6239"/>
    </row>
    <row r="6240" spans="1:2">
      <c r="A6240" s="59"/>
      <c r="B6240"/>
    </row>
    <row r="6241" spans="1:2">
      <c r="A6241" s="59"/>
      <c r="B6241"/>
    </row>
    <row r="6242" spans="1:2">
      <c r="A6242" s="59"/>
      <c r="B6242"/>
    </row>
    <row r="6243" spans="1:2">
      <c r="A6243" s="59"/>
      <c r="B6243"/>
    </row>
    <row r="6244" spans="1:2">
      <c r="A6244" s="59"/>
      <c r="B6244"/>
    </row>
    <row r="6245" spans="1:2">
      <c r="A6245" s="59"/>
      <c r="B6245"/>
    </row>
    <row r="6246" spans="1:2">
      <c r="A6246" s="59"/>
      <c r="B6246"/>
    </row>
    <row r="6247" spans="1:2">
      <c r="A6247" s="59"/>
      <c r="B6247"/>
    </row>
    <row r="6248" spans="1:2">
      <c r="A6248" s="59"/>
      <c r="B6248"/>
    </row>
    <row r="6249" spans="1:2">
      <c r="A6249" s="59"/>
      <c r="B6249"/>
    </row>
    <row r="6250" spans="1:2">
      <c r="A6250" s="59"/>
      <c r="B6250"/>
    </row>
    <row r="6251" spans="1:2">
      <c r="A6251" s="59"/>
      <c r="B6251"/>
    </row>
    <row r="6252" spans="1:2">
      <c r="A6252" s="59"/>
      <c r="B6252"/>
    </row>
    <row r="6253" spans="1:2">
      <c r="A6253" s="59"/>
      <c r="B6253"/>
    </row>
    <row r="6254" spans="1:2">
      <c r="A6254" s="59"/>
      <c r="B6254"/>
    </row>
    <row r="6255" spans="1:2">
      <c r="A6255" s="59"/>
      <c r="B6255"/>
    </row>
    <row r="6256" spans="1:2">
      <c r="A6256" s="59"/>
      <c r="B6256"/>
    </row>
    <row r="6257" spans="1:2">
      <c r="A6257" s="59"/>
      <c r="B6257"/>
    </row>
    <row r="6258" spans="1:2">
      <c r="A6258" s="59"/>
      <c r="B6258"/>
    </row>
    <row r="6259" spans="1:2">
      <c r="A6259" s="59"/>
      <c r="B6259"/>
    </row>
    <row r="6260" spans="1:2">
      <c r="A6260" s="59"/>
      <c r="B6260"/>
    </row>
    <row r="6261" spans="1:2">
      <c r="A6261" s="59"/>
      <c r="B6261"/>
    </row>
    <row r="6262" spans="1:2">
      <c r="A6262" s="59"/>
      <c r="B6262"/>
    </row>
    <row r="6263" spans="1:2">
      <c r="A6263" s="59"/>
      <c r="B6263"/>
    </row>
    <row r="6264" spans="1:2">
      <c r="A6264" s="59"/>
      <c r="B6264"/>
    </row>
    <row r="6265" spans="1:2">
      <c r="A6265" s="59"/>
      <c r="B6265"/>
    </row>
    <row r="6266" spans="1:2">
      <c r="A6266" s="59"/>
      <c r="B6266"/>
    </row>
    <row r="6267" spans="1:2">
      <c r="A6267" s="59"/>
      <c r="B6267"/>
    </row>
    <row r="6268" spans="1:2">
      <c r="A6268" s="59"/>
      <c r="B6268"/>
    </row>
    <row r="6269" spans="1:2">
      <c r="A6269" s="59"/>
      <c r="B6269"/>
    </row>
    <row r="6270" spans="1:2">
      <c r="A6270" s="59"/>
      <c r="B6270"/>
    </row>
    <row r="6271" spans="1:2">
      <c r="A6271" s="59"/>
      <c r="B6271"/>
    </row>
    <row r="6272" spans="1:2">
      <c r="A6272" s="59"/>
      <c r="B6272"/>
    </row>
    <row r="6273" spans="1:2">
      <c r="A6273" s="59"/>
      <c r="B6273"/>
    </row>
    <row r="6274" spans="1:2">
      <c r="A6274" s="59"/>
      <c r="B6274"/>
    </row>
    <row r="6275" spans="1:2">
      <c r="A6275" s="59"/>
      <c r="B6275"/>
    </row>
    <row r="6276" spans="1:2">
      <c r="A6276" s="59"/>
      <c r="B6276"/>
    </row>
    <row r="6277" spans="1:2">
      <c r="A6277" s="59"/>
      <c r="B6277"/>
    </row>
    <row r="6278" spans="1:2">
      <c r="A6278" s="59"/>
      <c r="B6278"/>
    </row>
    <row r="6279" spans="1:2">
      <c r="A6279" s="59"/>
      <c r="B6279"/>
    </row>
    <row r="6280" spans="1:2">
      <c r="A6280" s="59"/>
      <c r="B6280"/>
    </row>
    <row r="6281" spans="1:2">
      <c r="A6281" s="59"/>
      <c r="B6281"/>
    </row>
    <row r="6282" spans="1:2">
      <c r="A6282" s="59"/>
      <c r="B6282"/>
    </row>
    <row r="6283" spans="1:2">
      <c r="A6283" s="59"/>
      <c r="B6283"/>
    </row>
    <row r="6284" spans="1:2">
      <c r="A6284" s="59"/>
      <c r="B6284"/>
    </row>
    <row r="6285" spans="1:2">
      <c r="A6285" s="59"/>
      <c r="B6285"/>
    </row>
    <row r="6286" spans="1:2">
      <c r="A6286" s="59"/>
      <c r="B6286"/>
    </row>
    <row r="6287" spans="1:2">
      <c r="A6287" s="59"/>
      <c r="B6287"/>
    </row>
    <row r="6288" spans="1:2">
      <c r="A6288" s="59"/>
      <c r="B6288"/>
    </row>
    <row r="6289" spans="1:2">
      <c r="A6289" s="59"/>
      <c r="B6289"/>
    </row>
    <row r="6290" spans="1:2">
      <c r="A6290" s="59"/>
      <c r="B6290"/>
    </row>
    <row r="6291" spans="1:2">
      <c r="A6291" s="59"/>
      <c r="B6291"/>
    </row>
    <row r="6292" spans="1:2">
      <c r="A6292" s="59"/>
      <c r="B6292"/>
    </row>
    <row r="6293" spans="1:2">
      <c r="A6293" s="59"/>
      <c r="B6293"/>
    </row>
    <row r="6294" spans="1:2">
      <c r="A6294" s="59"/>
      <c r="B6294"/>
    </row>
    <row r="6295" spans="1:2">
      <c r="A6295" s="59"/>
      <c r="B6295"/>
    </row>
    <row r="6296" spans="1:2">
      <c r="A6296" s="59"/>
      <c r="B6296"/>
    </row>
    <row r="6297" spans="1:2">
      <c r="A6297" s="59"/>
      <c r="B6297"/>
    </row>
    <row r="6298" spans="1:2">
      <c r="A6298" s="59"/>
      <c r="B6298"/>
    </row>
    <row r="6299" spans="1:2">
      <c r="A6299" s="59"/>
      <c r="B6299"/>
    </row>
    <row r="6300" spans="1:2">
      <c r="A6300" s="59"/>
      <c r="B6300"/>
    </row>
    <row r="6301" spans="1:2">
      <c r="A6301" s="59"/>
      <c r="B6301"/>
    </row>
    <row r="6302" spans="1:2">
      <c r="A6302" s="59"/>
      <c r="B6302"/>
    </row>
    <row r="6303" spans="1:2">
      <c r="A6303" s="59"/>
      <c r="B6303"/>
    </row>
    <row r="6304" spans="1:2">
      <c r="A6304" s="59"/>
      <c r="B6304"/>
    </row>
    <row r="6305" spans="1:2">
      <c r="A6305" s="59"/>
      <c r="B6305"/>
    </row>
    <row r="6306" spans="1:2">
      <c r="A6306" s="59"/>
      <c r="B6306"/>
    </row>
    <row r="6307" spans="1:2">
      <c r="A6307" s="59"/>
      <c r="B6307"/>
    </row>
    <row r="6308" spans="1:2">
      <c r="A6308" s="59"/>
      <c r="B6308"/>
    </row>
    <row r="6309" spans="1:2">
      <c r="A6309" s="59"/>
      <c r="B6309"/>
    </row>
    <row r="6310" spans="1:2">
      <c r="A6310" s="59"/>
      <c r="B6310"/>
    </row>
    <row r="6311" spans="1:2">
      <c r="A6311" s="59"/>
      <c r="B6311"/>
    </row>
    <row r="6312" spans="1:2">
      <c r="A6312" s="59"/>
      <c r="B6312"/>
    </row>
    <row r="6313" spans="1:2">
      <c r="A6313" s="59"/>
      <c r="B6313"/>
    </row>
    <row r="6314" spans="1:2">
      <c r="A6314" s="59"/>
      <c r="B6314"/>
    </row>
    <row r="6315" spans="1:2">
      <c r="A6315" s="59"/>
      <c r="B6315"/>
    </row>
    <row r="6316" spans="1:2">
      <c r="A6316" s="59"/>
      <c r="B6316"/>
    </row>
    <row r="6317" spans="1:2">
      <c r="A6317" s="59"/>
      <c r="B6317"/>
    </row>
    <row r="6318" spans="1:2">
      <c r="A6318" s="59"/>
      <c r="B6318"/>
    </row>
    <row r="6319" spans="1:2">
      <c r="A6319" s="59"/>
      <c r="B6319"/>
    </row>
    <row r="6320" spans="1:2">
      <c r="A6320" s="59"/>
      <c r="B6320"/>
    </row>
    <row r="6321" spans="1:2">
      <c r="A6321" s="59"/>
      <c r="B6321"/>
    </row>
    <row r="6322" spans="1:2">
      <c r="A6322" s="59"/>
      <c r="B6322"/>
    </row>
    <row r="6323" spans="1:2">
      <c r="A6323" s="59"/>
      <c r="B6323"/>
    </row>
    <row r="6324" spans="1:2">
      <c r="A6324" s="59"/>
      <c r="B6324"/>
    </row>
    <row r="6325" spans="1:2">
      <c r="A6325" s="59"/>
      <c r="B6325"/>
    </row>
    <row r="6326" spans="1:2">
      <c r="A6326" s="59"/>
      <c r="B6326"/>
    </row>
    <row r="6327" spans="1:2">
      <c r="A6327" s="59"/>
      <c r="B6327"/>
    </row>
    <row r="6328" spans="1:2">
      <c r="A6328" s="59"/>
      <c r="B6328"/>
    </row>
    <row r="6329" spans="1:2">
      <c r="A6329" s="59"/>
      <c r="B6329"/>
    </row>
    <row r="6330" spans="1:2">
      <c r="A6330" s="59"/>
      <c r="B6330"/>
    </row>
    <row r="6331" spans="1:2">
      <c r="A6331" s="59"/>
      <c r="B6331"/>
    </row>
    <row r="6332" spans="1:2">
      <c r="A6332" s="59"/>
      <c r="B6332"/>
    </row>
    <row r="6333" spans="1:2">
      <c r="A6333" s="59"/>
      <c r="B6333"/>
    </row>
    <row r="6334" spans="1:2">
      <c r="A6334" s="59"/>
      <c r="B6334"/>
    </row>
    <row r="6335" spans="1:2">
      <c r="A6335" s="59"/>
      <c r="B6335"/>
    </row>
    <row r="6336" spans="1:2">
      <c r="A6336" s="59"/>
      <c r="B6336"/>
    </row>
    <row r="6337" spans="1:2">
      <c r="A6337" s="59"/>
      <c r="B6337"/>
    </row>
    <row r="6338" spans="1:2">
      <c r="A6338" s="59"/>
      <c r="B6338"/>
    </row>
    <row r="6339" spans="1:2">
      <c r="A6339" s="59"/>
      <c r="B6339"/>
    </row>
    <row r="6340" spans="1:2">
      <c r="A6340" s="59"/>
      <c r="B6340"/>
    </row>
    <row r="6341" spans="1:2">
      <c r="A6341" s="59"/>
      <c r="B6341"/>
    </row>
    <row r="6342" spans="1:2">
      <c r="A6342" s="59"/>
      <c r="B6342"/>
    </row>
    <row r="6343" spans="1:2">
      <c r="A6343" s="59"/>
      <c r="B6343"/>
    </row>
    <row r="6344" spans="1:2">
      <c r="A6344" s="59"/>
      <c r="B6344"/>
    </row>
    <row r="6345" spans="1:2">
      <c r="A6345" s="59"/>
      <c r="B6345"/>
    </row>
    <row r="6346" spans="1:2">
      <c r="A6346" s="59"/>
      <c r="B6346"/>
    </row>
    <row r="6347" spans="1:2">
      <c r="A6347" s="59"/>
      <c r="B6347"/>
    </row>
    <row r="6348" spans="1:2">
      <c r="A6348" s="59"/>
      <c r="B6348"/>
    </row>
    <row r="6349" spans="1:2">
      <c r="A6349" s="59"/>
      <c r="B6349"/>
    </row>
    <row r="6350" spans="1:2">
      <c r="A6350" s="59"/>
      <c r="B6350"/>
    </row>
    <row r="6351" spans="1:2">
      <c r="A6351" s="59"/>
      <c r="B6351"/>
    </row>
    <row r="6352" spans="1:2">
      <c r="A6352" s="59"/>
      <c r="B6352"/>
    </row>
    <row r="6353" spans="1:2">
      <c r="A6353" s="59"/>
      <c r="B6353"/>
    </row>
    <row r="6354" spans="1:2">
      <c r="A6354" s="59"/>
      <c r="B6354"/>
    </row>
    <row r="6355" spans="1:2">
      <c r="A6355" s="59"/>
      <c r="B6355"/>
    </row>
    <row r="6356" spans="1:2">
      <c r="A6356" s="59"/>
      <c r="B6356"/>
    </row>
    <row r="6357" spans="1:2">
      <c r="A6357" s="59"/>
      <c r="B6357"/>
    </row>
    <row r="6358" spans="1:2">
      <c r="A6358" s="59"/>
      <c r="B6358"/>
    </row>
    <row r="6359" spans="1:2">
      <c r="A6359" s="59"/>
      <c r="B6359"/>
    </row>
    <row r="6360" spans="1:2">
      <c r="A6360" s="59"/>
      <c r="B6360"/>
    </row>
    <row r="6361" spans="1:2">
      <c r="A6361" s="59"/>
      <c r="B6361"/>
    </row>
    <row r="6362" spans="1:2">
      <c r="A6362" s="59"/>
      <c r="B6362"/>
    </row>
    <row r="6363" spans="1:2">
      <c r="A6363" s="59"/>
      <c r="B6363"/>
    </row>
    <row r="6364" spans="1:2">
      <c r="A6364" s="59"/>
      <c r="B6364"/>
    </row>
    <row r="6365" spans="1:2">
      <c r="A6365" s="59"/>
      <c r="B6365"/>
    </row>
    <row r="6366" spans="1:2">
      <c r="A6366" s="59"/>
      <c r="B6366"/>
    </row>
    <row r="6367" spans="1:2">
      <c r="A6367" s="59"/>
      <c r="B6367"/>
    </row>
    <row r="6368" spans="1:2">
      <c r="A6368" s="59"/>
      <c r="B6368"/>
    </row>
    <row r="6369" spans="1:2">
      <c r="A6369" s="59"/>
      <c r="B6369"/>
    </row>
    <row r="6370" spans="1:2">
      <c r="A6370" s="59"/>
      <c r="B6370"/>
    </row>
    <row r="6371" spans="1:2">
      <c r="A6371" s="59"/>
      <c r="B6371"/>
    </row>
    <row r="6372" spans="1:2">
      <c r="A6372" s="59"/>
      <c r="B6372"/>
    </row>
    <row r="6373" spans="1:2">
      <c r="A6373" s="59"/>
      <c r="B6373"/>
    </row>
    <row r="6374" spans="1:2">
      <c r="A6374" s="59"/>
      <c r="B6374"/>
    </row>
    <row r="6375" spans="1:2">
      <c r="A6375" s="59"/>
      <c r="B6375"/>
    </row>
    <row r="6376" spans="1:2">
      <c r="A6376" s="59"/>
      <c r="B6376"/>
    </row>
    <row r="6377" spans="1:2">
      <c r="A6377" s="59"/>
      <c r="B6377"/>
    </row>
    <row r="6378" spans="1:2">
      <c r="A6378" s="59"/>
      <c r="B6378"/>
    </row>
    <row r="6379" spans="1:2">
      <c r="A6379" s="59"/>
      <c r="B6379"/>
    </row>
    <row r="6380" spans="1:2">
      <c r="A6380" s="59"/>
      <c r="B6380"/>
    </row>
    <row r="6381" spans="1:2">
      <c r="A6381" s="59"/>
      <c r="B6381"/>
    </row>
    <row r="6382" spans="1:2">
      <c r="A6382" s="59"/>
      <c r="B6382"/>
    </row>
    <row r="6383" spans="1:2">
      <c r="A6383" s="59"/>
      <c r="B6383"/>
    </row>
    <row r="6384" spans="1:2">
      <c r="A6384" s="59"/>
      <c r="B6384"/>
    </row>
    <row r="6385" spans="1:2">
      <c r="A6385" s="59"/>
      <c r="B6385"/>
    </row>
    <row r="6386" spans="1:2">
      <c r="A6386" s="59"/>
      <c r="B6386"/>
    </row>
    <row r="6387" spans="1:2">
      <c r="A6387" s="59"/>
      <c r="B6387"/>
    </row>
    <row r="6388" spans="1:2">
      <c r="A6388" s="59"/>
      <c r="B6388"/>
    </row>
    <row r="6389" spans="1:2">
      <c r="A6389" s="59"/>
      <c r="B6389"/>
    </row>
    <row r="6390" spans="1:2">
      <c r="A6390" s="59"/>
      <c r="B6390"/>
    </row>
    <row r="6391" spans="1:2">
      <c r="A6391" s="59"/>
      <c r="B6391"/>
    </row>
    <row r="6392" spans="1:2">
      <c r="A6392" s="59"/>
      <c r="B6392"/>
    </row>
    <row r="6393" spans="1:2">
      <c r="A6393" s="59"/>
      <c r="B6393"/>
    </row>
    <row r="6394" spans="1:2">
      <c r="A6394" s="59"/>
      <c r="B6394"/>
    </row>
    <row r="6395" spans="1:2">
      <c r="A6395" s="59"/>
      <c r="B6395"/>
    </row>
    <row r="6396" spans="1:2">
      <c r="A6396" s="59"/>
      <c r="B6396"/>
    </row>
    <row r="6397" spans="1:2">
      <c r="A6397" s="59"/>
      <c r="B6397"/>
    </row>
    <row r="6398" spans="1:2">
      <c r="A6398" s="59"/>
      <c r="B6398"/>
    </row>
    <row r="6399" spans="1:2">
      <c r="A6399" s="59"/>
      <c r="B6399"/>
    </row>
    <row r="6400" spans="1:2">
      <c r="A6400" s="59"/>
      <c r="B6400"/>
    </row>
    <row r="6401" spans="1:2">
      <c r="A6401" s="59"/>
      <c r="B6401"/>
    </row>
    <row r="6402" spans="1:2">
      <c r="A6402" s="59"/>
      <c r="B6402"/>
    </row>
    <row r="6403" spans="1:2">
      <c r="A6403" s="59"/>
      <c r="B6403"/>
    </row>
    <row r="6404" spans="1:2">
      <c r="A6404" s="59"/>
      <c r="B6404"/>
    </row>
    <row r="6405" spans="1:2">
      <c r="A6405" s="59"/>
      <c r="B6405"/>
    </row>
    <row r="6406" spans="1:2">
      <c r="A6406" s="59"/>
      <c r="B6406"/>
    </row>
    <row r="6407" spans="1:2">
      <c r="A6407" s="59"/>
      <c r="B6407"/>
    </row>
    <row r="6408" spans="1:2">
      <c r="A6408" s="59"/>
      <c r="B6408"/>
    </row>
    <row r="6409" spans="1:2">
      <c r="A6409" s="59"/>
      <c r="B6409"/>
    </row>
    <row r="6410" spans="1:2">
      <c r="A6410" s="59"/>
      <c r="B6410"/>
    </row>
    <row r="6411" spans="1:2">
      <c r="A6411" s="59"/>
      <c r="B6411"/>
    </row>
    <row r="6412" spans="1:2">
      <c r="A6412" s="59"/>
      <c r="B6412"/>
    </row>
    <row r="6413" spans="1:2">
      <c r="A6413" s="59"/>
      <c r="B6413"/>
    </row>
    <row r="6414" spans="1:2">
      <c r="A6414" s="59"/>
      <c r="B6414"/>
    </row>
    <row r="6415" spans="1:2">
      <c r="A6415" s="59"/>
      <c r="B6415"/>
    </row>
    <row r="6416" spans="1:2">
      <c r="A6416" s="59"/>
      <c r="B6416"/>
    </row>
    <row r="6417" spans="1:2">
      <c r="A6417" s="59"/>
      <c r="B6417"/>
    </row>
    <row r="6418" spans="1:2">
      <c r="A6418" s="59"/>
      <c r="B6418"/>
    </row>
    <row r="6419" spans="1:2">
      <c r="A6419" s="59"/>
      <c r="B6419"/>
    </row>
    <row r="6420" spans="1:2">
      <c r="A6420" s="59"/>
      <c r="B6420"/>
    </row>
    <row r="6421" spans="1:2">
      <c r="A6421" s="59"/>
      <c r="B6421"/>
    </row>
    <row r="6422" spans="1:2">
      <c r="A6422" s="59"/>
      <c r="B6422"/>
    </row>
    <row r="6423" spans="1:2">
      <c r="A6423" s="59"/>
      <c r="B6423"/>
    </row>
    <row r="6424" spans="1:2">
      <c r="A6424" s="59"/>
      <c r="B6424"/>
    </row>
    <row r="6425" spans="1:2">
      <c r="A6425" s="59"/>
      <c r="B6425"/>
    </row>
    <row r="6426" spans="1:2">
      <c r="A6426" s="59"/>
      <c r="B6426"/>
    </row>
    <row r="6427" spans="1:2">
      <c r="A6427" s="59"/>
      <c r="B6427"/>
    </row>
    <row r="6428" spans="1:2">
      <c r="A6428" s="59"/>
      <c r="B6428"/>
    </row>
    <row r="6429" spans="1:2">
      <c r="A6429" s="59"/>
      <c r="B6429"/>
    </row>
    <row r="6430" spans="1:2">
      <c r="A6430" s="59"/>
      <c r="B6430"/>
    </row>
    <row r="6431" spans="1:2">
      <c r="A6431" s="59"/>
      <c r="B6431"/>
    </row>
    <row r="6432" spans="1:2">
      <c r="A6432" s="59"/>
      <c r="B6432"/>
    </row>
    <row r="6433" spans="1:2">
      <c r="A6433" s="59"/>
      <c r="B6433"/>
    </row>
    <row r="6434" spans="1:2">
      <c r="A6434" s="59"/>
      <c r="B6434"/>
    </row>
    <row r="6435" spans="1:2">
      <c r="A6435" s="59"/>
      <c r="B6435"/>
    </row>
    <row r="6436" spans="1:2">
      <c r="A6436" s="59"/>
      <c r="B6436"/>
    </row>
    <row r="6437" spans="1:2">
      <c r="A6437" s="59"/>
      <c r="B6437"/>
    </row>
    <row r="6438" spans="1:2">
      <c r="A6438" s="59"/>
      <c r="B6438"/>
    </row>
    <row r="6439" spans="1:2">
      <c r="A6439" s="59"/>
      <c r="B6439"/>
    </row>
    <row r="6440" spans="1:2">
      <c r="A6440" s="59"/>
      <c r="B6440"/>
    </row>
    <row r="6441" spans="1:2">
      <c r="A6441" s="59"/>
      <c r="B6441"/>
    </row>
    <row r="6442" spans="1:2">
      <c r="A6442" s="59"/>
      <c r="B6442"/>
    </row>
    <row r="6443" spans="1:2">
      <c r="A6443" s="59"/>
      <c r="B6443"/>
    </row>
    <row r="6444" spans="1:2">
      <c r="A6444" s="59"/>
      <c r="B6444"/>
    </row>
    <row r="6445" spans="1:2">
      <c r="A6445" s="59"/>
      <c r="B6445"/>
    </row>
    <row r="6446" spans="1:2">
      <c r="A6446" s="59"/>
      <c r="B6446"/>
    </row>
    <row r="6447" spans="1:2">
      <c r="A6447" s="59"/>
      <c r="B6447"/>
    </row>
    <row r="6448" spans="1:2">
      <c r="A6448" s="59"/>
      <c r="B6448"/>
    </row>
    <row r="6449" spans="1:2">
      <c r="A6449" s="59"/>
      <c r="B6449"/>
    </row>
    <row r="6450" spans="1:2">
      <c r="A6450" s="59"/>
      <c r="B6450"/>
    </row>
    <row r="6451" spans="1:2">
      <c r="A6451" s="59"/>
      <c r="B6451"/>
    </row>
    <row r="6452" spans="1:2">
      <c r="A6452" s="59"/>
      <c r="B6452"/>
    </row>
    <row r="6453" spans="1:2">
      <c r="A6453" s="59"/>
      <c r="B6453"/>
    </row>
    <row r="6454" spans="1:2">
      <c r="A6454" s="59"/>
      <c r="B6454"/>
    </row>
    <row r="6455" spans="1:2">
      <c r="A6455" s="59"/>
      <c r="B6455"/>
    </row>
    <row r="6456" spans="1:2">
      <c r="A6456" s="59"/>
      <c r="B6456"/>
    </row>
    <row r="6457" spans="1:2">
      <c r="A6457" s="59"/>
      <c r="B6457"/>
    </row>
    <row r="6458" spans="1:2">
      <c r="A6458" s="59"/>
      <c r="B6458"/>
    </row>
    <row r="6459" spans="1:2">
      <c r="A6459" s="59"/>
      <c r="B6459"/>
    </row>
    <row r="6460" spans="1:2">
      <c r="A6460" s="59"/>
      <c r="B6460"/>
    </row>
    <row r="6461" spans="1:2">
      <c r="A6461" s="59"/>
      <c r="B6461"/>
    </row>
    <row r="6462" spans="1:2">
      <c r="A6462" s="59"/>
      <c r="B6462"/>
    </row>
    <row r="6463" spans="1:2">
      <c r="A6463" s="59"/>
      <c r="B6463"/>
    </row>
    <row r="6464" spans="1:2">
      <c r="A6464" s="59"/>
      <c r="B6464"/>
    </row>
    <row r="6465" spans="1:2">
      <c r="A6465" s="59"/>
      <c r="B6465"/>
    </row>
    <row r="6466" spans="1:2">
      <c r="A6466" s="59"/>
      <c r="B6466"/>
    </row>
    <row r="6467" spans="1:2">
      <c r="A6467" s="59"/>
      <c r="B6467"/>
    </row>
    <row r="6468" spans="1:2">
      <c r="A6468" s="59"/>
      <c r="B6468"/>
    </row>
    <row r="6469" spans="1:2">
      <c r="A6469" s="59"/>
      <c r="B6469"/>
    </row>
    <row r="6470" spans="1:2">
      <c r="A6470" s="59"/>
      <c r="B6470"/>
    </row>
    <row r="6471" spans="1:2">
      <c r="A6471" s="59"/>
      <c r="B6471"/>
    </row>
    <row r="6472" spans="1:2">
      <c r="A6472" s="59"/>
      <c r="B6472"/>
    </row>
    <row r="6473" spans="1:2">
      <c r="A6473" s="59"/>
      <c r="B6473"/>
    </row>
    <row r="6474" spans="1:2">
      <c r="A6474" s="59"/>
      <c r="B6474"/>
    </row>
    <row r="6475" spans="1:2">
      <c r="A6475" s="59"/>
      <c r="B6475"/>
    </row>
    <row r="6476" spans="1:2">
      <c r="A6476" s="59"/>
      <c r="B6476"/>
    </row>
    <row r="6477" spans="1:2">
      <c r="A6477" s="59"/>
      <c r="B6477"/>
    </row>
    <row r="6478" spans="1:2">
      <c r="A6478" s="59"/>
      <c r="B6478"/>
    </row>
    <row r="6479" spans="1:2">
      <c r="A6479" s="59"/>
      <c r="B6479"/>
    </row>
    <row r="6480" spans="1:2">
      <c r="A6480" s="59"/>
      <c r="B6480"/>
    </row>
    <row r="6481" spans="1:2">
      <c r="A6481" s="59"/>
      <c r="B6481"/>
    </row>
    <row r="6482" spans="1:2">
      <c r="A6482" s="59"/>
      <c r="B6482"/>
    </row>
    <row r="6483" spans="1:2">
      <c r="A6483" s="59"/>
      <c r="B6483"/>
    </row>
    <row r="6484" spans="1:2">
      <c r="A6484" s="59"/>
      <c r="B6484"/>
    </row>
    <row r="6485" spans="1:2">
      <c r="A6485" s="59"/>
      <c r="B6485"/>
    </row>
    <row r="6486" spans="1:2">
      <c r="A6486" s="59"/>
      <c r="B6486"/>
    </row>
    <row r="6487" spans="1:2">
      <c r="A6487" s="59"/>
      <c r="B6487"/>
    </row>
    <row r="6488" spans="1:2">
      <c r="A6488" s="59"/>
      <c r="B6488"/>
    </row>
    <row r="6489" spans="1:2">
      <c r="A6489" s="59"/>
      <c r="B6489"/>
    </row>
    <row r="6490" spans="1:2">
      <c r="A6490" s="59"/>
      <c r="B6490"/>
    </row>
    <row r="6491" spans="1:2">
      <c r="A6491" s="59"/>
      <c r="B6491"/>
    </row>
    <row r="6492" spans="1:2">
      <c r="A6492" s="59"/>
      <c r="B6492"/>
    </row>
    <row r="6493" spans="1:2">
      <c r="A6493" s="59"/>
      <c r="B6493"/>
    </row>
    <row r="6494" spans="1:2">
      <c r="A6494" s="59"/>
      <c r="B6494"/>
    </row>
    <row r="6495" spans="1:2">
      <c r="A6495" s="59"/>
      <c r="B6495"/>
    </row>
    <row r="6496" spans="1:2">
      <c r="A6496" s="59"/>
      <c r="B6496"/>
    </row>
    <row r="6497" spans="1:2">
      <c r="A6497" s="59"/>
      <c r="B6497"/>
    </row>
    <row r="6498" spans="1:2">
      <c r="A6498" s="59"/>
      <c r="B6498"/>
    </row>
    <row r="6499" spans="1:2">
      <c r="A6499" s="59"/>
      <c r="B6499"/>
    </row>
    <row r="6500" spans="1:2">
      <c r="A6500" s="59"/>
      <c r="B6500"/>
    </row>
    <row r="6501" spans="1:2">
      <c r="A6501" s="59"/>
      <c r="B6501"/>
    </row>
    <row r="6502" spans="1:2">
      <c r="A6502" s="59"/>
      <c r="B6502"/>
    </row>
    <row r="6503" spans="1:2">
      <c r="A6503" s="59"/>
      <c r="B6503"/>
    </row>
    <row r="6504" spans="1:2">
      <c r="A6504" s="59"/>
      <c r="B6504"/>
    </row>
    <row r="6505" spans="1:2">
      <c r="A6505" s="59"/>
      <c r="B6505"/>
    </row>
    <row r="6506" spans="1:2">
      <c r="A6506" s="59"/>
      <c r="B6506"/>
    </row>
    <row r="6507" spans="1:2">
      <c r="A6507" s="59"/>
      <c r="B6507"/>
    </row>
    <row r="6508" spans="1:2">
      <c r="A6508" s="59"/>
      <c r="B6508"/>
    </row>
    <row r="6509" spans="1:2">
      <c r="A6509" s="59"/>
      <c r="B6509"/>
    </row>
    <row r="6510" spans="1:2">
      <c r="A6510" s="59"/>
      <c r="B6510"/>
    </row>
    <row r="6511" spans="1:2">
      <c r="A6511" s="59"/>
      <c r="B6511"/>
    </row>
    <row r="6512" spans="1:2">
      <c r="A6512" s="59"/>
      <c r="B6512"/>
    </row>
    <row r="6513" spans="1:2">
      <c r="A6513" s="59"/>
      <c r="B6513"/>
    </row>
    <row r="6514" spans="1:2">
      <c r="A6514" s="59"/>
      <c r="B6514"/>
    </row>
    <row r="6515" spans="1:2">
      <c r="A6515" s="59"/>
      <c r="B6515"/>
    </row>
    <row r="6516" spans="1:2">
      <c r="A6516" s="59"/>
      <c r="B6516"/>
    </row>
    <row r="6517" spans="1:2">
      <c r="A6517" s="59"/>
      <c r="B6517"/>
    </row>
    <row r="6518" spans="1:2">
      <c r="A6518" s="59"/>
      <c r="B6518"/>
    </row>
    <row r="6519" spans="1:2">
      <c r="A6519" s="59"/>
      <c r="B6519"/>
    </row>
    <row r="6520" spans="1:2">
      <c r="A6520" s="59"/>
      <c r="B6520"/>
    </row>
    <row r="6521" spans="1:2">
      <c r="A6521" s="59"/>
      <c r="B6521"/>
    </row>
    <row r="6522" spans="1:2">
      <c r="A6522" s="59"/>
      <c r="B6522"/>
    </row>
    <row r="6523" spans="1:2">
      <c r="A6523" s="59"/>
      <c r="B6523"/>
    </row>
    <row r="6524" spans="1:2">
      <c r="A6524" s="59"/>
      <c r="B6524"/>
    </row>
    <row r="6525" spans="1:2">
      <c r="A6525" s="59"/>
      <c r="B6525"/>
    </row>
    <row r="6526" spans="1:2">
      <c r="A6526" s="59"/>
      <c r="B6526"/>
    </row>
    <row r="6527" spans="1:2">
      <c r="A6527" s="59"/>
      <c r="B6527"/>
    </row>
    <row r="6528" spans="1:2">
      <c r="A6528" s="59"/>
      <c r="B6528"/>
    </row>
    <row r="6529" spans="1:2">
      <c r="A6529" s="59"/>
      <c r="B6529"/>
    </row>
    <row r="6530" spans="1:2">
      <c r="A6530" s="59"/>
      <c r="B6530"/>
    </row>
    <row r="6531" spans="1:2">
      <c r="A6531" s="59"/>
      <c r="B6531"/>
    </row>
    <row r="6532" spans="1:2">
      <c r="A6532" s="59"/>
      <c r="B6532"/>
    </row>
    <row r="6533" spans="1:2">
      <c r="A6533" s="59"/>
      <c r="B6533"/>
    </row>
    <row r="6534" spans="1:2">
      <c r="A6534" s="59"/>
      <c r="B6534"/>
    </row>
    <row r="6535" spans="1:2">
      <c r="A6535" s="59"/>
      <c r="B6535"/>
    </row>
    <row r="6536" spans="1:2">
      <c r="A6536" s="59"/>
      <c r="B6536"/>
    </row>
    <row r="6537" spans="1:2">
      <c r="A6537" s="59"/>
      <c r="B6537"/>
    </row>
    <row r="6538" spans="1:2">
      <c r="A6538" s="59"/>
      <c r="B6538"/>
    </row>
    <row r="6539" spans="1:2">
      <c r="A6539" s="59"/>
      <c r="B6539"/>
    </row>
    <row r="6540" spans="1:2">
      <c r="A6540" s="59"/>
      <c r="B6540"/>
    </row>
    <row r="6541" spans="1:2">
      <c r="A6541" s="59"/>
      <c r="B6541"/>
    </row>
    <row r="6542" spans="1:2">
      <c r="A6542" s="59"/>
      <c r="B6542"/>
    </row>
    <row r="6543" spans="1:2">
      <c r="A6543" s="59"/>
      <c r="B6543"/>
    </row>
    <row r="6544" spans="1:2">
      <c r="A6544" s="59"/>
      <c r="B6544"/>
    </row>
    <row r="6545" spans="1:2">
      <c r="A6545" s="59"/>
      <c r="B6545"/>
    </row>
    <row r="6546" spans="1:2">
      <c r="A6546" s="59"/>
      <c r="B6546"/>
    </row>
    <row r="6547" spans="1:2">
      <c r="A6547" s="59"/>
      <c r="B6547"/>
    </row>
    <row r="6548" spans="1:2">
      <c r="A6548" s="59"/>
      <c r="B6548"/>
    </row>
    <row r="6549" spans="1:2">
      <c r="A6549" s="59"/>
      <c r="B6549"/>
    </row>
    <row r="6550" spans="1:2">
      <c r="A6550" s="59"/>
      <c r="B6550"/>
    </row>
    <row r="6551" spans="1:2">
      <c r="A6551" s="59"/>
      <c r="B6551"/>
    </row>
    <row r="6552" spans="1:2">
      <c r="A6552" s="59"/>
      <c r="B6552"/>
    </row>
    <row r="6553" spans="1:2">
      <c r="A6553" s="59"/>
      <c r="B6553"/>
    </row>
    <row r="6554" spans="1:2">
      <c r="A6554" s="59"/>
      <c r="B6554"/>
    </row>
    <row r="6555" spans="1:2">
      <c r="A6555" s="59"/>
      <c r="B6555"/>
    </row>
    <row r="6556" spans="1:2">
      <c r="A6556" s="59"/>
      <c r="B6556"/>
    </row>
    <row r="6557" spans="1:2">
      <c r="A6557" s="59"/>
      <c r="B6557"/>
    </row>
    <row r="6558" spans="1:2">
      <c r="A6558" s="59"/>
      <c r="B6558"/>
    </row>
    <row r="6559" spans="1:2">
      <c r="A6559" s="59"/>
      <c r="B6559"/>
    </row>
    <row r="6560" spans="1:2">
      <c r="A6560" s="59"/>
      <c r="B6560"/>
    </row>
    <row r="6561" spans="1:2">
      <c r="A6561" s="59"/>
      <c r="B6561"/>
    </row>
    <row r="6562" spans="1:2">
      <c r="A6562" s="59"/>
      <c r="B6562"/>
    </row>
    <row r="6563" spans="1:2">
      <c r="A6563" s="59"/>
      <c r="B6563"/>
    </row>
    <row r="6564" spans="1:2">
      <c r="A6564" s="59"/>
      <c r="B6564"/>
    </row>
    <row r="6565" spans="1:2">
      <c r="A6565" s="59"/>
      <c r="B6565"/>
    </row>
    <row r="6566" spans="1:2">
      <c r="A6566" s="59"/>
      <c r="B6566"/>
    </row>
    <row r="6567" spans="1:2">
      <c r="A6567" s="59"/>
      <c r="B6567"/>
    </row>
    <row r="6568" spans="1:2">
      <c r="A6568" s="59"/>
      <c r="B6568"/>
    </row>
    <row r="6569" spans="1:2">
      <c r="A6569" s="59"/>
      <c r="B6569"/>
    </row>
    <row r="6570" spans="1:2">
      <c r="A6570" s="59"/>
      <c r="B6570"/>
    </row>
    <row r="6571" spans="1:2">
      <c r="A6571" s="59"/>
      <c r="B6571"/>
    </row>
    <row r="6572" spans="1:2">
      <c r="A6572" s="59"/>
      <c r="B6572"/>
    </row>
    <row r="6573" spans="1:2">
      <c r="A6573" s="59"/>
      <c r="B6573"/>
    </row>
    <row r="6574" spans="1:2">
      <c r="A6574" s="59"/>
      <c r="B6574"/>
    </row>
    <row r="6575" spans="1:2">
      <c r="A6575" s="59"/>
      <c r="B6575"/>
    </row>
    <row r="6576" spans="1:2">
      <c r="A6576" s="59"/>
      <c r="B6576"/>
    </row>
    <row r="6577" spans="1:2">
      <c r="A6577" s="59"/>
      <c r="B6577"/>
    </row>
    <row r="6578" spans="1:2">
      <c r="A6578" s="59"/>
      <c r="B6578"/>
    </row>
    <row r="6579" spans="1:2">
      <c r="A6579" s="59"/>
      <c r="B6579"/>
    </row>
    <row r="6580" spans="1:2">
      <c r="A6580" s="59"/>
      <c r="B6580"/>
    </row>
    <row r="6581" spans="1:2">
      <c r="A6581" s="59"/>
      <c r="B6581"/>
    </row>
    <row r="6582" spans="1:2">
      <c r="A6582" s="59"/>
      <c r="B6582"/>
    </row>
    <row r="6583" spans="1:2">
      <c r="A6583" s="59"/>
      <c r="B6583"/>
    </row>
    <row r="6584" spans="1:2">
      <c r="A6584" s="59"/>
      <c r="B6584"/>
    </row>
    <row r="6585" spans="1:2">
      <c r="A6585" s="59"/>
      <c r="B6585"/>
    </row>
    <row r="6586" spans="1:2">
      <c r="A6586" s="59"/>
      <c r="B6586"/>
    </row>
    <row r="6587" spans="1:2">
      <c r="A6587" s="59"/>
      <c r="B6587"/>
    </row>
    <row r="6588" spans="1:2">
      <c r="A6588" s="59"/>
      <c r="B6588"/>
    </row>
    <row r="6589" spans="1:2">
      <c r="A6589" s="59"/>
      <c r="B6589"/>
    </row>
    <row r="6590" spans="1:2">
      <c r="A6590" s="59"/>
      <c r="B6590"/>
    </row>
    <row r="6591" spans="1:2">
      <c r="A6591" s="59"/>
      <c r="B6591"/>
    </row>
    <row r="6592" spans="1:2">
      <c r="A6592" s="59"/>
      <c r="B6592"/>
    </row>
    <row r="6593" spans="1:2">
      <c r="A6593" s="59"/>
      <c r="B6593"/>
    </row>
    <row r="6594" spans="1:2">
      <c r="A6594" s="59"/>
      <c r="B6594"/>
    </row>
    <row r="6595" spans="1:2">
      <c r="A6595" s="59"/>
      <c r="B6595"/>
    </row>
    <row r="6596" spans="1:2">
      <c r="A6596" s="59"/>
      <c r="B6596"/>
    </row>
    <row r="6597" spans="1:2">
      <c r="A6597" s="59"/>
      <c r="B6597"/>
    </row>
    <row r="6598" spans="1:2">
      <c r="A6598" s="59"/>
      <c r="B6598"/>
    </row>
    <row r="6599" spans="1:2">
      <c r="A6599" s="59"/>
      <c r="B6599"/>
    </row>
    <row r="6600" spans="1:2">
      <c r="A6600" s="59"/>
      <c r="B6600"/>
    </row>
    <row r="6601" spans="1:2">
      <c r="A6601" s="59"/>
      <c r="B6601"/>
    </row>
    <row r="6602" spans="1:2">
      <c r="A6602" s="59"/>
      <c r="B6602"/>
    </row>
    <row r="6603" spans="1:2">
      <c r="A6603" s="59"/>
      <c r="B6603"/>
    </row>
    <row r="6604" spans="1:2">
      <c r="A6604" s="59"/>
      <c r="B6604"/>
    </row>
    <row r="6605" spans="1:2">
      <c r="A6605" s="59"/>
      <c r="B6605"/>
    </row>
    <row r="6606" spans="1:2">
      <c r="A6606" s="59"/>
      <c r="B6606"/>
    </row>
    <row r="6607" spans="1:2">
      <c r="A6607" s="59"/>
      <c r="B6607"/>
    </row>
    <row r="6608" spans="1:2">
      <c r="A6608" s="59"/>
      <c r="B6608"/>
    </row>
    <row r="6609" spans="1:2">
      <c r="A6609" s="59"/>
      <c r="B6609"/>
    </row>
    <row r="6610" spans="1:2">
      <c r="A6610" s="59"/>
      <c r="B6610"/>
    </row>
    <row r="6611" spans="1:2">
      <c r="A6611" s="59"/>
      <c r="B6611"/>
    </row>
    <row r="6612" spans="1:2">
      <c r="A6612" s="59"/>
      <c r="B6612"/>
    </row>
    <row r="6613" spans="1:2">
      <c r="A6613" s="59"/>
      <c r="B6613"/>
    </row>
    <row r="6614" spans="1:2">
      <c r="A6614" s="59"/>
      <c r="B6614"/>
    </row>
    <row r="6615" spans="1:2">
      <c r="A6615" s="59"/>
      <c r="B6615"/>
    </row>
    <row r="6616" spans="1:2">
      <c r="A6616" s="59"/>
      <c r="B6616"/>
    </row>
    <row r="6617" spans="1:2">
      <c r="A6617" s="59"/>
      <c r="B6617"/>
    </row>
    <row r="6618" spans="1:2">
      <c r="A6618" s="59"/>
      <c r="B6618"/>
    </row>
    <row r="6619" spans="1:2">
      <c r="A6619" s="59"/>
      <c r="B6619"/>
    </row>
    <row r="6620" spans="1:2">
      <c r="A6620" s="59"/>
      <c r="B6620"/>
    </row>
    <row r="6621" spans="1:2">
      <c r="A6621" s="59"/>
      <c r="B6621"/>
    </row>
    <row r="6622" spans="1:2">
      <c r="A6622" s="59"/>
      <c r="B6622"/>
    </row>
    <row r="6623" spans="1:2">
      <c r="A6623" s="59"/>
      <c r="B6623"/>
    </row>
    <row r="6624" spans="1:2">
      <c r="A6624" s="59"/>
      <c r="B6624"/>
    </row>
    <row r="6625" spans="1:2">
      <c r="A6625" s="59"/>
      <c r="B6625"/>
    </row>
    <row r="6626" spans="1:2">
      <c r="A6626" s="59"/>
      <c r="B6626"/>
    </row>
    <row r="6627" spans="1:2">
      <c r="A6627" s="59"/>
      <c r="B6627"/>
    </row>
    <row r="6628" spans="1:2">
      <c r="A6628" s="59"/>
      <c r="B6628"/>
    </row>
    <row r="6629" spans="1:2">
      <c r="A6629" s="59"/>
      <c r="B6629"/>
    </row>
    <row r="6630" spans="1:2">
      <c r="A6630" s="59"/>
      <c r="B6630"/>
    </row>
    <row r="6631" spans="1:2">
      <c r="A6631" s="59"/>
      <c r="B6631"/>
    </row>
    <row r="6632" spans="1:2">
      <c r="A6632" s="59"/>
      <c r="B6632"/>
    </row>
    <row r="6633" spans="1:2">
      <c r="A6633" s="59"/>
      <c r="B6633"/>
    </row>
    <row r="6634" spans="1:2">
      <c r="A6634" s="59"/>
      <c r="B6634"/>
    </row>
    <row r="6635" spans="1:2">
      <c r="A6635" s="59"/>
      <c r="B6635"/>
    </row>
    <row r="6636" spans="1:2">
      <c r="A6636" s="59"/>
      <c r="B6636"/>
    </row>
    <row r="6637" spans="1:2">
      <c r="A6637" s="59"/>
      <c r="B6637"/>
    </row>
    <row r="6638" spans="1:2">
      <c r="A6638" s="59"/>
      <c r="B6638"/>
    </row>
    <row r="6639" spans="1:2">
      <c r="A6639" s="59"/>
      <c r="B6639"/>
    </row>
    <row r="6640" spans="1:2">
      <c r="A6640" s="59"/>
      <c r="B6640"/>
    </row>
    <row r="6641" spans="1:2">
      <c r="A6641" s="59"/>
      <c r="B6641"/>
    </row>
    <row r="6642" spans="1:2">
      <c r="A6642" s="59"/>
      <c r="B6642"/>
    </row>
    <row r="6643" spans="1:2">
      <c r="A6643" s="59"/>
      <c r="B6643"/>
    </row>
    <row r="6644" spans="1:2">
      <c r="A6644" s="59"/>
      <c r="B6644"/>
    </row>
    <row r="6645" spans="1:2">
      <c r="A6645" s="59"/>
      <c r="B6645"/>
    </row>
    <row r="6646" spans="1:2">
      <c r="A6646" s="59"/>
      <c r="B6646"/>
    </row>
    <row r="6647" spans="1:2">
      <c r="A6647" s="59"/>
      <c r="B6647"/>
    </row>
    <row r="6648" spans="1:2">
      <c r="A6648" s="59"/>
      <c r="B6648"/>
    </row>
    <row r="6649" spans="1:2">
      <c r="A6649" s="59"/>
      <c r="B6649"/>
    </row>
    <row r="6650" spans="1:2">
      <c r="A6650" s="59"/>
      <c r="B6650"/>
    </row>
    <row r="6651" spans="1:2">
      <c r="A6651" s="59"/>
      <c r="B6651"/>
    </row>
    <row r="6652" spans="1:2">
      <c r="A6652" s="59"/>
      <c r="B6652"/>
    </row>
    <row r="6653" spans="1:2">
      <c r="A6653" s="59"/>
      <c r="B6653"/>
    </row>
    <row r="6654" spans="1:2">
      <c r="A6654" s="59"/>
      <c r="B6654"/>
    </row>
    <row r="6655" spans="1:2">
      <c r="A6655" s="59"/>
      <c r="B6655"/>
    </row>
    <row r="6656" spans="1:2">
      <c r="A6656" s="59"/>
      <c r="B6656"/>
    </row>
    <row r="6657" spans="1:2">
      <c r="A6657" s="59"/>
      <c r="B6657"/>
    </row>
    <row r="6658" spans="1:2">
      <c r="A6658" s="59"/>
      <c r="B6658"/>
    </row>
    <row r="6659" spans="1:2">
      <c r="A6659" s="59"/>
      <c r="B6659"/>
    </row>
    <row r="6660" spans="1:2">
      <c r="A6660" s="59"/>
      <c r="B6660"/>
    </row>
    <row r="6661" spans="1:2">
      <c r="A6661" s="59"/>
      <c r="B6661"/>
    </row>
    <row r="6662" spans="1:2">
      <c r="A6662" s="59"/>
      <c r="B6662"/>
    </row>
    <row r="6663" spans="1:2">
      <c r="A6663" s="59"/>
      <c r="B6663"/>
    </row>
    <row r="6664" spans="1:2">
      <c r="A6664" s="59"/>
      <c r="B6664"/>
    </row>
    <row r="6665" spans="1:2">
      <c r="A6665" s="59"/>
      <c r="B6665"/>
    </row>
    <row r="6666" spans="1:2">
      <c r="A6666" s="59"/>
      <c r="B6666"/>
    </row>
    <row r="6667" spans="1:2">
      <c r="A6667" s="59"/>
      <c r="B6667"/>
    </row>
    <row r="6668" spans="1:2">
      <c r="A6668" s="59"/>
      <c r="B6668"/>
    </row>
    <row r="6669" spans="1:2">
      <c r="A6669" s="59"/>
      <c r="B6669"/>
    </row>
    <row r="6670" spans="1:2">
      <c r="A6670" s="59"/>
      <c r="B6670"/>
    </row>
    <row r="6671" spans="1:2">
      <c r="A6671" s="59"/>
      <c r="B6671"/>
    </row>
    <row r="6672" spans="1:2">
      <c r="A6672" s="59"/>
      <c r="B6672"/>
    </row>
    <row r="6673" spans="1:2">
      <c r="A6673" s="59"/>
      <c r="B6673"/>
    </row>
    <row r="6674" spans="1:2">
      <c r="A6674" s="59"/>
      <c r="B6674"/>
    </row>
    <row r="6675" spans="1:2">
      <c r="A6675" s="59"/>
      <c r="B6675"/>
    </row>
    <row r="6676" spans="1:2">
      <c r="A6676" s="59"/>
      <c r="B6676"/>
    </row>
    <row r="6677" spans="1:2">
      <c r="A6677" s="59"/>
      <c r="B6677"/>
    </row>
    <row r="6678" spans="1:2">
      <c r="A6678" s="59"/>
      <c r="B6678"/>
    </row>
    <row r="6679" spans="1:2">
      <c r="A6679" s="59"/>
      <c r="B6679"/>
    </row>
    <row r="6680" spans="1:2">
      <c r="A6680" s="59"/>
      <c r="B6680"/>
    </row>
    <row r="6681" spans="1:2">
      <c r="A6681" s="59"/>
      <c r="B6681"/>
    </row>
    <row r="6682" spans="1:2">
      <c r="A6682" s="59"/>
      <c r="B6682"/>
    </row>
    <row r="6683" spans="1:2">
      <c r="A6683" s="59"/>
      <c r="B6683"/>
    </row>
    <row r="6684" spans="1:2">
      <c r="A6684" s="59"/>
      <c r="B6684"/>
    </row>
    <row r="6685" spans="1:2">
      <c r="A6685" s="59"/>
      <c r="B6685"/>
    </row>
    <row r="6686" spans="1:2">
      <c r="A6686" s="59"/>
      <c r="B6686"/>
    </row>
    <row r="6687" spans="1:2">
      <c r="A6687" s="59"/>
      <c r="B6687"/>
    </row>
    <row r="6688" spans="1:2">
      <c r="A6688" s="59"/>
      <c r="B6688"/>
    </row>
    <row r="6689" spans="1:2">
      <c r="A6689" s="59"/>
      <c r="B6689"/>
    </row>
    <row r="6690" spans="1:2">
      <c r="A6690" s="59"/>
      <c r="B6690"/>
    </row>
    <row r="6691" spans="1:2">
      <c r="A6691" s="59"/>
      <c r="B6691"/>
    </row>
    <row r="6692" spans="1:2">
      <c r="A6692" s="59"/>
      <c r="B6692"/>
    </row>
    <row r="6693" spans="1:2">
      <c r="A6693" s="59"/>
      <c r="B6693"/>
    </row>
    <row r="6694" spans="1:2">
      <c r="A6694" s="59"/>
      <c r="B6694"/>
    </row>
    <row r="6695" spans="1:2">
      <c r="A6695" s="59"/>
      <c r="B6695"/>
    </row>
    <row r="6696" spans="1:2">
      <c r="A6696" s="59"/>
      <c r="B6696"/>
    </row>
    <row r="6697" spans="1:2">
      <c r="A6697" s="59"/>
      <c r="B6697"/>
    </row>
    <row r="6698" spans="1:2">
      <c r="A6698" s="59"/>
      <c r="B6698"/>
    </row>
    <row r="6699" spans="1:2">
      <c r="A6699" s="59"/>
      <c r="B6699"/>
    </row>
    <row r="6700" spans="1:2">
      <c r="A6700" s="59"/>
      <c r="B6700"/>
    </row>
    <row r="6701" spans="1:2">
      <c r="A6701" s="59"/>
      <c r="B6701"/>
    </row>
    <row r="6702" spans="1:2">
      <c r="A6702" s="59"/>
      <c r="B6702"/>
    </row>
    <row r="6703" spans="1:2">
      <c r="A6703" s="59"/>
      <c r="B6703"/>
    </row>
    <row r="6704" spans="1:2">
      <c r="A6704" s="59"/>
      <c r="B6704"/>
    </row>
    <row r="6705" spans="1:2">
      <c r="A6705" s="59"/>
      <c r="B6705"/>
    </row>
    <row r="6706" spans="1:2">
      <c r="A6706" s="59"/>
      <c r="B6706"/>
    </row>
    <row r="6707" spans="1:2">
      <c r="A6707" s="59"/>
      <c r="B6707"/>
    </row>
    <row r="6708" spans="1:2">
      <c r="A6708" s="59"/>
      <c r="B6708"/>
    </row>
    <row r="6709" spans="1:2">
      <c r="A6709" s="59"/>
      <c r="B6709"/>
    </row>
    <row r="6710" spans="1:2">
      <c r="A6710" s="59"/>
      <c r="B6710"/>
    </row>
    <row r="6711" spans="1:2">
      <c r="A6711" s="59"/>
      <c r="B6711"/>
    </row>
    <row r="6712" spans="1:2">
      <c r="A6712" s="59"/>
      <c r="B6712"/>
    </row>
    <row r="6713" spans="1:2">
      <c r="A6713" s="59"/>
      <c r="B6713"/>
    </row>
    <row r="6714" spans="1:2">
      <c r="A6714" s="59"/>
      <c r="B6714"/>
    </row>
    <row r="6715" spans="1:2">
      <c r="A6715" s="59"/>
      <c r="B6715"/>
    </row>
    <row r="6716" spans="1:2">
      <c r="A6716" s="59"/>
      <c r="B6716"/>
    </row>
    <row r="6717" spans="1:2">
      <c r="A6717" s="59"/>
      <c r="B6717"/>
    </row>
    <row r="6718" spans="1:2">
      <c r="A6718" s="59"/>
      <c r="B6718"/>
    </row>
    <row r="6719" spans="1:2">
      <c r="A6719" s="59"/>
      <c r="B6719"/>
    </row>
    <row r="6720" spans="1:2">
      <c r="A6720" s="59"/>
      <c r="B6720"/>
    </row>
    <row r="6721" spans="1:2">
      <c r="A6721" s="59"/>
      <c r="B6721"/>
    </row>
    <row r="6722" spans="1:2">
      <c r="A6722" s="59"/>
      <c r="B6722"/>
    </row>
    <row r="6723" spans="1:2">
      <c r="A6723" s="59"/>
      <c r="B6723"/>
    </row>
    <row r="6724" spans="1:2">
      <c r="A6724" s="59"/>
      <c r="B6724"/>
    </row>
    <row r="6725" spans="1:2">
      <c r="A6725" s="59"/>
      <c r="B6725"/>
    </row>
    <row r="6726" spans="1:2">
      <c r="A6726" s="59"/>
      <c r="B6726"/>
    </row>
    <row r="6727" spans="1:2">
      <c r="A6727" s="59"/>
      <c r="B6727"/>
    </row>
    <row r="6728" spans="1:2">
      <c r="A6728" s="59"/>
      <c r="B6728"/>
    </row>
    <row r="6729" spans="1:2">
      <c r="A6729" s="59"/>
      <c r="B6729"/>
    </row>
    <row r="6730" spans="1:2">
      <c r="A6730" s="59"/>
      <c r="B6730"/>
    </row>
    <row r="6731" spans="1:2">
      <c r="A6731" s="59"/>
      <c r="B6731"/>
    </row>
    <row r="6732" spans="1:2">
      <c r="A6732" s="59"/>
      <c r="B6732"/>
    </row>
    <row r="6733" spans="1:2">
      <c r="A6733" s="59"/>
      <c r="B6733"/>
    </row>
    <row r="6734" spans="1:2">
      <c r="A6734" s="59"/>
      <c r="B6734"/>
    </row>
    <row r="6735" spans="1:2">
      <c r="A6735" s="59"/>
      <c r="B6735"/>
    </row>
    <row r="6736" spans="1:2">
      <c r="A6736" s="59"/>
      <c r="B6736"/>
    </row>
    <row r="6737" spans="1:2">
      <c r="A6737" s="59"/>
      <c r="B6737"/>
    </row>
    <row r="6738" spans="1:2">
      <c r="A6738" s="59"/>
      <c r="B6738"/>
    </row>
    <row r="6739" spans="1:2">
      <c r="A6739" s="59"/>
      <c r="B6739"/>
    </row>
    <row r="6740" spans="1:2">
      <c r="A6740" s="59"/>
      <c r="B6740"/>
    </row>
    <row r="6741" spans="1:2">
      <c r="A6741" s="59"/>
      <c r="B6741"/>
    </row>
    <row r="6742" spans="1:2">
      <c r="A6742" s="59"/>
      <c r="B6742"/>
    </row>
    <row r="6743" spans="1:2">
      <c r="A6743" s="59"/>
      <c r="B6743"/>
    </row>
    <row r="6744" spans="1:2">
      <c r="A6744" s="59"/>
      <c r="B6744"/>
    </row>
    <row r="6745" spans="1:2">
      <c r="A6745" s="59"/>
      <c r="B6745"/>
    </row>
    <row r="6746" spans="1:2">
      <c r="A6746" s="59"/>
      <c r="B6746"/>
    </row>
    <row r="6747" spans="1:2">
      <c r="A6747" s="59"/>
      <c r="B6747"/>
    </row>
    <row r="6748" spans="1:2">
      <c r="A6748" s="59"/>
      <c r="B6748"/>
    </row>
    <row r="6749" spans="1:2">
      <c r="A6749" s="59"/>
      <c r="B6749"/>
    </row>
    <row r="6750" spans="1:2">
      <c r="A6750" s="59"/>
      <c r="B6750"/>
    </row>
    <row r="6751" spans="1:2">
      <c r="A6751" s="59"/>
      <c r="B6751"/>
    </row>
    <row r="6752" spans="1:2">
      <c r="A6752" s="59"/>
      <c r="B6752"/>
    </row>
    <row r="6753" spans="1:2">
      <c r="A6753" s="59"/>
      <c r="B6753"/>
    </row>
    <row r="6754" spans="1:2">
      <c r="A6754" s="59"/>
      <c r="B6754"/>
    </row>
    <row r="6755" spans="1:2">
      <c r="A6755" s="59"/>
      <c r="B6755"/>
    </row>
    <row r="6756" spans="1:2">
      <c r="A6756" s="59"/>
      <c r="B6756"/>
    </row>
    <row r="6757" spans="1:2">
      <c r="A6757" s="59"/>
      <c r="B6757"/>
    </row>
    <row r="6758" spans="1:2">
      <c r="A6758" s="59"/>
      <c r="B6758"/>
    </row>
    <row r="6759" spans="1:2">
      <c r="A6759" s="59"/>
      <c r="B6759"/>
    </row>
    <row r="6760" spans="1:2">
      <c r="A6760" s="59"/>
      <c r="B6760"/>
    </row>
    <row r="6761" spans="1:2">
      <c r="A6761" s="59"/>
      <c r="B6761"/>
    </row>
    <row r="6762" spans="1:2">
      <c r="A6762" s="59"/>
      <c r="B6762"/>
    </row>
    <row r="6763" spans="1:2">
      <c r="A6763" s="59"/>
      <c r="B6763"/>
    </row>
    <row r="6764" spans="1:2">
      <c r="A6764" s="59"/>
      <c r="B6764"/>
    </row>
    <row r="6765" spans="1:2">
      <c r="A6765" s="59"/>
      <c r="B6765"/>
    </row>
    <row r="6766" spans="1:2">
      <c r="A6766" s="59"/>
      <c r="B6766"/>
    </row>
    <row r="6767" spans="1:2">
      <c r="A6767" s="59"/>
      <c r="B6767"/>
    </row>
    <row r="6768" spans="1:2">
      <c r="A6768" s="59"/>
      <c r="B6768"/>
    </row>
    <row r="6769" spans="1:2">
      <c r="A6769" s="59"/>
      <c r="B6769"/>
    </row>
    <row r="6770" spans="1:2">
      <c r="A6770" s="59"/>
      <c r="B6770"/>
    </row>
    <row r="6771" spans="1:2">
      <c r="A6771" s="59"/>
      <c r="B6771"/>
    </row>
    <row r="6772" spans="1:2">
      <c r="A6772" s="59"/>
      <c r="B6772"/>
    </row>
    <row r="6773" spans="1:2">
      <c r="A6773" s="59"/>
      <c r="B6773"/>
    </row>
    <row r="6774" spans="1:2">
      <c r="A6774" s="59"/>
      <c r="B6774"/>
    </row>
    <row r="6775" spans="1:2">
      <c r="A6775" s="59"/>
      <c r="B6775"/>
    </row>
    <row r="6776" spans="1:2">
      <c r="A6776" s="59"/>
      <c r="B6776"/>
    </row>
    <row r="6777" spans="1:2">
      <c r="A6777" s="59"/>
      <c r="B6777"/>
    </row>
    <row r="6778" spans="1:2">
      <c r="A6778" s="59"/>
      <c r="B6778"/>
    </row>
    <row r="6779" spans="1:2">
      <c r="A6779" s="59"/>
      <c r="B6779"/>
    </row>
    <row r="6780" spans="1:2">
      <c r="A6780" s="59"/>
      <c r="B6780"/>
    </row>
    <row r="6781" spans="1:2">
      <c r="A6781" s="59"/>
      <c r="B6781"/>
    </row>
    <row r="6782" spans="1:2">
      <c r="A6782" s="59"/>
      <c r="B6782"/>
    </row>
    <row r="6783" spans="1:2">
      <c r="A6783" s="59"/>
      <c r="B6783"/>
    </row>
    <row r="6784" spans="1:2">
      <c r="A6784" s="59"/>
      <c r="B6784"/>
    </row>
    <row r="6785" spans="1:2">
      <c r="A6785" s="59"/>
      <c r="B6785"/>
    </row>
    <row r="6786" spans="1:2">
      <c r="A6786" s="59"/>
      <c r="B6786"/>
    </row>
    <row r="6787" spans="1:2">
      <c r="A6787" s="59"/>
      <c r="B6787"/>
    </row>
    <row r="6788" spans="1:2">
      <c r="A6788" s="59"/>
      <c r="B6788"/>
    </row>
    <row r="6789" spans="1:2">
      <c r="A6789" s="59"/>
      <c r="B6789"/>
    </row>
    <row r="6790" spans="1:2">
      <c r="A6790" s="59"/>
      <c r="B6790"/>
    </row>
    <row r="6791" spans="1:2">
      <c r="A6791" s="59"/>
      <c r="B6791"/>
    </row>
    <row r="6792" spans="1:2">
      <c r="A6792" s="59"/>
      <c r="B6792"/>
    </row>
    <row r="6793" spans="1:2">
      <c r="A6793" s="59"/>
      <c r="B6793"/>
    </row>
    <row r="6794" spans="1:2">
      <c r="A6794" s="59"/>
      <c r="B6794"/>
    </row>
    <row r="6795" spans="1:2">
      <c r="A6795" s="59"/>
      <c r="B6795"/>
    </row>
    <row r="6796" spans="1:2">
      <c r="A6796" s="59"/>
      <c r="B6796"/>
    </row>
    <row r="6797" spans="1:2">
      <c r="A6797" s="59"/>
      <c r="B6797"/>
    </row>
    <row r="6798" spans="1:2">
      <c r="A6798" s="59"/>
      <c r="B6798"/>
    </row>
    <row r="6799" spans="1:2">
      <c r="A6799" s="59"/>
      <c r="B6799"/>
    </row>
    <row r="6800" spans="1:2">
      <c r="A6800" s="59"/>
      <c r="B6800"/>
    </row>
    <row r="6801" spans="1:2">
      <c r="A6801" s="59"/>
      <c r="B6801"/>
    </row>
    <row r="6802" spans="1:2">
      <c r="A6802" s="59"/>
      <c r="B6802"/>
    </row>
    <row r="6803" spans="1:2">
      <c r="A6803" s="59"/>
      <c r="B6803"/>
    </row>
    <row r="6804" spans="1:2">
      <c r="A6804" s="59"/>
      <c r="B6804"/>
    </row>
    <row r="6805" spans="1:2">
      <c r="A6805" s="59"/>
      <c r="B6805"/>
    </row>
    <row r="6806" spans="1:2">
      <c r="A6806" s="59"/>
      <c r="B6806"/>
    </row>
    <row r="6807" spans="1:2">
      <c r="A6807" s="59"/>
      <c r="B6807"/>
    </row>
    <row r="6808" spans="1:2">
      <c r="A6808" s="59"/>
      <c r="B6808"/>
    </row>
    <row r="6809" spans="1:2">
      <c r="A6809" s="59"/>
      <c r="B6809"/>
    </row>
    <row r="6810" spans="1:2">
      <c r="A6810" s="59"/>
      <c r="B6810"/>
    </row>
    <row r="6811" spans="1:2">
      <c r="A6811" s="59"/>
      <c r="B6811"/>
    </row>
    <row r="6812" spans="1:2">
      <c r="A6812" s="59"/>
      <c r="B6812"/>
    </row>
    <row r="6813" spans="1:2">
      <c r="A6813" s="59"/>
      <c r="B6813"/>
    </row>
    <row r="6814" spans="1:2">
      <c r="A6814" s="59"/>
      <c r="B6814"/>
    </row>
    <row r="6815" spans="1:2">
      <c r="A6815" s="59"/>
      <c r="B6815"/>
    </row>
    <row r="6816" spans="1:2">
      <c r="A6816" s="59"/>
      <c r="B6816"/>
    </row>
    <row r="6817" spans="1:2">
      <c r="A6817" s="59"/>
      <c r="B6817"/>
    </row>
    <row r="6818" spans="1:2">
      <c r="A6818" s="59"/>
      <c r="B6818"/>
    </row>
    <row r="6819" spans="1:2">
      <c r="A6819" s="59"/>
      <c r="B6819"/>
    </row>
    <row r="6820" spans="1:2">
      <c r="A6820" s="59"/>
      <c r="B6820"/>
    </row>
    <row r="6821" spans="1:2">
      <c r="A6821" s="59"/>
      <c r="B6821"/>
    </row>
    <row r="6822" spans="1:2">
      <c r="A6822" s="59"/>
      <c r="B6822"/>
    </row>
    <row r="6823" spans="1:2">
      <c r="A6823" s="59"/>
      <c r="B6823"/>
    </row>
    <row r="6824" spans="1:2">
      <c r="A6824" s="59"/>
      <c r="B6824"/>
    </row>
    <row r="6825" spans="1:2">
      <c r="A6825" s="59"/>
      <c r="B6825"/>
    </row>
    <row r="6826" spans="1:2">
      <c r="A6826" s="59"/>
      <c r="B6826"/>
    </row>
    <row r="6827" spans="1:2">
      <c r="A6827" s="59"/>
      <c r="B6827"/>
    </row>
    <row r="6828" spans="1:2">
      <c r="A6828" s="59"/>
      <c r="B6828"/>
    </row>
    <row r="6829" spans="1:2">
      <c r="A6829" s="59"/>
      <c r="B6829"/>
    </row>
    <row r="6830" spans="1:2">
      <c r="A6830" s="59"/>
      <c r="B6830"/>
    </row>
    <row r="6831" spans="1:2">
      <c r="A6831" s="59"/>
      <c r="B6831"/>
    </row>
    <row r="6832" spans="1:2">
      <c r="A6832" s="59"/>
      <c r="B6832"/>
    </row>
    <row r="6833" spans="1:2">
      <c r="A6833" s="59"/>
      <c r="B6833"/>
    </row>
    <row r="6834" spans="1:2">
      <c r="A6834" s="59"/>
      <c r="B6834"/>
    </row>
    <row r="6835" spans="1:2">
      <c r="A6835" s="59"/>
      <c r="B6835"/>
    </row>
    <row r="6836" spans="1:2">
      <c r="A6836" s="59"/>
      <c r="B6836"/>
    </row>
    <row r="6837" spans="1:2">
      <c r="A6837" s="59"/>
      <c r="B6837"/>
    </row>
    <row r="6838" spans="1:2">
      <c r="A6838" s="59"/>
      <c r="B6838"/>
    </row>
    <row r="6839" spans="1:2">
      <c r="A6839" s="59"/>
      <c r="B6839"/>
    </row>
    <row r="6840" spans="1:2">
      <c r="A6840" s="59"/>
      <c r="B6840"/>
    </row>
    <row r="6841" spans="1:2">
      <c r="A6841" s="59"/>
      <c r="B6841"/>
    </row>
    <row r="6842" spans="1:2">
      <c r="A6842" s="59"/>
      <c r="B6842"/>
    </row>
    <row r="6843" spans="1:2">
      <c r="A6843" s="59"/>
      <c r="B6843"/>
    </row>
    <row r="6844" spans="1:2">
      <c r="A6844" s="59"/>
      <c r="B6844"/>
    </row>
    <row r="6845" spans="1:2">
      <c r="A6845" s="59"/>
      <c r="B6845"/>
    </row>
    <row r="6846" spans="1:2">
      <c r="A6846" s="59"/>
      <c r="B6846"/>
    </row>
    <row r="6847" spans="1:2">
      <c r="A6847" s="59"/>
      <c r="B6847"/>
    </row>
    <row r="6848" spans="1:2">
      <c r="A6848" s="59"/>
      <c r="B6848"/>
    </row>
    <row r="6849" spans="1:2">
      <c r="A6849" s="59"/>
      <c r="B6849"/>
    </row>
    <row r="6850" spans="1:2">
      <c r="A6850" s="59"/>
      <c r="B6850"/>
    </row>
    <row r="6851" spans="1:2">
      <c r="A6851" s="59"/>
      <c r="B6851"/>
    </row>
    <row r="6852" spans="1:2">
      <c r="A6852" s="59"/>
      <c r="B6852"/>
    </row>
    <row r="6853" spans="1:2">
      <c r="A6853" s="59"/>
      <c r="B6853"/>
    </row>
    <row r="6854" spans="1:2">
      <c r="A6854" s="59"/>
      <c r="B6854"/>
    </row>
    <row r="6855" spans="1:2">
      <c r="A6855" s="59"/>
      <c r="B6855"/>
    </row>
    <row r="6856" spans="1:2">
      <c r="A6856" s="59"/>
      <c r="B6856"/>
    </row>
    <row r="6857" spans="1:2">
      <c r="A6857" s="59"/>
      <c r="B6857"/>
    </row>
    <row r="6858" spans="1:2">
      <c r="A6858" s="59"/>
      <c r="B6858"/>
    </row>
    <row r="6859" spans="1:2">
      <c r="A6859" s="59"/>
      <c r="B6859"/>
    </row>
    <row r="6860" spans="1:2">
      <c r="A6860" s="59"/>
      <c r="B6860"/>
    </row>
    <row r="6861" spans="1:2">
      <c r="A6861" s="59"/>
      <c r="B6861"/>
    </row>
    <row r="6862" spans="1:2">
      <c r="A6862" s="59"/>
      <c r="B6862"/>
    </row>
    <row r="6863" spans="1:2">
      <c r="A6863" s="59"/>
      <c r="B6863"/>
    </row>
    <row r="6864" spans="1:2">
      <c r="A6864" s="59"/>
      <c r="B6864"/>
    </row>
    <row r="6865" spans="1:2">
      <c r="A6865" s="59"/>
      <c r="B6865"/>
    </row>
    <row r="6866" spans="1:2">
      <c r="A6866" s="59"/>
      <c r="B6866"/>
    </row>
    <row r="6867" spans="1:2">
      <c r="A6867" s="59"/>
      <c r="B6867"/>
    </row>
    <row r="6868" spans="1:2">
      <c r="A6868" s="59"/>
      <c r="B6868"/>
    </row>
    <row r="6869" spans="1:2">
      <c r="A6869" s="59"/>
      <c r="B6869"/>
    </row>
    <row r="6870" spans="1:2">
      <c r="A6870" s="59"/>
      <c r="B6870"/>
    </row>
    <row r="6871" spans="1:2">
      <c r="A6871" s="59"/>
      <c r="B6871"/>
    </row>
    <row r="6872" spans="1:2">
      <c r="A6872" s="59"/>
      <c r="B6872"/>
    </row>
    <row r="6873" spans="1:2">
      <c r="A6873" s="59"/>
      <c r="B6873"/>
    </row>
    <row r="6874" spans="1:2">
      <c r="A6874" s="59"/>
      <c r="B6874"/>
    </row>
    <row r="6875" spans="1:2">
      <c r="A6875" s="59"/>
      <c r="B6875"/>
    </row>
    <row r="6876" spans="1:2">
      <c r="A6876" s="59"/>
      <c r="B6876"/>
    </row>
    <row r="6877" spans="1:2">
      <c r="A6877" s="59"/>
      <c r="B6877"/>
    </row>
    <row r="6878" spans="1:2">
      <c r="A6878" s="59"/>
      <c r="B6878"/>
    </row>
    <row r="6879" spans="1:2">
      <c r="A6879" s="59"/>
      <c r="B6879"/>
    </row>
    <row r="6880" spans="1:2">
      <c r="A6880" s="59"/>
      <c r="B6880"/>
    </row>
    <row r="6881" spans="1:2">
      <c r="A6881" s="59"/>
      <c r="B6881"/>
    </row>
    <row r="6882" spans="1:2">
      <c r="A6882" s="59"/>
      <c r="B6882"/>
    </row>
    <row r="6883" spans="1:2">
      <c r="A6883" s="59"/>
      <c r="B6883"/>
    </row>
    <row r="6884" spans="1:2">
      <c r="A6884" s="59"/>
      <c r="B6884"/>
    </row>
    <row r="6885" spans="1:2">
      <c r="A6885" s="59"/>
      <c r="B6885"/>
    </row>
    <row r="6886" spans="1:2">
      <c r="A6886" s="59"/>
      <c r="B6886"/>
    </row>
    <row r="6887" spans="1:2">
      <c r="A6887" s="59"/>
      <c r="B6887"/>
    </row>
    <row r="6888" spans="1:2">
      <c r="A6888" s="59"/>
      <c r="B6888"/>
    </row>
    <row r="6889" spans="1:2">
      <c r="A6889" s="59"/>
      <c r="B6889"/>
    </row>
    <row r="6890" spans="1:2">
      <c r="A6890" s="59"/>
      <c r="B6890"/>
    </row>
    <row r="6891" spans="1:2">
      <c r="A6891" s="59"/>
      <c r="B6891"/>
    </row>
    <row r="6892" spans="1:2">
      <c r="A6892" s="59"/>
      <c r="B6892"/>
    </row>
    <row r="6893" spans="1:2">
      <c r="A6893" s="59"/>
      <c r="B6893"/>
    </row>
    <row r="6894" spans="1:2">
      <c r="A6894" s="59"/>
      <c r="B6894"/>
    </row>
    <row r="6895" spans="1:2">
      <c r="A6895" s="59"/>
      <c r="B6895"/>
    </row>
    <row r="6896" spans="1:2">
      <c r="A6896" s="59"/>
      <c r="B6896"/>
    </row>
    <row r="6897" spans="1:2">
      <c r="A6897" s="59"/>
      <c r="B6897"/>
    </row>
    <row r="6898" spans="1:2">
      <c r="A6898" s="59"/>
      <c r="B6898"/>
    </row>
    <row r="6899" spans="1:2">
      <c r="A6899" s="59"/>
      <c r="B6899"/>
    </row>
    <row r="6900" spans="1:2">
      <c r="A6900" s="59"/>
      <c r="B6900"/>
    </row>
    <row r="6901" spans="1:2">
      <c r="A6901" s="59"/>
      <c r="B6901"/>
    </row>
    <row r="6902" spans="1:2">
      <c r="A6902" s="59"/>
      <c r="B6902"/>
    </row>
    <row r="6903" spans="1:2">
      <c r="A6903" s="59"/>
      <c r="B6903"/>
    </row>
    <row r="6904" spans="1:2">
      <c r="A6904" s="59"/>
      <c r="B6904"/>
    </row>
    <row r="6905" spans="1:2">
      <c r="A6905" s="59"/>
      <c r="B6905"/>
    </row>
    <row r="6906" spans="1:2">
      <c r="A6906" s="59"/>
      <c r="B6906"/>
    </row>
    <row r="6907" spans="1:2">
      <c r="A6907" s="59"/>
      <c r="B6907"/>
    </row>
    <row r="6908" spans="1:2">
      <c r="A6908" s="59"/>
      <c r="B6908"/>
    </row>
    <row r="6909" spans="1:2">
      <c r="A6909" s="59"/>
      <c r="B6909"/>
    </row>
    <row r="6910" spans="1:2">
      <c r="A6910" s="59"/>
      <c r="B6910"/>
    </row>
    <row r="6911" spans="1:2">
      <c r="A6911" s="59"/>
      <c r="B6911"/>
    </row>
    <row r="6912" spans="1:2">
      <c r="A6912" s="59"/>
      <c r="B6912"/>
    </row>
    <row r="6913" spans="1:2">
      <c r="A6913" s="59"/>
      <c r="B6913"/>
    </row>
    <row r="6914" spans="1:2">
      <c r="A6914" s="59"/>
      <c r="B6914"/>
    </row>
    <row r="6915" spans="1:2">
      <c r="A6915" s="59"/>
      <c r="B6915"/>
    </row>
    <row r="6916" spans="1:2">
      <c r="A6916" s="59"/>
      <c r="B6916"/>
    </row>
    <row r="6917" spans="1:2">
      <c r="A6917" s="59"/>
      <c r="B6917"/>
    </row>
    <row r="6918" spans="1:2">
      <c r="A6918" s="59"/>
      <c r="B6918"/>
    </row>
    <row r="6919" spans="1:2">
      <c r="A6919" s="59"/>
      <c r="B6919"/>
    </row>
    <row r="6920" spans="1:2">
      <c r="A6920" s="59"/>
      <c r="B6920"/>
    </row>
    <row r="6921" spans="1:2">
      <c r="A6921" s="59"/>
      <c r="B6921"/>
    </row>
    <row r="6922" spans="1:2">
      <c r="A6922" s="59"/>
      <c r="B6922"/>
    </row>
    <row r="6923" spans="1:2">
      <c r="A6923" s="59"/>
      <c r="B6923"/>
    </row>
    <row r="6924" spans="1:2">
      <c r="A6924" s="59"/>
      <c r="B6924"/>
    </row>
    <row r="6925" spans="1:2">
      <c r="A6925" s="59"/>
      <c r="B6925"/>
    </row>
    <row r="6926" spans="1:2">
      <c r="A6926" s="59"/>
      <c r="B6926"/>
    </row>
    <row r="6927" spans="1:2">
      <c r="A6927" s="59"/>
      <c r="B6927"/>
    </row>
    <row r="6928" spans="1:2">
      <c r="A6928" s="59"/>
      <c r="B6928"/>
    </row>
    <row r="6929" spans="1:2">
      <c r="A6929" s="59"/>
      <c r="B6929"/>
    </row>
    <row r="6930" spans="1:2">
      <c r="A6930" s="59"/>
      <c r="B6930"/>
    </row>
    <row r="6931" spans="1:2">
      <c r="A6931" s="59"/>
      <c r="B6931"/>
    </row>
    <row r="6932" spans="1:2">
      <c r="A6932" s="59"/>
      <c r="B6932"/>
    </row>
    <row r="6933" spans="1:2">
      <c r="A6933" s="59"/>
      <c r="B6933"/>
    </row>
    <row r="6934" spans="1:2">
      <c r="A6934" s="59"/>
      <c r="B6934"/>
    </row>
    <row r="6935" spans="1:2">
      <c r="A6935" s="59"/>
      <c r="B6935"/>
    </row>
    <row r="6936" spans="1:2">
      <c r="A6936" s="59"/>
      <c r="B6936"/>
    </row>
    <row r="6937" spans="1:2">
      <c r="A6937" s="59"/>
      <c r="B6937"/>
    </row>
    <row r="6938" spans="1:2">
      <c r="A6938" s="59"/>
      <c r="B6938"/>
    </row>
    <row r="6939" spans="1:2">
      <c r="A6939" s="59"/>
      <c r="B6939"/>
    </row>
    <row r="6940" spans="1:2">
      <c r="A6940" s="59"/>
      <c r="B6940"/>
    </row>
    <row r="6941" spans="1:2">
      <c r="A6941" s="59"/>
      <c r="B6941"/>
    </row>
    <row r="6942" spans="1:2">
      <c r="A6942" s="59"/>
      <c r="B6942"/>
    </row>
    <row r="6943" spans="1:2">
      <c r="A6943" s="59"/>
      <c r="B6943"/>
    </row>
    <row r="6944" spans="1:2">
      <c r="A6944" s="59"/>
      <c r="B6944"/>
    </row>
    <row r="6945" spans="1:2">
      <c r="A6945" s="59"/>
      <c r="B6945"/>
    </row>
    <row r="6946" spans="1:2">
      <c r="A6946" s="59"/>
      <c r="B6946"/>
    </row>
    <row r="6947" spans="1:2">
      <c r="A6947" s="59"/>
      <c r="B6947"/>
    </row>
    <row r="6948" spans="1:2">
      <c r="A6948" s="59"/>
      <c r="B6948"/>
    </row>
    <row r="6949" spans="1:2">
      <c r="A6949" s="59"/>
      <c r="B6949"/>
    </row>
    <row r="6950" spans="1:2">
      <c r="A6950" s="59"/>
      <c r="B6950"/>
    </row>
    <row r="6951" spans="1:2">
      <c r="A6951" s="59"/>
      <c r="B6951"/>
    </row>
    <row r="6952" spans="1:2">
      <c r="A6952" s="59"/>
      <c r="B6952"/>
    </row>
    <row r="6953" spans="1:2">
      <c r="A6953" s="59"/>
      <c r="B6953"/>
    </row>
    <row r="6954" spans="1:2">
      <c r="A6954" s="59"/>
      <c r="B6954"/>
    </row>
    <row r="6955" spans="1:2">
      <c r="A6955" s="59"/>
      <c r="B6955"/>
    </row>
    <row r="6956" spans="1:2">
      <c r="A6956" s="59"/>
      <c r="B6956"/>
    </row>
    <row r="6957" spans="1:2">
      <c r="A6957" s="59"/>
      <c r="B6957"/>
    </row>
    <row r="6958" spans="1:2">
      <c r="A6958" s="59"/>
      <c r="B6958"/>
    </row>
    <row r="6959" spans="1:2">
      <c r="A6959" s="59"/>
      <c r="B6959"/>
    </row>
    <row r="6960" spans="1:2">
      <c r="A6960" s="59"/>
      <c r="B6960"/>
    </row>
    <row r="6961" spans="1:2">
      <c r="A6961" s="59"/>
      <c r="B6961"/>
    </row>
    <row r="6962" spans="1:2">
      <c r="A6962" s="59"/>
      <c r="B6962"/>
    </row>
    <row r="6963" spans="1:2">
      <c r="A6963" s="59"/>
      <c r="B6963"/>
    </row>
    <row r="6964" spans="1:2">
      <c r="A6964" s="59"/>
      <c r="B6964"/>
    </row>
    <row r="6965" spans="1:2">
      <c r="A6965" s="59"/>
      <c r="B6965"/>
    </row>
    <row r="6966" spans="1:2">
      <c r="A6966" s="59"/>
      <c r="B6966"/>
    </row>
    <row r="6967" spans="1:2">
      <c r="A6967" s="59"/>
      <c r="B6967"/>
    </row>
    <row r="6968" spans="1:2">
      <c r="A6968" s="59"/>
      <c r="B6968"/>
    </row>
    <row r="6969" spans="1:2">
      <c r="A6969" s="59"/>
      <c r="B6969"/>
    </row>
    <row r="6970" spans="1:2">
      <c r="A6970" s="59"/>
      <c r="B6970"/>
    </row>
    <row r="6971" spans="1:2">
      <c r="A6971" s="59"/>
      <c r="B6971"/>
    </row>
    <row r="6972" spans="1:2">
      <c r="A6972" s="59"/>
      <c r="B6972"/>
    </row>
    <row r="6973" spans="1:2">
      <c r="A6973" s="59"/>
      <c r="B6973"/>
    </row>
    <row r="6974" spans="1:2">
      <c r="A6974" s="59"/>
      <c r="B6974"/>
    </row>
    <row r="6975" spans="1:2">
      <c r="A6975" s="59"/>
      <c r="B6975"/>
    </row>
    <row r="6976" spans="1:2">
      <c r="A6976" s="59"/>
      <c r="B6976"/>
    </row>
    <row r="6977" spans="1:2">
      <c r="A6977" s="59"/>
      <c r="B6977"/>
    </row>
    <row r="6978" spans="1:2">
      <c r="A6978" s="59"/>
      <c r="B6978"/>
    </row>
    <row r="6979" spans="1:2">
      <c r="A6979" s="59"/>
      <c r="B6979"/>
    </row>
    <row r="6980" spans="1:2">
      <c r="A6980" s="59"/>
      <c r="B6980"/>
    </row>
    <row r="6981" spans="1:2">
      <c r="A6981" s="59"/>
      <c r="B6981"/>
    </row>
    <row r="6982" spans="1:2">
      <c r="A6982" s="59"/>
      <c r="B6982"/>
    </row>
    <row r="6983" spans="1:2">
      <c r="A6983" s="59"/>
      <c r="B6983"/>
    </row>
    <row r="6984" spans="1:2">
      <c r="A6984" s="59"/>
      <c r="B6984"/>
    </row>
    <row r="6985" spans="1:2">
      <c r="A6985" s="59"/>
      <c r="B6985"/>
    </row>
    <row r="6986" spans="1:2">
      <c r="A6986" s="59"/>
      <c r="B6986"/>
    </row>
    <row r="6987" spans="1:2">
      <c r="A6987" s="59"/>
      <c r="B6987"/>
    </row>
    <row r="6988" spans="1:2">
      <c r="A6988" s="59"/>
      <c r="B6988"/>
    </row>
    <row r="6989" spans="1:2">
      <c r="A6989" s="59"/>
      <c r="B6989"/>
    </row>
    <row r="6990" spans="1:2">
      <c r="A6990" s="59"/>
      <c r="B6990"/>
    </row>
    <row r="6991" spans="1:2">
      <c r="A6991" s="59"/>
      <c r="B6991"/>
    </row>
    <row r="6992" spans="1:2">
      <c r="A6992" s="59"/>
      <c r="B6992"/>
    </row>
    <row r="6993" spans="1:2">
      <c r="A6993" s="59"/>
      <c r="B6993"/>
    </row>
    <row r="6994" spans="1:2">
      <c r="A6994" s="59"/>
      <c r="B6994"/>
    </row>
    <row r="6995" spans="1:2">
      <c r="A6995" s="59"/>
      <c r="B6995"/>
    </row>
    <row r="6996" spans="1:2">
      <c r="A6996" s="59"/>
      <c r="B6996"/>
    </row>
    <row r="6997" spans="1:2">
      <c r="A6997" s="59"/>
      <c r="B6997"/>
    </row>
    <row r="6998" spans="1:2">
      <c r="A6998" s="59"/>
      <c r="B6998"/>
    </row>
    <row r="6999" spans="1:2">
      <c r="A6999" s="59"/>
      <c r="B6999"/>
    </row>
    <row r="7000" spans="1:2">
      <c r="A7000" s="59"/>
      <c r="B7000"/>
    </row>
    <row r="7001" spans="1:2">
      <c r="A7001" s="59"/>
      <c r="B7001"/>
    </row>
    <row r="7002" spans="1:2">
      <c r="A7002" s="59"/>
      <c r="B7002"/>
    </row>
    <row r="7003" spans="1:2">
      <c r="A7003" s="59"/>
      <c r="B7003"/>
    </row>
    <row r="7004" spans="1:2">
      <c r="A7004" s="59"/>
      <c r="B7004"/>
    </row>
    <row r="7005" spans="1:2">
      <c r="A7005" s="59"/>
      <c r="B7005"/>
    </row>
    <row r="7006" spans="1:2">
      <c r="A7006" s="59"/>
      <c r="B7006"/>
    </row>
    <row r="7007" spans="1:2">
      <c r="A7007" s="59"/>
      <c r="B7007"/>
    </row>
    <row r="7008" spans="1:2">
      <c r="A7008" s="59"/>
      <c r="B7008"/>
    </row>
    <row r="7009" spans="1:2">
      <c r="A7009" s="59"/>
      <c r="B7009"/>
    </row>
    <row r="7010" spans="1:2">
      <c r="A7010" s="59"/>
      <c r="B7010"/>
    </row>
    <row r="7011" spans="1:2">
      <c r="A7011" s="59"/>
      <c r="B7011"/>
    </row>
    <row r="7012" spans="1:2">
      <c r="A7012" s="59"/>
      <c r="B7012"/>
    </row>
    <row r="7013" spans="1:2">
      <c r="A7013" s="59"/>
      <c r="B7013"/>
    </row>
    <row r="7014" spans="1:2">
      <c r="A7014" s="59"/>
      <c r="B7014"/>
    </row>
    <row r="7015" spans="1:2">
      <c r="A7015" s="59"/>
      <c r="B7015"/>
    </row>
    <row r="7016" spans="1:2">
      <c r="A7016" s="59"/>
      <c r="B7016"/>
    </row>
    <row r="7017" spans="1:2">
      <c r="A7017" s="59"/>
      <c r="B7017"/>
    </row>
    <row r="7018" spans="1:2">
      <c r="A7018" s="59"/>
      <c r="B7018"/>
    </row>
    <row r="7019" spans="1:2">
      <c r="A7019" s="59"/>
      <c r="B7019"/>
    </row>
    <row r="7020" spans="1:2">
      <c r="A7020" s="59"/>
      <c r="B7020"/>
    </row>
    <row r="7021" spans="1:2">
      <c r="A7021" s="59"/>
      <c r="B7021"/>
    </row>
    <row r="7022" spans="1:2">
      <c r="A7022" s="59"/>
      <c r="B7022"/>
    </row>
    <row r="7023" spans="1:2">
      <c r="A7023" s="59"/>
      <c r="B7023"/>
    </row>
    <row r="7024" spans="1:2">
      <c r="A7024" s="59"/>
      <c r="B7024"/>
    </row>
    <row r="7025" spans="1:2">
      <c r="A7025" s="59"/>
      <c r="B7025"/>
    </row>
    <row r="7026" spans="1:2">
      <c r="A7026" s="59"/>
      <c r="B7026"/>
    </row>
    <row r="7027" spans="1:2">
      <c r="A7027" s="59"/>
      <c r="B7027"/>
    </row>
    <row r="7028" spans="1:2">
      <c r="A7028" s="59"/>
      <c r="B7028"/>
    </row>
    <row r="7029" spans="1:2">
      <c r="A7029" s="59"/>
      <c r="B7029"/>
    </row>
    <row r="7030" spans="1:2">
      <c r="A7030" s="59"/>
      <c r="B7030"/>
    </row>
    <row r="7031" spans="1:2">
      <c r="A7031" s="59"/>
      <c r="B7031"/>
    </row>
    <row r="7032" spans="1:2">
      <c r="A7032" s="59"/>
      <c r="B7032"/>
    </row>
    <row r="7033" spans="1:2">
      <c r="A7033" s="59"/>
      <c r="B7033"/>
    </row>
    <row r="7034" spans="1:2">
      <c r="A7034" s="59"/>
      <c r="B7034"/>
    </row>
    <row r="7035" spans="1:2">
      <c r="A7035" s="59"/>
      <c r="B7035"/>
    </row>
    <row r="7036" spans="1:2">
      <c r="A7036" s="59"/>
      <c r="B7036"/>
    </row>
    <row r="7037" spans="1:2">
      <c r="A7037" s="59"/>
      <c r="B7037"/>
    </row>
    <row r="7038" spans="1:2">
      <c r="A7038" s="59"/>
      <c r="B7038"/>
    </row>
    <row r="7039" spans="1:2">
      <c r="A7039" s="59"/>
      <c r="B7039"/>
    </row>
    <row r="7040" spans="1:2">
      <c r="A7040" s="59"/>
      <c r="B7040"/>
    </row>
    <row r="7041" spans="1:2">
      <c r="A7041" s="59"/>
      <c r="B7041"/>
    </row>
    <row r="7042" spans="1:2">
      <c r="A7042" s="59"/>
      <c r="B7042"/>
    </row>
    <row r="7043" spans="1:2">
      <c r="A7043" s="59"/>
      <c r="B7043"/>
    </row>
    <row r="7044" spans="1:2">
      <c r="A7044" s="59"/>
      <c r="B7044"/>
    </row>
    <row r="7045" spans="1:2">
      <c r="A7045" s="59"/>
      <c r="B7045"/>
    </row>
    <row r="7046" spans="1:2">
      <c r="A7046" s="59"/>
      <c r="B7046"/>
    </row>
    <row r="7047" spans="1:2">
      <c r="A7047" s="59"/>
      <c r="B7047"/>
    </row>
    <row r="7048" spans="1:2">
      <c r="A7048" s="59"/>
      <c r="B7048"/>
    </row>
    <row r="7049" spans="1:2">
      <c r="A7049" s="59"/>
      <c r="B7049"/>
    </row>
    <row r="7050" spans="1:2">
      <c r="A7050" s="59"/>
      <c r="B7050"/>
    </row>
    <row r="7051" spans="1:2">
      <c r="A7051" s="59"/>
      <c r="B7051"/>
    </row>
    <row r="7052" spans="1:2">
      <c r="A7052" s="59"/>
      <c r="B7052"/>
    </row>
    <row r="7053" spans="1:2">
      <c r="A7053" s="59"/>
      <c r="B7053"/>
    </row>
    <row r="7054" spans="1:2">
      <c r="A7054" s="59"/>
      <c r="B7054"/>
    </row>
    <row r="7055" spans="1:2">
      <c r="A7055" s="59"/>
      <c r="B7055"/>
    </row>
    <row r="7056" spans="1:2">
      <c r="A7056" s="59"/>
      <c r="B7056"/>
    </row>
    <row r="7057" spans="1:2">
      <c r="A7057" s="59"/>
      <c r="B7057"/>
    </row>
    <row r="7058" spans="1:2">
      <c r="A7058" s="59"/>
      <c r="B7058"/>
    </row>
    <row r="7059" spans="1:2">
      <c r="A7059" s="59"/>
      <c r="B7059"/>
    </row>
    <row r="7060" spans="1:2">
      <c r="A7060" s="59"/>
      <c r="B7060"/>
    </row>
    <row r="7061" spans="1:2">
      <c r="A7061" s="59"/>
      <c r="B7061"/>
    </row>
    <row r="7062" spans="1:2">
      <c r="A7062" s="59"/>
      <c r="B7062"/>
    </row>
    <row r="7063" spans="1:2">
      <c r="A7063" s="59"/>
      <c r="B7063"/>
    </row>
    <row r="7064" spans="1:2">
      <c r="A7064" s="59"/>
      <c r="B7064"/>
    </row>
    <row r="7065" spans="1:2">
      <c r="A7065" s="59"/>
      <c r="B7065"/>
    </row>
    <row r="7066" spans="1:2">
      <c r="A7066" s="59"/>
      <c r="B7066"/>
    </row>
    <row r="7067" spans="1:2">
      <c r="A7067" s="59"/>
      <c r="B7067"/>
    </row>
    <row r="7068" spans="1:2">
      <c r="A7068" s="59"/>
      <c r="B7068"/>
    </row>
    <row r="7069" spans="1:2">
      <c r="A7069" s="59"/>
      <c r="B7069"/>
    </row>
    <row r="7070" spans="1:2">
      <c r="A7070" s="59"/>
      <c r="B7070"/>
    </row>
    <row r="7071" spans="1:2">
      <c r="A7071" s="59"/>
      <c r="B7071"/>
    </row>
    <row r="7072" spans="1:2">
      <c r="A7072" s="59"/>
      <c r="B7072"/>
    </row>
    <row r="7073" spans="1:2">
      <c r="A7073" s="59"/>
      <c r="B7073"/>
    </row>
    <row r="7074" spans="1:2">
      <c r="A7074" s="59"/>
      <c r="B7074"/>
    </row>
    <row r="7075" spans="1:2">
      <c r="A7075" s="59"/>
      <c r="B7075"/>
    </row>
    <row r="7076" spans="1:2">
      <c r="A7076" s="59"/>
      <c r="B7076"/>
    </row>
    <row r="7077" spans="1:2">
      <c r="A7077" s="59"/>
      <c r="B7077"/>
    </row>
    <row r="7078" spans="1:2">
      <c r="A7078" s="59"/>
      <c r="B7078"/>
    </row>
    <row r="7079" spans="1:2">
      <c r="A7079" s="59"/>
      <c r="B7079"/>
    </row>
    <row r="7080" spans="1:2">
      <c r="A7080" s="59"/>
      <c r="B7080"/>
    </row>
    <row r="7081" spans="1:2">
      <c r="A7081" s="59"/>
      <c r="B7081"/>
    </row>
    <row r="7082" spans="1:2">
      <c r="A7082" s="59"/>
      <c r="B7082"/>
    </row>
    <row r="7083" spans="1:2">
      <c r="A7083" s="59"/>
      <c r="B7083"/>
    </row>
    <row r="7084" spans="1:2">
      <c r="A7084" s="59"/>
      <c r="B7084"/>
    </row>
    <row r="7085" spans="1:2">
      <c r="A7085" s="59"/>
      <c r="B7085"/>
    </row>
    <row r="7086" spans="1:2">
      <c r="A7086" s="59"/>
      <c r="B7086"/>
    </row>
    <row r="7087" spans="1:2">
      <c r="A7087" s="59"/>
      <c r="B7087"/>
    </row>
    <row r="7088" spans="1:2">
      <c r="A7088" s="59"/>
      <c r="B7088"/>
    </row>
    <row r="7089" spans="1:2">
      <c r="A7089" s="59"/>
      <c r="B7089"/>
    </row>
    <row r="7090" spans="1:2">
      <c r="A7090" s="59"/>
      <c r="B7090"/>
    </row>
    <row r="7091" spans="1:2">
      <c r="A7091" s="59"/>
      <c r="B7091"/>
    </row>
    <row r="7092" spans="1:2">
      <c r="A7092" s="59"/>
      <c r="B7092"/>
    </row>
    <row r="7093" spans="1:2">
      <c r="A7093" s="59"/>
      <c r="B7093"/>
    </row>
    <row r="7094" spans="1:2">
      <c r="A7094" s="59"/>
      <c r="B7094"/>
    </row>
    <row r="7095" spans="1:2">
      <c r="A7095" s="59"/>
      <c r="B7095"/>
    </row>
    <row r="7096" spans="1:2">
      <c r="A7096" s="59"/>
      <c r="B7096"/>
    </row>
    <row r="7097" spans="1:2">
      <c r="A7097" s="59"/>
      <c r="B7097"/>
    </row>
    <row r="7098" spans="1:2">
      <c r="A7098" s="59"/>
      <c r="B7098"/>
    </row>
    <row r="7099" spans="1:2">
      <c r="A7099" s="59"/>
      <c r="B7099"/>
    </row>
    <row r="7100" spans="1:2">
      <c r="A7100" s="59"/>
      <c r="B7100"/>
    </row>
    <row r="7101" spans="1:2">
      <c r="A7101" s="59"/>
      <c r="B7101"/>
    </row>
    <row r="7102" spans="1:2">
      <c r="A7102" s="59"/>
      <c r="B7102"/>
    </row>
    <row r="7103" spans="1:2">
      <c r="A7103" s="59"/>
      <c r="B7103"/>
    </row>
    <row r="7104" spans="1:2">
      <c r="A7104" s="59"/>
      <c r="B7104"/>
    </row>
    <row r="7105" spans="1:2">
      <c r="A7105" s="59"/>
      <c r="B7105"/>
    </row>
    <row r="7106" spans="1:2">
      <c r="A7106" s="59"/>
      <c r="B7106"/>
    </row>
    <row r="7107" spans="1:2">
      <c r="A7107" s="59"/>
      <c r="B7107"/>
    </row>
    <row r="7108" spans="1:2">
      <c r="A7108" s="59"/>
      <c r="B7108"/>
    </row>
    <row r="7109" spans="1:2">
      <c r="A7109" s="59"/>
      <c r="B7109"/>
    </row>
    <row r="7110" spans="1:2">
      <c r="A7110" s="59"/>
      <c r="B7110"/>
    </row>
    <row r="7111" spans="1:2">
      <c r="A7111" s="59"/>
      <c r="B7111"/>
    </row>
    <row r="7112" spans="1:2">
      <c r="A7112" s="59"/>
      <c r="B7112"/>
    </row>
    <row r="7113" spans="1:2">
      <c r="A7113" s="59"/>
      <c r="B7113"/>
    </row>
    <row r="7114" spans="1:2">
      <c r="A7114" s="59"/>
      <c r="B7114"/>
    </row>
    <row r="7115" spans="1:2">
      <c r="A7115" s="59"/>
      <c r="B7115"/>
    </row>
    <row r="7116" spans="1:2">
      <c r="A7116" s="59"/>
      <c r="B7116"/>
    </row>
    <row r="7117" spans="1:2">
      <c r="A7117" s="59"/>
      <c r="B7117"/>
    </row>
    <row r="7118" spans="1:2">
      <c r="A7118" s="59"/>
      <c r="B7118"/>
    </row>
    <row r="7119" spans="1:2">
      <c r="A7119" s="59"/>
      <c r="B7119"/>
    </row>
    <row r="7120" spans="1:2">
      <c r="A7120" s="59"/>
      <c r="B7120"/>
    </row>
    <row r="7121" spans="1:2">
      <c r="A7121" s="59"/>
      <c r="B7121"/>
    </row>
    <row r="7122" spans="1:2">
      <c r="A7122" s="59"/>
      <c r="B7122"/>
    </row>
    <row r="7123" spans="1:2">
      <c r="A7123" s="59"/>
      <c r="B7123"/>
    </row>
    <row r="7124" spans="1:2">
      <c r="A7124" s="59"/>
      <c r="B7124"/>
    </row>
    <row r="7125" spans="1:2">
      <c r="A7125" s="59"/>
      <c r="B7125"/>
    </row>
    <row r="7126" spans="1:2">
      <c r="A7126" s="59"/>
      <c r="B7126"/>
    </row>
    <row r="7127" spans="1:2">
      <c r="A7127" s="59"/>
      <c r="B7127"/>
    </row>
    <row r="7128" spans="1:2">
      <c r="A7128" s="59"/>
      <c r="B7128"/>
    </row>
    <row r="7129" spans="1:2">
      <c r="A7129" s="59"/>
      <c r="B7129"/>
    </row>
    <row r="7130" spans="1:2">
      <c r="A7130" s="59"/>
      <c r="B7130"/>
    </row>
    <row r="7131" spans="1:2">
      <c r="A7131" s="59"/>
      <c r="B7131"/>
    </row>
    <row r="7132" spans="1:2">
      <c r="A7132" s="59"/>
      <c r="B7132"/>
    </row>
    <row r="7133" spans="1:2">
      <c r="A7133" s="59"/>
      <c r="B7133"/>
    </row>
    <row r="7134" spans="1:2">
      <c r="A7134" s="59"/>
      <c r="B7134"/>
    </row>
    <row r="7135" spans="1:2">
      <c r="A7135" s="59"/>
      <c r="B7135"/>
    </row>
    <row r="7136" spans="1:2">
      <c r="A7136" s="59"/>
      <c r="B7136"/>
    </row>
    <row r="7137" spans="1:2">
      <c r="A7137" s="59"/>
      <c r="B7137"/>
    </row>
    <row r="7138" spans="1:2">
      <c r="A7138" s="59"/>
      <c r="B7138"/>
    </row>
    <row r="7139" spans="1:2">
      <c r="A7139" s="59"/>
      <c r="B7139"/>
    </row>
    <row r="7140" spans="1:2">
      <c r="A7140" s="59"/>
      <c r="B7140"/>
    </row>
    <row r="7141" spans="1:2">
      <c r="A7141" s="59"/>
      <c r="B7141"/>
    </row>
    <row r="7142" spans="1:2">
      <c r="A7142" s="59"/>
      <c r="B7142"/>
    </row>
    <row r="7143" spans="1:2">
      <c r="A7143" s="59"/>
      <c r="B7143"/>
    </row>
    <row r="7144" spans="1:2">
      <c r="A7144" s="59"/>
      <c r="B7144"/>
    </row>
    <row r="7145" spans="1:2">
      <c r="A7145" s="59"/>
      <c r="B7145"/>
    </row>
    <row r="7146" spans="1:2">
      <c r="A7146" s="59"/>
      <c r="B7146"/>
    </row>
    <row r="7147" spans="1:2">
      <c r="A7147" s="59"/>
      <c r="B7147"/>
    </row>
    <row r="7148" spans="1:2">
      <c r="A7148" s="59"/>
      <c r="B7148"/>
    </row>
    <row r="7149" spans="1:2">
      <c r="A7149" s="59"/>
      <c r="B7149"/>
    </row>
    <row r="7150" spans="1:2">
      <c r="A7150" s="59"/>
      <c r="B7150"/>
    </row>
    <row r="7151" spans="1:2">
      <c r="A7151" s="59"/>
      <c r="B7151"/>
    </row>
    <row r="7152" spans="1:2">
      <c r="A7152" s="59"/>
      <c r="B7152"/>
    </row>
    <row r="7153" spans="1:2">
      <c r="A7153" s="59"/>
      <c r="B7153"/>
    </row>
    <row r="7154" spans="1:2">
      <c r="A7154" s="59"/>
      <c r="B7154"/>
    </row>
    <row r="7155" spans="1:2">
      <c r="A7155" s="59"/>
      <c r="B7155"/>
    </row>
    <row r="7156" spans="1:2">
      <c r="A7156" s="59"/>
      <c r="B7156"/>
    </row>
    <row r="7157" spans="1:2">
      <c r="A7157" s="59"/>
      <c r="B7157"/>
    </row>
    <row r="7158" spans="1:2">
      <c r="A7158" s="59"/>
      <c r="B7158"/>
    </row>
    <row r="7159" spans="1:2">
      <c r="A7159" s="59"/>
      <c r="B7159"/>
    </row>
    <row r="7160" spans="1:2">
      <c r="A7160" s="59"/>
      <c r="B7160"/>
    </row>
    <row r="7161" spans="1:2">
      <c r="A7161" s="59"/>
      <c r="B7161"/>
    </row>
    <row r="7162" spans="1:2">
      <c r="A7162" s="59"/>
      <c r="B7162"/>
    </row>
    <row r="7163" spans="1:2">
      <c r="A7163" s="59"/>
      <c r="B7163"/>
    </row>
    <row r="7164" spans="1:2">
      <c r="A7164" s="59"/>
      <c r="B7164"/>
    </row>
    <row r="7165" spans="1:2">
      <c r="A7165" s="59"/>
      <c r="B7165"/>
    </row>
    <row r="7166" spans="1:2">
      <c r="A7166" s="59"/>
      <c r="B7166"/>
    </row>
    <row r="7167" spans="1:2">
      <c r="A7167" s="59"/>
      <c r="B7167"/>
    </row>
    <row r="7168" spans="1:2">
      <c r="A7168" s="59"/>
      <c r="B7168"/>
    </row>
    <row r="7169" spans="1:2">
      <c r="A7169" s="59"/>
      <c r="B7169"/>
    </row>
    <row r="7170" spans="1:2">
      <c r="A7170" s="59"/>
      <c r="B7170"/>
    </row>
    <row r="7171" spans="1:2">
      <c r="A7171" s="59"/>
      <c r="B7171"/>
    </row>
    <row r="7172" spans="1:2">
      <c r="A7172" s="59"/>
      <c r="B7172"/>
    </row>
    <row r="7173" spans="1:2">
      <c r="A7173" s="59"/>
      <c r="B7173"/>
    </row>
    <row r="7174" spans="1:2">
      <c r="A7174" s="59"/>
      <c r="B7174"/>
    </row>
    <row r="7175" spans="1:2">
      <c r="A7175" s="59"/>
      <c r="B7175"/>
    </row>
    <row r="7176" spans="1:2">
      <c r="A7176" s="59"/>
      <c r="B7176"/>
    </row>
    <row r="7177" spans="1:2">
      <c r="A7177" s="59"/>
      <c r="B7177"/>
    </row>
    <row r="7178" spans="1:2">
      <c r="A7178" s="59"/>
      <c r="B7178"/>
    </row>
    <row r="7179" spans="1:2">
      <c r="A7179" s="59"/>
      <c r="B7179"/>
    </row>
    <row r="7180" spans="1:2">
      <c r="A7180" s="59"/>
      <c r="B7180"/>
    </row>
    <row r="7181" spans="1:2">
      <c r="A7181" s="59"/>
      <c r="B7181"/>
    </row>
    <row r="7182" spans="1:2">
      <c r="A7182" s="59"/>
      <c r="B7182"/>
    </row>
    <row r="7183" spans="1:2">
      <c r="A7183" s="59"/>
      <c r="B7183"/>
    </row>
    <row r="7184" spans="1:2">
      <c r="A7184" s="59"/>
      <c r="B7184"/>
    </row>
    <row r="7185" spans="1:2">
      <c r="A7185" s="59"/>
      <c r="B7185"/>
    </row>
    <row r="7186" spans="1:2">
      <c r="A7186" s="59"/>
      <c r="B7186"/>
    </row>
    <row r="7187" spans="1:2">
      <c r="A7187" s="59"/>
      <c r="B7187"/>
    </row>
    <row r="7188" spans="1:2">
      <c r="A7188" s="59"/>
      <c r="B7188"/>
    </row>
    <row r="7189" spans="1:2">
      <c r="A7189" s="59"/>
      <c r="B7189"/>
    </row>
    <row r="7190" spans="1:2">
      <c r="A7190" s="59"/>
      <c r="B7190"/>
    </row>
    <row r="7191" spans="1:2">
      <c r="A7191" s="59"/>
      <c r="B7191"/>
    </row>
    <row r="7192" spans="1:2">
      <c r="A7192" s="59"/>
      <c r="B7192"/>
    </row>
    <row r="7193" spans="1:2">
      <c r="A7193" s="59"/>
      <c r="B7193"/>
    </row>
    <row r="7194" spans="1:2">
      <c r="A7194" s="59"/>
      <c r="B7194"/>
    </row>
    <row r="7195" spans="1:2">
      <c r="A7195" s="59"/>
      <c r="B7195"/>
    </row>
    <row r="7196" spans="1:2">
      <c r="A7196" s="59"/>
      <c r="B7196"/>
    </row>
    <row r="7197" spans="1:2">
      <c r="A7197" s="59"/>
      <c r="B7197"/>
    </row>
    <row r="7198" spans="1:2">
      <c r="A7198" s="59"/>
      <c r="B7198"/>
    </row>
    <row r="7199" spans="1:2">
      <c r="A7199" s="59"/>
      <c r="B7199"/>
    </row>
    <row r="7200" spans="1:2">
      <c r="A7200" s="59"/>
      <c r="B7200"/>
    </row>
    <row r="7201" spans="1:2">
      <c r="A7201" s="59"/>
      <c r="B7201"/>
    </row>
    <row r="7202" spans="1:2">
      <c r="A7202" s="59"/>
      <c r="B7202"/>
    </row>
    <row r="7203" spans="1:2">
      <c r="A7203" s="59"/>
      <c r="B7203"/>
    </row>
    <row r="7204" spans="1:2">
      <c r="A7204" s="59"/>
      <c r="B7204"/>
    </row>
    <row r="7205" spans="1:2">
      <c r="A7205" s="59"/>
      <c r="B7205"/>
    </row>
    <row r="7206" spans="1:2">
      <c r="A7206" s="59"/>
      <c r="B7206"/>
    </row>
    <row r="7207" spans="1:2">
      <c r="A7207" s="59"/>
      <c r="B7207"/>
    </row>
    <row r="7208" spans="1:2">
      <c r="A7208" s="59"/>
      <c r="B7208"/>
    </row>
    <row r="7209" spans="1:2">
      <c r="A7209" s="59"/>
      <c r="B7209"/>
    </row>
    <row r="7210" spans="1:2">
      <c r="A7210" s="59"/>
      <c r="B7210"/>
    </row>
    <row r="7211" spans="1:2">
      <c r="A7211" s="59"/>
      <c r="B7211"/>
    </row>
    <row r="7212" spans="1:2">
      <c r="A7212" s="59"/>
      <c r="B7212"/>
    </row>
    <row r="7213" spans="1:2">
      <c r="A7213" s="59"/>
      <c r="B7213"/>
    </row>
    <row r="7214" spans="1:2">
      <c r="A7214" s="59"/>
      <c r="B7214"/>
    </row>
    <row r="7215" spans="1:2">
      <c r="A7215" s="59"/>
      <c r="B7215"/>
    </row>
    <row r="7216" spans="1:2">
      <c r="A7216" s="59"/>
      <c r="B7216"/>
    </row>
    <row r="7217" spans="1:2">
      <c r="A7217" s="59"/>
      <c r="B7217"/>
    </row>
    <row r="7218" spans="1:2">
      <c r="A7218" s="59"/>
      <c r="B7218"/>
    </row>
    <row r="7219" spans="1:2">
      <c r="A7219" s="59"/>
      <c r="B7219"/>
    </row>
    <row r="7220" spans="1:2">
      <c r="A7220" s="59"/>
      <c r="B7220"/>
    </row>
    <row r="7221" spans="1:2">
      <c r="A7221" s="59"/>
      <c r="B7221"/>
    </row>
    <row r="7222" spans="1:2">
      <c r="A7222" s="59"/>
      <c r="B7222"/>
    </row>
    <row r="7223" spans="1:2">
      <c r="A7223" s="59"/>
      <c r="B7223"/>
    </row>
    <row r="7224" spans="1:2">
      <c r="A7224" s="59"/>
      <c r="B7224"/>
    </row>
    <row r="7225" spans="1:2">
      <c r="A7225" s="59"/>
      <c r="B7225"/>
    </row>
    <row r="7226" spans="1:2">
      <c r="A7226" s="59"/>
      <c r="B7226"/>
    </row>
    <row r="7227" spans="1:2">
      <c r="A7227" s="59"/>
      <c r="B7227"/>
    </row>
    <row r="7228" spans="1:2">
      <c r="A7228" s="59"/>
      <c r="B7228"/>
    </row>
    <row r="7229" spans="1:2">
      <c r="A7229" s="59"/>
      <c r="B7229"/>
    </row>
    <row r="7230" spans="1:2">
      <c r="A7230" s="59"/>
      <c r="B7230"/>
    </row>
    <row r="7231" spans="1:2">
      <c r="A7231" s="59"/>
      <c r="B7231"/>
    </row>
    <row r="7232" spans="1:2">
      <c r="A7232" s="59"/>
      <c r="B7232"/>
    </row>
    <row r="7233" spans="1:2">
      <c r="A7233" s="59"/>
      <c r="B7233"/>
    </row>
    <row r="7234" spans="1:2">
      <c r="A7234" s="59"/>
      <c r="B7234"/>
    </row>
    <row r="7235" spans="1:2">
      <c r="A7235" s="59"/>
      <c r="B7235"/>
    </row>
    <row r="7236" spans="1:2">
      <c r="A7236" s="59"/>
      <c r="B7236"/>
    </row>
    <row r="7237" spans="1:2">
      <c r="A7237" s="59"/>
      <c r="B7237"/>
    </row>
    <row r="7238" spans="1:2">
      <c r="A7238" s="59"/>
      <c r="B7238"/>
    </row>
    <row r="7239" spans="1:2">
      <c r="A7239" s="59"/>
      <c r="B7239"/>
    </row>
    <row r="7240" spans="1:2">
      <c r="A7240" s="59"/>
      <c r="B7240"/>
    </row>
    <row r="7241" spans="1:2">
      <c r="A7241" s="59"/>
      <c r="B7241"/>
    </row>
    <row r="7242" spans="1:2">
      <c r="A7242" s="59"/>
      <c r="B7242"/>
    </row>
    <row r="7243" spans="1:2">
      <c r="A7243" s="59"/>
      <c r="B7243"/>
    </row>
    <row r="7244" spans="1:2">
      <c r="A7244" s="59"/>
      <c r="B7244"/>
    </row>
    <row r="7245" spans="1:2">
      <c r="A7245" s="59"/>
      <c r="B7245"/>
    </row>
    <row r="7246" spans="1:2">
      <c r="A7246" s="59"/>
      <c r="B7246"/>
    </row>
    <row r="7247" spans="1:2">
      <c r="A7247" s="59"/>
      <c r="B7247"/>
    </row>
    <row r="7248" spans="1:2">
      <c r="A7248" s="59"/>
      <c r="B7248"/>
    </row>
    <row r="7249" spans="1:2">
      <c r="A7249" s="59"/>
      <c r="B7249"/>
    </row>
    <row r="7250" spans="1:2">
      <c r="A7250" s="59"/>
      <c r="B7250"/>
    </row>
    <row r="7251" spans="1:2">
      <c r="A7251" s="59"/>
      <c r="B7251"/>
    </row>
    <row r="7252" spans="1:2">
      <c r="A7252" s="59"/>
      <c r="B7252"/>
    </row>
    <row r="7253" spans="1:2">
      <c r="A7253" s="59"/>
      <c r="B7253"/>
    </row>
    <row r="7254" spans="1:2">
      <c r="A7254" s="59"/>
      <c r="B7254"/>
    </row>
    <row r="7255" spans="1:2">
      <c r="A7255" s="59"/>
      <c r="B7255"/>
    </row>
    <row r="7256" spans="1:2">
      <c r="A7256" s="59"/>
      <c r="B7256"/>
    </row>
    <row r="7257" spans="1:2">
      <c r="A7257" s="59"/>
      <c r="B7257"/>
    </row>
    <row r="7258" spans="1:2">
      <c r="A7258" s="59"/>
      <c r="B7258"/>
    </row>
    <row r="7259" spans="1:2">
      <c r="A7259" s="59"/>
      <c r="B7259"/>
    </row>
    <row r="7260" spans="1:2">
      <c r="A7260" s="59"/>
      <c r="B7260"/>
    </row>
    <row r="7261" spans="1:2">
      <c r="A7261" s="59"/>
      <c r="B7261"/>
    </row>
    <row r="7262" spans="1:2">
      <c r="A7262" s="59"/>
      <c r="B7262"/>
    </row>
    <row r="7263" spans="1:2">
      <c r="A7263" s="59"/>
      <c r="B7263"/>
    </row>
    <row r="7264" spans="1:2">
      <c r="A7264" s="59"/>
      <c r="B7264"/>
    </row>
    <row r="7265" spans="1:2">
      <c r="A7265" s="59"/>
      <c r="B7265"/>
    </row>
    <row r="7266" spans="1:2">
      <c r="A7266" s="59"/>
      <c r="B7266"/>
    </row>
    <row r="7267" spans="1:2">
      <c r="A7267" s="59"/>
      <c r="B7267"/>
    </row>
    <row r="7268" spans="1:2">
      <c r="A7268" s="59"/>
      <c r="B7268"/>
    </row>
    <row r="7269" spans="1:2">
      <c r="A7269" s="59"/>
      <c r="B7269"/>
    </row>
    <row r="7270" spans="1:2">
      <c r="A7270" s="59"/>
      <c r="B7270"/>
    </row>
    <row r="7271" spans="1:2">
      <c r="A7271" s="59"/>
      <c r="B7271"/>
    </row>
    <row r="7272" spans="1:2">
      <c r="A7272" s="59"/>
      <c r="B7272"/>
    </row>
    <row r="7273" spans="1:2">
      <c r="A7273" s="59"/>
      <c r="B7273"/>
    </row>
    <row r="7274" spans="1:2">
      <c r="A7274" s="59"/>
      <c r="B7274"/>
    </row>
    <row r="7275" spans="1:2">
      <c r="A7275" s="59"/>
      <c r="B7275"/>
    </row>
    <row r="7276" spans="1:2">
      <c r="A7276" s="59"/>
      <c r="B7276"/>
    </row>
    <row r="7277" spans="1:2">
      <c r="A7277" s="59"/>
      <c r="B7277"/>
    </row>
    <row r="7278" spans="1:2">
      <c r="A7278" s="59"/>
      <c r="B7278"/>
    </row>
    <row r="7279" spans="1:2">
      <c r="A7279" s="59"/>
      <c r="B7279"/>
    </row>
    <row r="7280" spans="1:2">
      <c r="A7280" s="59"/>
      <c r="B7280"/>
    </row>
    <row r="7281" spans="1:2">
      <c r="A7281" s="59"/>
      <c r="B7281"/>
    </row>
    <row r="7282" spans="1:2">
      <c r="A7282" s="59"/>
      <c r="B7282"/>
    </row>
    <row r="7283" spans="1:2">
      <c r="A7283" s="59"/>
      <c r="B7283"/>
    </row>
    <row r="7284" spans="1:2">
      <c r="A7284" s="59"/>
      <c r="B7284"/>
    </row>
    <row r="7285" spans="1:2">
      <c r="A7285" s="59"/>
      <c r="B7285"/>
    </row>
    <row r="7286" spans="1:2">
      <c r="A7286" s="59"/>
      <c r="B7286"/>
    </row>
    <row r="7287" spans="1:2">
      <c r="A7287" s="59"/>
      <c r="B7287"/>
    </row>
    <row r="7288" spans="1:2">
      <c r="A7288" s="59"/>
      <c r="B7288"/>
    </row>
    <row r="7289" spans="1:2">
      <c r="A7289" s="59"/>
      <c r="B7289"/>
    </row>
    <row r="7290" spans="1:2">
      <c r="A7290" s="59"/>
      <c r="B7290"/>
    </row>
    <row r="7291" spans="1:2">
      <c r="A7291" s="59"/>
      <c r="B7291"/>
    </row>
    <row r="7292" spans="1:2">
      <c r="A7292" s="59"/>
      <c r="B7292"/>
    </row>
    <row r="7293" spans="1:2">
      <c r="A7293" s="59"/>
      <c r="B7293"/>
    </row>
    <row r="7294" spans="1:2">
      <c r="A7294" s="59"/>
      <c r="B7294"/>
    </row>
    <row r="7295" spans="1:2">
      <c r="A7295" s="59"/>
      <c r="B7295"/>
    </row>
    <row r="7296" spans="1:2">
      <c r="A7296" s="59"/>
      <c r="B7296"/>
    </row>
    <row r="7297" spans="1:2">
      <c r="A7297" s="59"/>
      <c r="B7297"/>
    </row>
    <row r="7298" spans="1:2">
      <c r="A7298" s="59"/>
      <c r="B7298"/>
    </row>
    <row r="7299" spans="1:2">
      <c r="A7299" s="59"/>
      <c r="B7299"/>
    </row>
    <row r="7300" spans="1:2">
      <c r="A7300" s="59"/>
      <c r="B7300"/>
    </row>
    <row r="7301" spans="1:2">
      <c r="A7301" s="59"/>
      <c r="B7301"/>
    </row>
    <row r="7302" spans="1:2">
      <c r="A7302" s="59"/>
      <c r="B7302"/>
    </row>
    <row r="7303" spans="1:2">
      <c r="A7303" s="59"/>
      <c r="B7303"/>
    </row>
    <row r="7304" spans="1:2">
      <c r="A7304" s="59"/>
      <c r="B7304"/>
    </row>
    <row r="7305" spans="1:2">
      <c r="A7305" s="59"/>
      <c r="B7305"/>
    </row>
    <row r="7306" spans="1:2">
      <c r="A7306" s="59"/>
      <c r="B7306"/>
    </row>
    <row r="7307" spans="1:2">
      <c r="A7307" s="59"/>
      <c r="B7307"/>
    </row>
    <row r="7308" spans="1:2">
      <c r="A7308" s="59"/>
      <c r="B7308"/>
    </row>
    <row r="7309" spans="1:2">
      <c r="A7309" s="59"/>
      <c r="B7309"/>
    </row>
    <row r="7310" spans="1:2">
      <c r="A7310" s="59"/>
      <c r="B7310"/>
    </row>
    <row r="7311" spans="1:2">
      <c r="A7311" s="59"/>
      <c r="B7311"/>
    </row>
    <row r="7312" spans="1:2">
      <c r="A7312" s="59"/>
      <c r="B7312"/>
    </row>
    <row r="7313" spans="1:2">
      <c r="A7313" s="59"/>
      <c r="B7313"/>
    </row>
    <row r="7314" spans="1:2">
      <c r="A7314" s="59"/>
      <c r="B7314"/>
    </row>
    <row r="7315" spans="1:2">
      <c r="A7315" s="59"/>
      <c r="B7315"/>
    </row>
    <row r="7316" spans="1:2">
      <c r="A7316" s="59"/>
      <c r="B7316"/>
    </row>
    <row r="7317" spans="1:2">
      <c r="A7317" s="59"/>
      <c r="B7317"/>
    </row>
    <row r="7318" spans="1:2">
      <c r="A7318" s="59"/>
      <c r="B7318"/>
    </row>
    <row r="7319" spans="1:2">
      <c r="A7319" s="59"/>
      <c r="B7319"/>
    </row>
    <row r="7320" spans="1:2">
      <c r="A7320" s="59"/>
      <c r="B7320"/>
    </row>
    <row r="7321" spans="1:2">
      <c r="A7321" s="59"/>
      <c r="B7321"/>
    </row>
    <row r="7322" spans="1:2">
      <c r="A7322" s="59"/>
      <c r="B7322"/>
    </row>
    <row r="7323" spans="1:2">
      <c r="A7323" s="59"/>
      <c r="B7323"/>
    </row>
    <row r="7324" spans="1:2">
      <c r="A7324" s="59"/>
      <c r="B7324"/>
    </row>
    <row r="7325" spans="1:2">
      <c r="A7325" s="59"/>
      <c r="B7325"/>
    </row>
    <row r="7326" spans="1:2">
      <c r="A7326" s="59"/>
      <c r="B7326"/>
    </row>
    <row r="7327" spans="1:2">
      <c r="A7327" s="59"/>
      <c r="B7327"/>
    </row>
    <row r="7328" spans="1:2">
      <c r="A7328" s="59"/>
      <c r="B7328"/>
    </row>
    <row r="7329" spans="1:2">
      <c r="A7329" s="59"/>
      <c r="B7329"/>
    </row>
    <row r="7330" spans="1:2">
      <c r="A7330" s="59"/>
      <c r="B7330"/>
    </row>
    <row r="7331" spans="1:2">
      <c r="A7331" s="59"/>
      <c r="B7331"/>
    </row>
    <row r="7332" spans="1:2">
      <c r="A7332" s="59"/>
      <c r="B7332"/>
    </row>
    <row r="7333" spans="1:2">
      <c r="A7333" s="59"/>
      <c r="B7333"/>
    </row>
    <row r="7334" spans="1:2">
      <c r="A7334" s="59"/>
      <c r="B7334"/>
    </row>
    <row r="7335" spans="1:2">
      <c r="A7335" s="59"/>
      <c r="B7335"/>
    </row>
    <row r="7336" spans="1:2">
      <c r="A7336" s="59"/>
      <c r="B7336"/>
    </row>
    <row r="7337" spans="1:2">
      <c r="A7337" s="59"/>
      <c r="B7337"/>
    </row>
    <row r="7338" spans="1:2">
      <c r="A7338" s="59"/>
      <c r="B7338"/>
    </row>
    <row r="7339" spans="1:2">
      <c r="A7339" s="59"/>
      <c r="B7339"/>
    </row>
    <row r="7340" spans="1:2">
      <c r="A7340" s="59"/>
      <c r="B7340"/>
    </row>
    <row r="7341" spans="1:2">
      <c r="A7341" s="59"/>
      <c r="B7341"/>
    </row>
    <row r="7342" spans="1:2">
      <c r="A7342" s="59"/>
      <c r="B7342"/>
    </row>
    <row r="7343" spans="1:2">
      <c r="A7343" s="59"/>
      <c r="B7343"/>
    </row>
    <row r="7344" spans="1:2">
      <c r="A7344" s="59"/>
      <c r="B7344"/>
    </row>
    <row r="7345" spans="1:2">
      <c r="A7345" s="59"/>
      <c r="B7345"/>
    </row>
    <row r="7346" spans="1:2">
      <c r="A7346" s="59"/>
      <c r="B7346"/>
    </row>
    <row r="7347" spans="1:2">
      <c r="A7347" s="59"/>
      <c r="B7347"/>
    </row>
    <row r="7348" spans="1:2">
      <c r="A7348" s="59"/>
      <c r="B7348"/>
    </row>
    <row r="7349" spans="1:2">
      <c r="A7349" s="59"/>
      <c r="B7349"/>
    </row>
    <row r="7350" spans="1:2">
      <c r="A7350" s="59"/>
      <c r="B7350"/>
    </row>
    <row r="7351" spans="1:2">
      <c r="A7351" s="59"/>
      <c r="B7351"/>
    </row>
    <row r="7352" spans="1:2">
      <c r="A7352" s="59"/>
      <c r="B7352"/>
    </row>
    <row r="7353" spans="1:2">
      <c r="A7353" s="59"/>
      <c r="B7353"/>
    </row>
    <row r="7354" spans="1:2">
      <c r="A7354" s="59"/>
      <c r="B7354"/>
    </row>
    <row r="7355" spans="1:2">
      <c r="A7355" s="59"/>
      <c r="B7355"/>
    </row>
    <row r="7356" spans="1:2">
      <c r="A7356" s="59"/>
      <c r="B7356"/>
    </row>
    <row r="7357" spans="1:2">
      <c r="A7357" s="59"/>
      <c r="B7357"/>
    </row>
    <row r="7358" spans="1:2">
      <c r="A7358" s="59"/>
      <c r="B7358"/>
    </row>
    <row r="7359" spans="1:2">
      <c r="A7359" s="59"/>
      <c r="B7359"/>
    </row>
    <row r="7360" spans="1:2">
      <c r="A7360" s="59"/>
      <c r="B7360"/>
    </row>
    <row r="7361" spans="1:2">
      <c r="A7361" s="59"/>
      <c r="B7361"/>
    </row>
    <row r="7362" spans="1:2">
      <c r="A7362" s="59"/>
      <c r="B7362"/>
    </row>
    <row r="7363" spans="1:2">
      <c r="A7363" s="59"/>
      <c r="B7363"/>
    </row>
    <row r="7364" spans="1:2">
      <c r="A7364" s="59"/>
      <c r="B7364"/>
    </row>
    <row r="7365" spans="1:2">
      <c r="A7365" s="59"/>
      <c r="B7365"/>
    </row>
    <row r="7366" spans="1:2">
      <c r="A7366" s="59"/>
      <c r="B7366"/>
    </row>
    <row r="7367" spans="1:2">
      <c r="A7367" s="59"/>
      <c r="B7367"/>
    </row>
    <row r="7368" spans="1:2">
      <c r="A7368" s="59"/>
      <c r="B7368"/>
    </row>
    <row r="7369" spans="1:2">
      <c r="A7369" s="59"/>
      <c r="B7369"/>
    </row>
    <row r="7370" spans="1:2">
      <c r="A7370" s="59"/>
      <c r="B7370"/>
    </row>
    <row r="7371" spans="1:2">
      <c r="A7371" s="59"/>
      <c r="B7371"/>
    </row>
    <row r="7372" spans="1:2">
      <c r="A7372" s="59"/>
      <c r="B7372"/>
    </row>
    <row r="7373" spans="1:2">
      <c r="A7373" s="59"/>
      <c r="B7373"/>
    </row>
    <row r="7374" spans="1:2">
      <c r="A7374" s="59"/>
      <c r="B7374"/>
    </row>
    <row r="7375" spans="1:2">
      <c r="A7375" s="59"/>
      <c r="B7375"/>
    </row>
    <row r="7376" spans="1:2">
      <c r="A7376" s="59"/>
      <c r="B7376"/>
    </row>
    <row r="7377" spans="1:2">
      <c r="A7377" s="59"/>
      <c r="B7377"/>
    </row>
    <row r="7378" spans="1:2">
      <c r="A7378" s="59"/>
      <c r="B7378"/>
    </row>
    <row r="7379" spans="1:2">
      <c r="A7379" s="59"/>
      <c r="B7379"/>
    </row>
    <row r="7380" spans="1:2">
      <c r="A7380" s="59"/>
      <c r="B7380"/>
    </row>
    <row r="7381" spans="1:2">
      <c r="A7381" s="59"/>
      <c r="B7381"/>
    </row>
    <row r="7382" spans="1:2">
      <c r="A7382" s="59"/>
      <c r="B7382"/>
    </row>
    <row r="7383" spans="1:2">
      <c r="A7383" s="59"/>
      <c r="B7383"/>
    </row>
    <row r="7384" spans="1:2">
      <c r="A7384" s="59"/>
      <c r="B7384"/>
    </row>
    <row r="7385" spans="1:2">
      <c r="A7385" s="59"/>
      <c r="B7385"/>
    </row>
    <row r="7386" spans="1:2">
      <c r="A7386" s="59"/>
      <c r="B7386"/>
    </row>
    <row r="7387" spans="1:2">
      <c r="A7387" s="59"/>
      <c r="B7387"/>
    </row>
    <row r="7388" spans="1:2">
      <c r="A7388" s="59"/>
      <c r="B7388"/>
    </row>
    <row r="7389" spans="1:2">
      <c r="A7389" s="59"/>
      <c r="B7389"/>
    </row>
    <row r="7390" spans="1:2">
      <c r="A7390" s="59"/>
      <c r="B7390"/>
    </row>
    <row r="7391" spans="1:2">
      <c r="A7391" s="59"/>
      <c r="B7391"/>
    </row>
    <row r="7392" spans="1:2">
      <c r="A7392" s="59"/>
      <c r="B7392"/>
    </row>
    <row r="7393" spans="1:2">
      <c r="A7393" s="59"/>
      <c r="B7393"/>
    </row>
    <row r="7394" spans="1:2">
      <c r="A7394" s="59"/>
      <c r="B7394"/>
    </row>
    <row r="7395" spans="1:2">
      <c r="A7395" s="59"/>
      <c r="B7395"/>
    </row>
    <row r="7396" spans="1:2">
      <c r="A7396" s="59"/>
      <c r="B7396"/>
    </row>
    <row r="7397" spans="1:2">
      <c r="A7397" s="59"/>
      <c r="B7397"/>
    </row>
    <row r="7398" spans="1:2">
      <c r="A7398" s="59"/>
      <c r="B7398"/>
    </row>
    <row r="7399" spans="1:2">
      <c r="A7399" s="59"/>
      <c r="B7399"/>
    </row>
    <row r="7400" spans="1:2">
      <c r="A7400" s="59"/>
      <c r="B7400"/>
    </row>
    <row r="7401" spans="1:2">
      <c r="A7401" s="59"/>
      <c r="B7401"/>
    </row>
    <row r="7402" spans="1:2">
      <c r="A7402" s="59"/>
      <c r="B7402"/>
    </row>
    <row r="7403" spans="1:2">
      <c r="A7403" s="59"/>
      <c r="B7403"/>
    </row>
    <row r="7404" spans="1:2">
      <c r="A7404" s="59"/>
      <c r="B7404"/>
    </row>
    <row r="7405" spans="1:2">
      <c r="A7405" s="59"/>
      <c r="B7405"/>
    </row>
    <row r="7406" spans="1:2">
      <c r="A7406" s="59"/>
      <c r="B7406"/>
    </row>
    <row r="7407" spans="1:2">
      <c r="A7407" s="59"/>
      <c r="B7407"/>
    </row>
    <row r="7408" spans="1:2">
      <c r="A7408" s="59"/>
      <c r="B7408"/>
    </row>
    <row r="7409" spans="1:2">
      <c r="A7409" s="59"/>
      <c r="B7409"/>
    </row>
    <row r="7410" spans="1:2">
      <c r="A7410" s="59"/>
      <c r="B7410"/>
    </row>
    <row r="7411" spans="1:2">
      <c r="A7411" s="59"/>
      <c r="B7411"/>
    </row>
    <row r="7412" spans="1:2">
      <c r="A7412" s="59"/>
      <c r="B7412"/>
    </row>
    <row r="7413" spans="1:2">
      <c r="A7413" s="59"/>
      <c r="B7413"/>
    </row>
    <row r="7414" spans="1:2">
      <c r="A7414" s="59"/>
      <c r="B7414"/>
    </row>
    <row r="7415" spans="1:2">
      <c r="A7415" s="59"/>
      <c r="B7415"/>
    </row>
    <row r="7416" spans="1:2">
      <c r="A7416" s="59"/>
      <c r="B7416"/>
    </row>
    <row r="7417" spans="1:2">
      <c r="A7417" s="59"/>
      <c r="B7417"/>
    </row>
    <row r="7418" spans="1:2">
      <c r="A7418" s="59"/>
      <c r="B7418"/>
    </row>
    <row r="7419" spans="1:2">
      <c r="A7419" s="59"/>
      <c r="B7419"/>
    </row>
    <row r="7420" spans="1:2">
      <c r="A7420" s="59"/>
      <c r="B7420"/>
    </row>
    <row r="7421" spans="1:2">
      <c r="A7421" s="59"/>
      <c r="B7421"/>
    </row>
    <row r="7422" spans="1:2">
      <c r="A7422" s="59"/>
      <c r="B7422"/>
    </row>
    <row r="7423" spans="1:2">
      <c r="A7423" s="59"/>
      <c r="B7423"/>
    </row>
    <row r="7424" spans="1:2">
      <c r="A7424" s="59"/>
      <c r="B7424"/>
    </row>
    <row r="7425" spans="1:2">
      <c r="A7425" s="59"/>
      <c r="B7425"/>
    </row>
    <row r="7426" spans="1:2">
      <c r="A7426" s="59"/>
      <c r="B7426"/>
    </row>
    <row r="7427" spans="1:2">
      <c r="A7427" s="59"/>
      <c r="B7427"/>
    </row>
    <row r="7428" spans="1:2">
      <c r="A7428" s="59"/>
      <c r="B7428"/>
    </row>
    <row r="7429" spans="1:2">
      <c r="A7429" s="59"/>
      <c r="B7429"/>
    </row>
    <row r="7430" spans="1:2">
      <c r="A7430" s="59"/>
      <c r="B7430"/>
    </row>
    <row r="7431" spans="1:2">
      <c r="A7431" s="59"/>
      <c r="B7431"/>
    </row>
    <row r="7432" spans="1:2">
      <c r="A7432" s="59"/>
      <c r="B7432"/>
    </row>
    <row r="7433" spans="1:2">
      <c r="A7433" s="59"/>
      <c r="B7433"/>
    </row>
    <row r="7434" spans="1:2">
      <c r="A7434" s="59"/>
      <c r="B7434"/>
    </row>
    <row r="7435" spans="1:2">
      <c r="A7435" s="59"/>
      <c r="B7435"/>
    </row>
    <row r="7436" spans="1:2">
      <c r="A7436" s="59"/>
      <c r="B7436"/>
    </row>
    <row r="7437" spans="1:2">
      <c r="A7437" s="59"/>
      <c r="B7437"/>
    </row>
    <row r="7438" spans="1:2">
      <c r="A7438" s="59"/>
      <c r="B7438"/>
    </row>
    <row r="7439" spans="1:2">
      <c r="A7439" s="59"/>
      <c r="B7439"/>
    </row>
    <row r="7440" spans="1:2">
      <c r="A7440" s="59"/>
      <c r="B7440"/>
    </row>
    <row r="7441" spans="1:2">
      <c r="A7441" s="59"/>
      <c r="B7441"/>
    </row>
    <row r="7442" spans="1:2">
      <c r="A7442" s="59"/>
      <c r="B7442"/>
    </row>
    <row r="7443" spans="1:2">
      <c r="A7443" s="59"/>
      <c r="B7443"/>
    </row>
    <row r="7444" spans="1:2">
      <c r="A7444" s="59"/>
      <c r="B7444"/>
    </row>
    <row r="7445" spans="1:2">
      <c r="A7445" s="59"/>
      <c r="B7445"/>
    </row>
    <row r="7446" spans="1:2">
      <c r="A7446" s="59"/>
      <c r="B7446"/>
    </row>
    <row r="7447" spans="1:2">
      <c r="A7447" s="59"/>
      <c r="B7447"/>
    </row>
    <row r="7448" spans="1:2">
      <c r="A7448" s="59"/>
      <c r="B7448"/>
    </row>
    <row r="7449" spans="1:2">
      <c r="A7449" s="59"/>
      <c r="B7449"/>
    </row>
    <row r="7450" spans="1:2">
      <c r="A7450" s="59"/>
      <c r="B7450"/>
    </row>
    <row r="7451" spans="1:2">
      <c r="A7451" s="59"/>
      <c r="B7451"/>
    </row>
    <row r="7452" spans="1:2">
      <c r="A7452" s="59"/>
      <c r="B7452"/>
    </row>
    <row r="7453" spans="1:2">
      <c r="A7453" s="59"/>
      <c r="B7453"/>
    </row>
    <row r="7454" spans="1:2">
      <c r="A7454" s="59"/>
      <c r="B7454"/>
    </row>
    <row r="7455" spans="1:2">
      <c r="A7455" s="59"/>
      <c r="B7455"/>
    </row>
    <row r="7456" spans="1:2">
      <c r="A7456" s="59"/>
      <c r="B7456"/>
    </row>
    <row r="7457" spans="1:2">
      <c r="A7457" s="59"/>
      <c r="B7457"/>
    </row>
    <row r="7458" spans="1:2">
      <c r="A7458" s="59"/>
      <c r="B7458"/>
    </row>
    <row r="7459" spans="1:2">
      <c r="A7459" s="59"/>
      <c r="B7459"/>
    </row>
    <row r="7460" spans="1:2">
      <c r="A7460" s="59"/>
      <c r="B7460"/>
    </row>
    <row r="7461" spans="1:2">
      <c r="A7461" s="59"/>
      <c r="B7461"/>
    </row>
    <row r="7462" spans="1:2">
      <c r="A7462" s="59"/>
      <c r="B7462"/>
    </row>
    <row r="7463" spans="1:2">
      <c r="A7463" s="59"/>
      <c r="B7463"/>
    </row>
    <row r="7464" spans="1:2">
      <c r="A7464" s="59"/>
      <c r="B7464"/>
    </row>
    <row r="7465" spans="1:2">
      <c r="A7465" s="59"/>
      <c r="B7465"/>
    </row>
    <row r="7466" spans="1:2">
      <c r="A7466" s="59"/>
      <c r="B7466"/>
    </row>
    <row r="7467" spans="1:2">
      <c r="A7467" s="59"/>
      <c r="B7467"/>
    </row>
    <row r="7468" spans="1:2">
      <c r="A7468" s="59"/>
      <c r="B7468"/>
    </row>
    <row r="7469" spans="1:2">
      <c r="A7469" s="59"/>
      <c r="B7469"/>
    </row>
    <row r="7470" spans="1:2">
      <c r="A7470" s="59"/>
      <c r="B7470"/>
    </row>
    <row r="7471" spans="1:2">
      <c r="A7471" s="59"/>
      <c r="B7471"/>
    </row>
    <row r="7472" spans="1:2">
      <c r="A7472" s="59"/>
      <c r="B7472"/>
    </row>
    <row r="7473" spans="1:2">
      <c r="A7473" s="59"/>
      <c r="B7473"/>
    </row>
    <row r="7474" spans="1:2">
      <c r="A7474" s="59"/>
      <c r="B7474"/>
    </row>
    <row r="7475" spans="1:2">
      <c r="A7475" s="59"/>
      <c r="B7475"/>
    </row>
    <row r="7476" spans="1:2">
      <c r="A7476" s="59"/>
      <c r="B7476"/>
    </row>
    <row r="7477" spans="1:2">
      <c r="A7477" s="59"/>
      <c r="B7477"/>
    </row>
    <row r="7478" spans="1:2">
      <c r="A7478" s="59"/>
      <c r="B7478"/>
    </row>
    <row r="7479" spans="1:2">
      <c r="A7479" s="59"/>
      <c r="B7479"/>
    </row>
    <row r="7480" spans="1:2">
      <c r="A7480" s="59"/>
      <c r="B7480"/>
    </row>
    <row r="7481" spans="1:2">
      <c r="A7481" s="59"/>
      <c r="B7481"/>
    </row>
    <row r="7482" spans="1:2">
      <c r="A7482" s="59"/>
      <c r="B7482"/>
    </row>
    <row r="7483" spans="1:2">
      <c r="A7483" s="59"/>
      <c r="B7483"/>
    </row>
    <row r="7484" spans="1:2">
      <c r="A7484" s="59"/>
      <c r="B7484"/>
    </row>
    <row r="7485" spans="1:2">
      <c r="A7485" s="59"/>
      <c r="B7485"/>
    </row>
    <row r="7486" spans="1:2">
      <c r="A7486" s="59"/>
      <c r="B7486"/>
    </row>
    <row r="7487" spans="1:2">
      <c r="A7487" s="59"/>
      <c r="B7487"/>
    </row>
    <row r="7488" spans="1:2">
      <c r="A7488" s="59"/>
      <c r="B7488"/>
    </row>
    <row r="7489" spans="1:2">
      <c r="A7489" s="59"/>
      <c r="B7489"/>
    </row>
    <row r="7490" spans="1:2">
      <c r="A7490" s="59"/>
      <c r="B7490"/>
    </row>
    <row r="7491" spans="1:2">
      <c r="A7491" s="59"/>
      <c r="B7491"/>
    </row>
    <row r="7492" spans="1:2">
      <c r="A7492" s="59"/>
      <c r="B7492"/>
    </row>
    <row r="7493" spans="1:2">
      <c r="A7493" s="59"/>
      <c r="B7493"/>
    </row>
    <row r="7494" spans="1:2">
      <c r="A7494" s="59"/>
      <c r="B7494"/>
    </row>
    <row r="7495" spans="1:2">
      <c r="A7495" s="59"/>
      <c r="B7495"/>
    </row>
    <row r="7496" spans="1:2">
      <c r="A7496" s="59"/>
      <c r="B7496"/>
    </row>
    <row r="7497" spans="1:2">
      <c r="A7497" s="59"/>
      <c r="B7497"/>
    </row>
    <row r="7498" spans="1:2">
      <c r="A7498" s="59"/>
      <c r="B7498"/>
    </row>
    <row r="7499" spans="1:2">
      <c r="A7499" s="59"/>
      <c r="B7499"/>
    </row>
    <row r="7500" spans="1:2">
      <c r="A7500" s="59"/>
      <c r="B7500"/>
    </row>
    <row r="7501" spans="1:2">
      <c r="A7501" s="59"/>
      <c r="B7501"/>
    </row>
    <row r="7502" spans="1:2">
      <c r="A7502" s="59"/>
      <c r="B7502"/>
    </row>
    <row r="7503" spans="1:2">
      <c r="A7503" s="59"/>
      <c r="B7503"/>
    </row>
    <row r="7504" spans="1:2">
      <c r="A7504" s="59"/>
      <c r="B7504"/>
    </row>
    <row r="7505" spans="1:2">
      <c r="A7505" s="59"/>
      <c r="B7505"/>
    </row>
    <row r="7506" spans="1:2">
      <c r="A7506" s="59"/>
      <c r="B7506"/>
    </row>
    <row r="7507" spans="1:2">
      <c r="A7507" s="59"/>
      <c r="B7507"/>
    </row>
    <row r="7508" spans="1:2">
      <c r="A7508" s="59"/>
      <c r="B7508"/>
    </row>
    <row r="7509" spans="1:2">
      <c r="A7509" s="59"/>
      <c r="B7509"/>
    </row>
    <row r="7510" spans="1:2">
      <c r="A7510" s="59"/>
      <c r="B7510"/>
    </row>
    <row r="7511" spans="1:2">
      <c r="A7511" s="59"/>
      <c r="B7511"/>
    </row>
    <row r="7512" spans="1:2">
      <c r="A7512" s="59"/>
      <c r="B7512"/>
    </row>
    <row r="7513" spans="1:2">
      <c r="A7513" s="59"/>
      <c r="B7513"/>
    </row>
    <row r="7514" spans="1:2">
      <c r="A7514" s="59"/>
      <c r="B7514"/>
    </row>
    <row r="7515" spans="1:2">
      <c r="A7515" s="59"/>
      <c r="B7515"/>
    </row>
    <row r="7516" spans="1:2">
      <c r="A7516" s="59"/>
      <c r="B7516"/>
    </row>
    <row r="7517" spans="1:2">
      <c r="A7517" s="59"/>
      <c r="B7517"/>
    </row>
    <row r="7518" spans="1:2">
      <c r="A7518" s="59"/>
      <c r="B7518"/>
    </row>
    <row r="7519" spans="1:2">
      <c r="A7519" s="59"/>
      <c r="B7519"/>
    </row>
    <row r="7520" spans="1:2">
      <c r="A7520" s="59"/>
      <c r="B7520"/>
    </row>
    <row r="7521" spans="1:2">
      <c r="A7521" s="59"/>
      <c r="B7521"/>
    </row>
    <row r="7522" spans="1:2">
      <c r="A7522" s="59"/>
      <c r="B7522"/>
    </row>
    <row r="7523" spans="1:2">
      <c r="A7523" s="59"/>
      <c r="B7523"/>
    </row>
    <row r="7524" spans="1:2">
      <c r="A7524" s="59"/>
      <c r="B7524"/>
    </row>
    <row r="7525" spans="1:2">
      <c r="A7525" s="59"/>
      <c r="B7525"/>
    </row>
    <row r="7526" spans="1:2">
      <c r="A7526" s="59"/>
      <c r="B7526"/>
    </row>
    <row r="7527" spans="1:2">
      <c r="A7527" s="59"/>
      <c r="B7527"/>
    </row>
    <row r="7528" spans="1:2">
      <c r="A7528" s="59"/>
      <c r="B7528"/>
    </row>
    <row r="7529" spans="1:2">
      <c r="A7529" s="59"/>
      <c r="B7529"/>
    </row>
    <row r="7530" spans="1:2">
      <c r="A7530" s="59"/>
      <c r="B7530"/>
    </row>
    <row r="7531" spans="1:2">
      <c r="A7531" s="59"/>
      <c r="B7531"/>
    </row>
    <row r="7532" spans="1:2">
      <c r="A7532" s="59"/>
      <c r="B7532"/>
    </row>
    <row r="7533" spans="1:2">
      <c r="A7533" s="59"/>
      <c r="B7533"/>
    </row>
    <row r="7534" spans="1:2">
      <c r="A7534" s="59"/>
      <c r="B7534"/>
    </row>
    <row r="7535" spans="1:2">
      <c r="A7535" s="59"/>
      <c r="B7535"/>
    </row>
    <row r="7536" spans="1:2">
      <c r="A7536" s="59"/>
      <c r="B7536"/>
    </row>
    <row r="7537" spans="1:2">
      <c r="A7537" s="59"/>
      <c r="B7537"/>
    </row>
    <row r="7538" spans="1:2">
      <c r="A7538" s="59"/>
      <c r="B7538"/>
    </row>
    <row r="7539" spans="1:2">
      <c r="A7539" s="59"/>
      <c r="B7539"/>
    </row>
    <row r="7540" spans="1:2">
      <c r="A7540" s="59"/>
      <c r="B7540"/>
    </row>
    <row r="7541" spans="1:2">
      <c r="A7541" s="59"/>
      <c r="B7541"/>
    </row>
    <row r="7542" spans="1:2">
      <c r="A7542" s="59"/>
      <c r="B7542"/>
    </row>
    <row r="7543" spans="1:2">
      <c r="A7543" s="59"/>
      <c r="B7543"/>
    </row>
    <row r="7544" spans="1:2">
      <c r="A7544" s="59"/>
      <c r="B7544"/>
    </row>
    <row r="7545" spans="1:2">
      <c r="A7545" s="59"/>
      <c r="B7545"/>
    </row>
    <row r="7546" spans="1:2">
      <c r="A7546" s="59"/>
      <c r="B7546"/>
    </row>
    <row r="7547" spans="1:2">
      <c r="A7547" s="59"/>
      <c r="B7547"/>
    </row>
    <row r="7548" spans="1:2">
      <c r="A7548" s="59"/>
      <c r="B7548"/>
    </row>
    <row r="7549" spans="1:2">
      <c r="A7549" s="59"/>
      <c r="B7549"/>
    </row>
    <row r="7550" spans="1:2">
      <c r="A7550" s="59"/>
      <c r="B7550"/>
    </row>
    <row r="7551" spans="1:2">
      <c r="A7551" s="59"/>
      <c r="B7551"/>
    </row>
    <row r="7552" spans="1:2">
      <c r="A7552" s="59"/>
      <c r="B7552"/>
    </row>
    <row r="7553" spans="1:2">
      <c r="A7553" s="59"/>
      <c r="B7553"/>
    </row>
    <row r="7554" spans="1:2">
      <c r="A7554" s="59"/>
      <c r="B7554"/>
    </row>
    <row r="7555" spans="1:2">
      <c r="A7555" s="59"/>
      <c r="B7555"/>
    </row>
    <row r="7556" spans="1:2">
      <c r="A7556" s="59"/>
      <c r="B7556"/>
    </row>
    <row r="7557" spans="1:2">
      <c r="A7557" s="59"/>
      <c r="B7557"/>
    </row>
    <row r="7558" spans="1:2">
      <c r="A7558" s="59"/>
      <c r="B7558"/>
    </row>
    <row r="7559" spans="1:2">
      <c r="A7559" s="59"/>
      <c r="B7559"/>
    </row>
    <row r="7560" spans="1:2">
      <c r="A7560" s="59"/>
      <c r="B7560"/>
    </row>
    <row r="7561" spans="1:2">
      <c r="A7561" s="59"/>
      <c r="B7561"/>
    </row>
    <row r="7562" spans="1:2">
      <c r="A7562" s="59"/>
      <c r="B7562"/>
    </row>
    <row r="7563" spans="1:2">
      <c r="A7563" s="59"/>
      <c r="B7563"/>
    </row>
    <row r="7564" spans="1:2">
      <c r="A7564" s="59"/>
      <c r="B7564"/>
    </row>
    <row r="7565" spans="1:2">
      <c r="A7565" s="59"/>
      <c r="B7565"/>
    </row>
    <row r="7566" spans="1:2">
      <c r="A7566" s="59"/>
      <c r="B7566"/>
    </row>
    <row r="7567" spans="1:2">
      <c r="A7567" s="59"/>
      <c r="B7567"/>
    </row>
    <row r="7568" spans="1:2">
      <c r="A7568" s="59"/>
      <c r="B7568"/>
    </row>
    <row r="7569" spans="1:2">
      <c r="A7569" s="59"/>
      <c r="B7569"/>
    </row>
    <row r="7570" spans="1:2">
      <c r="A7570" s="59"/>
      <c r="B7570"/>
    </row>
    <row r="7571" spans="1:2">
      <c r="A7571" s="59"/>
      <c r="B7571"/>
    </row>
    <row r="7572" spans="1:2">
      <c r="A7572" s="59"/>
      <c r="B7572"/>
    </row>
    <row r="7573" spans="1:2">
      <c r="A7573" s="59"/>
      <c r="B7573"/>
    </row>
    <row r="7574" spans="1:2">
      <c r="A7574" s="59"/>
      <c r="B7574"/>
    </row>
    <row r="7575" spans="1:2">
      <c r="A7575" s="59"/>
      <c r="B7575"/>
    </row>
    <row r="7576" spans="1:2">
      <c r="A7576" s="59"/>
      <c r="B7576"/>
    </row>
    <row r="7577" spans="1:2">
      <c r="A7577" s="59"/>
      <c r="B7577"/>
    </row>
    <row r="7578" spans="1:2">
      <c r="A7578" s="59"/>
      <c r="B7578"/>
    </row>
    <row r="7579" spans="1:2">
      <c r="A7579" s="59"/>
      <c r="B7579"/>
    </row>
    <row r="7580" spans="1:2">
      <c r="A7580" s="59"/>
      <c r="B7580"/>
    </row>
    <row r="7581" spans="1:2">
      <c r="A7581" s="59"/>
      <c r="B7581"/>
    </row>
    <row r="7582" spans="1:2">
      <c r="A7582" s="59"/>
      <c r="B7582"/>
    </row>
    <row r="7583" spans="1:2">
      <c r="A7583" s="59"/>
      <c r="B7583"/>
    </row>
    <row r="7584" spans="1:2">
      <c r="A7584" s="59"/>
      <c r="B7584"/>
    </row>
    <row r="7585" spans="1:2">
      <c r="A7585" s="59"/>
      <c r="B7585"/>
    </row>
    <row r="7586" spans="1:2">
      <c r="A7586" s="59"/>
      <c r="B7586"/>
    </row>
    <row r="7587" spans="1:2">
      <c r="A7587" s="59"/>
      <c r="B7587"/>
    </row>
    <row r="7588" spans="1:2">
      <c r="A7588" s="59"/>
      <c r="B7588"/>
    </row>
    <row r="7589" spans="1:2">
      <c r="A7589" s="59"/>
      <c r="B7589"/>
    </row>
    <row r="7590" spans="1:2">
      <c r="A7590" s="59"/>
      <c r="B7590"/>
    </row>
    <row r="7591" spans="1:2">
      <c r="A7591" s="59"/>
      <c r="B7591"/>
    </row>
    <row r="7592" spans="1:2">
      <c r="A7592" s="59"/>
      <c r="B7592"/>
    </row>
    <row r="7593" spans="1:2">
      <c r="A7593" s="59"/>
      <c r="B7593"/>
    </row>
    <row r="7594" spans="1:2">
      <c r="A7594" s="59"/>
      <c r="B7594"/>
    </row>
    <row r="7595" spans="1:2">
      <c r="A7595" s="59"/>
      <c r="B7595"/>
    </row>
    <row r="7596" spans="1:2">
      <c r="A7596" s="59"/>
      <c r="B7596"/>
    </row>
    <row r="7597" spans="1:2">
      <c r="A7597" s="59"/>
      <c r="B7597"/>
    </row>
    <row r="7598" spans="1:2">
      <c r="A7598" s="59"/>
      <c r="B7598"/>
    </row>
    <row r="7599" spans="1:2">
      <c r="A7599" s="59"/>
      <c r="B7599"/>
    </row>
    <row r="7600" spans="1:2">
      <c r="A7600" s="59"/>
      <c r="B7600"/>
    </row>
    <row r="7601" spans="1:2">
      <c r="A7601" s="59"/>
      <c r="B7601"/>
    </row>
    <row r="7602" spans="1:2">
      <c r="A7602" s="59"/>
      <c r="B7602"/>
    </row>
    <row r="7603" spans="1:2">
      <c r="A7603" s="59"/>
      <c r="B7603"/>
    </row>
    <row r="7604" spans="1:2">
      <c r="A7604" s="59"/>
      <c r="B7604"/>
    </row>
    <row r="7605" spans="1:2">
      <c r="A7605" s="59"/>
      <c r="B7605"/>
    </row>
    <row r="7606" spans="1:2">
      <c r="A7606" s="59"/>
      <c r="B7606"/>
    </row>
    <row r="7607" spans="1:2">
      <c r="A7607" s="59"/>
      <c r="B7607"/>
    </row>
    <row r="7608" spans="1:2">
      <c r="A7608" s="59"/>
      <c r="B7608"/>
    </row>
    <row r="7609" spans="1:2">
      <c r="A7609" s="59"/>
      <c r="B7609"/>
    </row>
    <row r="7610" spans="1:2">
      <c r="A7610" s="59"/>
      <c r="B7610"/>
    </row>
    <row r="7611" spans="1:2">
      <c r="A7611" s="59"/>
      <c r="B7611"/>
    </row>
    <row r="7612" spans="1:2">
      <c r="A7612" s="59"/>
      <c r="B7612"/>
    </row>
    <row r="7613" spans="1:2">
      <c r="A7613" s="59"/>
      <c r="B7613"/>
    </row>
    <row r="7614" spans="1:2">
      <c r="A7614" s="59"/>
      <c r="B7614"/>
    </row>
    <row r="7615" spans="1:2">
      <c r="A7615" s="59"/>
      <c r="B7615"/>
    </row>
    <row r="7616" spans="1:2">
      <c r="A7616" s="59"/>
      <c r="B7616"/>
    </row>
    <row r="7617" spans="1:2">
      <c r="A7617" s="59"/>
      <c r="B7617"/>
    </row>
    <row r="7618" spans="1:2">
      <c r="A7618" s="59"/>
      <c r="B7618"/>
    </row>
    <row r="7619" spans="1:2">
      <c r="A7619" s="59"/>
      <c r="B7619"/>
    </row>
    <row r="7620" spans="1:2">
      <c r="A7620" s="59"/>
      <c r="B7620"/>
    </row>
    <row r="7621" spans="1:2">
      <c r="A7621" s="59"/>
      <c r="B7621"/>
    </row>
    <row r="7622" spans="1:2">
      <c r="A7622" s="59"/>
      <c r="B7622"/>
    </row>
    <row r="7623" spans="1:2">
      <c r="A7623" s="59"/>
      <c r="B7623"/>
    </row>
    <row r="7624" spans="1:2">
      <c r="A7624" s="59"/>
      <c r="B7624"/>
    </row>
    <row r="7625" spans="1:2">
      <c r="A7625" s="59"/>
      <c r="B7625"/>
    </row>
    <row r="7626" spans="1:2">
      <c r="A7626" s="59"/>
      <c r="B7626"/>
    </row>
    <row r="7627" spans="1:2">
      <c r="A7627" s="59"/>
      <c r="B7627"/>
    </row>
    <row r="7628" spans="1:2">
      <c r="A7628" s="59"/>
      <c r="B7628"/>
    </row>
    <row r="7629" spans="1:2">
      <c r="A7629" s="59"/>
      <c r="B7629"/>
    </row>
    <row r="7630" spans="1:2">
      <c r="A7630" s="59"/>
      <c r="B7630"/>
    </row>
    <row r="7631" spans="1:2">
      <c r="A7631" s="59"/>
      <c r="B7631"/>
    </row>
    <row r="7632" spans="1:2">
      <c r="A7632" s="59"/>
      <c r="B7632"/>
    </row>
    <row r="7633" spans="1:2">
      <c r="A7633" s="59"/>
      <c r="B7633"/>
    </row>
    <row r="7634" spans="1:2">
      <c r="A7634" s="59"/>
      <c r="B7634"/>
    </row>
    <row r="7635" spans="1:2">
      <c r="A7635" s="59"/>
      <c r="B7635"/>
    </row>
    <row r="7636" spans="1:2">
      <c r="A7636" s="59"/>
      <c r="B7636"/>
    </row>
    <row r="7637" spans="1:2">
      <c r="A7637" s="59"/>
      <c r="B7637"/>
    </row>
    <row r="7638" spans="1:2">
      <c r="A7638" s="59"/>
      <c r="B7638"/>
    </row>
    <row r="7639" spans="1:2">
      <c r="A7639" s="59"/>
      <c r="B7639"/>
    </row>
    <row r="7640" spans="1:2">
      <c r="A7640" s="59"/>
      <c r="B7640"/>
    </row>
    <row r="7641" spans="1:2">
      <c r="A7641" s="59"/>
      <c r="B7641"/>
    </row>
    <row r="7642" spans="1:2">
      <c r="A7642" s="59"/>
      <c r="B7642"/>
    </row>
    <row r="7643" spans="1:2">
      <c r="A7643" s="59"/>
      <c r="B7643"/>
    </row>
    <row r="7644" spans="1:2">
      <c r="A7644" s="59"/>
      <c r="B7644"/>
    </row>
    <row r="7645" spans="1:2">
      <c r="A7645" s="59"/>
      <c r="B7645"/>
    </row>
    <row r="7646" spans="1:2">
      <c r="A7646" s="59"/>
      <c r="B7646"/>
    </row>
    <row r="7647" spans="1:2">
      <c r="A7647" s="59"/>
      <c r="B7647"/>
    </row>
    <row r="7648" spans="1:2">
      <c r="A7648" s="59"/>
      <c r="B7648"/>
    </row>
    <row r="7649" spans="1:2">
      <c r="A7649" s="59"/>
      <c r="B7649"/>
    </row>
    <row r="7650" spans="1:2">
      <c r="A7650" s="59"/>
      <c r="B7650"/>
    </row>
    <row r="7651" spans="1:2">
      <c r="A7651" s="59"/>
      <c r="B7651"/>
    </row>
    <row r="7652" spans="1:2">
      <c r="A7652" s="59"/>
      <c r="B7652"/>
    </row>
    <row r="7653" spans="1:2">
      <c r="A7653" s="59"/>
      <c r="B7653"/>
    </row>
    <row r="7654" spans="1:2">
      <c r="A7654" s="59"/>
      <c r="B7654"/>
    </row>
    <row r="7655" spans="1:2">
      <c r="A7655" s="59"/>
      <c r="B7655"/>
    </row>
    <row r="7656" spans="1:2">
      <c r="A7656" s="59"/>
      <c r="B7656"/>
    </row>
    <row r="7657" spans="1:2">
      <c r="A7657" s="59"/>
      <c r="B7657"/>
    </row>
    <row r="7658" spans="1:2">
      <c r="A7658" s="59"/>
      <c r="B7658"/>
    </row>
    <row r="7659" spans="1:2">
      <c r="A7659" s="59"/>
      <c r="B7659"/>
    </row>
    <row r="7660" spans="1:2">
      <c r="A7660" s="59"/>
      <c r="B7660"/>
    </row>
    <row r="7661" spans="1:2">
      <c r="A7661" s="59"/>
      <c r="B7661"/>
    </row>
    <row r="7662" spans="1:2">
      <c r="A7662" s="59"/>
      <c r="B7662"/>
    </row>
    <row r="7663" spans="1:2">
      <c r="A7663" s="59"/>
      <c r="B7663"/>
    </row>
    <row r="7664" spans="1:2">
      <c r="A7664" s="59"/>
      <c r="B7664"/>
    </row>
    <row r="7665" spans="1:2">
      <c r="A7665" s="59"/>
      <c r="B7665"/>
    </row>
    <row r="7666" spans="1:2">
      <c r="A7666" s="59"/>
      <c r="B7666"/>
    </row>
    <row r="7667" spans="1:2">
      <c r="A7667" s="59"/>
      <c r="B7667"/>
    </row>
    <row r="7668" spans="1:2">
      <c r="A7668" s="59"/>
      <c r="B7668"/>
    </row>
    <row r="7669" spans="1:2">
      <c r="A7669" s="59"/>
      <c r="B7669"/>
    </row>
    <row r="7670" spans="1:2">
      <c r="A7670" s="59"/>
      <c r="B7670"/>
    </row>
    <row r="7671" spans="1:2">
      <c r="A7671" s="59"/>
      <c r="B7671"/>
    </row>
    <row r="7672" spans="1:2">
      <c r="A7672" s="59"/>
      <c r="B7672"/>
    </row>
    <row r="7673" spans="1:2">
      <c r="A7673" s="59"/>
      <c r="B7673"/>
    </row>
    <row r="7674" spans="1:2">
      <c r="A7674" s="59"/>
      <c r="B7674"/>
    </row>
    <row r="7675" spans="1:2">
      <c r="A7675" s="59"/>
      <c r="B7675"/>
    </row>
    <row r="7676" spans="1:2">
      <c r="A7676" s="59"/>
      <c r="B7676"/>
    </row>
    <row r="7677" spans="1:2">
      <c r="A7677" s="59"/>
      <c r="B7677"/>
    </row>
    <row r="7678" spans="1:2">
      <c r="A7678" s="59"/>
      <c r="B7678"/>
    </row>
    <row r="7679" spans="1:2">
      <c r="A7679" s="59"/>
      <c r="B7679"/>
    </row>
    <row r="7680" spans="1:2">
      <c r="A7680" s="59"/>
      <c r="B7680"/>
    </row>
    <row r="7681" spans="1:2">
      <c r="A7681" s="59"/>
      <c r="B7681"/>
    </row>
    <row r="7682" spans="1:2">
      <c r="A7682" s="59"/>
      <c r="B7682"/>
    </row>
    <row r="7683" spans="1:2">
      <c r="A7683" s="59"/>
      <c r="B7683"/>
    </row>
    <row r="7684" spans="1:2">
      <c r="A7684" s="59"/>
      <c r="B7684"/>
    </row>
    <row r="7685" spans="1:2">
      <c r="A7685" s="59"/>
      <c r="B7685"/>
    </row>
    <row r="7686" spans="1:2">
      <c r="A7686" s="59"/>
      <c r="B7686"/>
    </row>
    <row r="7687" spans="1:2">
      <c r="A7687" s="59"/>
      <c r="B7687"/>
    </row>
    <row r="7688" spans="1:2">
      <c r="A7688" s="59"/>
      <c r="B7688"/>
    </row>
    <row r="7689" spans="1:2">
      <c r="A7689" s="59"/>
      <c r="B7689"/>
    </row>
    <row r="7690" spans="1:2">
      <c r="A7690" s="59"/>
      <c r="B7690"/>
    </row>
    <row r="7691" spans="1:2">
      <c r="A7691" s="59"/>
      <c r="B7691"/>
    </row>
    <row r="7692" spans="1:2">
      <c r="A7692" s="59"/>
      <c r="B7692"/>
    </row>
    <row r="7693" spans="1:2">
      <c r="A7693" s="59"/>
      <c r="B7693"/>
    </row>
    <row r="7694" spans="1:2">
      <c r="A7694" s="59"/>
      <c r="B7694"/>
    </row>
    <row r="7695" spans="1:2">
      <c r="A7695" s="59"/>
      <c r="B7695"/>
    </row>
    <row r="7696" spans="1:2">
      <c r="A7696" s="59"/>
      <c r="B7696"/>
    </row>
    <row r="7697" spans="1:2">
      <c r="A7697" s="59"/>
      <c r="B7697"/>
    </row>
    <row r="7698" spans="1:2">
      <c r="A7698" s="59"/>
      <c r="B7698"/>
    </row>
    <row r="7699" spans="1:2">
      <c r="A7699" s="59"/>
      <c r="B7699"/>
    </row>
    <row r="7700" spans="1:2">
      <c r="A7700" s="59"/>
      <c r="B7700"/>
    </row>
    <row r="7701" spans="1:2">
      <c r="A7701" s="59"/>
      <c r="B7701"/>
    </row>
    <row r="7702" spans="1:2">
      <c r="A7702" s="59"/>
      <c r="B7702"/>
    </row>
    <row r="7703" spans="1:2">
      <c r="A7703" s="59"/>
      <c r="B7703"/>
    </row>
    <row r="7704" spans="1:2">
      <c r="A7704" s="59"/>
      <c r="B7704"/>
    </row>
    <row r="7705" spans="1:2">
      <c r="A7705" s="59"/>
      <c r="B7705"/>
    </row>
    <row r="7706" spans="1:2">
      <c r="A7706" s="59"/>
      <c r="B7706"/>
    </row>
    <row r="7707" spans="1:2">
      <c r="A7707" s="59"/>
      <c r="B7707"/>
    </row>
    <row r="7708" spans="1:2">
      <c r="A7708" s="59"/>
      <c r="B7708"/>
    </row>
    <row r="7709" spans="1:2">
      <c r="A7709" s="59"/>
      <c r="B7709"/>
    </row>
    <row r="7710" spans="1:2">
      <c r="A7710" s="59"/>
      <c r="B7710"/>
    </row>
    <row r="7711" spans="1:2">
      <c r="A7711" s="59"/>
      <c r="B7711"/>
    </row>
    <row r="7712" spans="1:2">
      <c r="A7712" s="59"/>
      <c r="B7712"/>
    </row>
    <row r="7713" spans="1:2">
      <c r="A7713" s="59"/>
      <c r="B7713"/>
    </row>
    <row r="7714" spans="1:2">
      <c r="A7714" s="59"/>
      <c r="B7714"/>
    </row>
    <row r="7715" spans="1:2">
      <c r="A7715" s="59"/>
      <c r="B7715"/>
    </row>
    <row r="7716" spans="1:2">
      <c r="A7716" s="59"/>
      <c r="B7716"/>
    </row>
    <row r="7717" spans="1:2">
      <c r="A7717" s="59"/>
      <c r="B7717"/>
    </row>
    <row r="7718" spans="1:2">
      <c r="A7718" s="59"/>
      <c r="B7718"/>
    </row>
    <row r="7719" spans="1:2">
      <c r="A7719" s="59"/>
      <c r="B7719"/>
    </row>
    <row r="7720" spans="1:2">
      <c r="A7720" s="59"/>
      <c r="B7720"/>
    </row>
    <row r="7721" spans="1:2">
      <c r="A7721" s="59"/>
      <c r="B7721"/>
    </row>
    <row r="7722" spans="1:2">
      <c r="A7722" s="59"/>
      <c r="B7722"/>
    </row>
    <row r="7723" spans="1:2">
      <c r="A7723" s="59"/>
      <c r="B7723"/>
    </row>
    <row r="7724" spans="1:2">
      <c r="A7724" s="59"/>
      <c r="B7724"/>
    </row>
    <row r="7725" spans="1:2">
      <c r="A7725" s="59"/>
      <c r="B7725"/>
    </row>
    <row r="7726" spans="1:2">
      <c r="A7726" s="59"/>
      <c r="B7726"/>
    </row>
    <row r="7727" spans="1:2">
      <c r="A7727" s="59"/>
      <c r="B7727"/>
    </row>
    <row r="7728" spans="1:2">
      <c r="A7728" s="59"/>
      <c r="B7728"/>
    </row>
    <row r="7729" spans="1:2">
      <c r="A7729" s="59"/>
      <c r="B7729"/>
    </row>
    <row r="7730" spans="1:2">
      <c r="A7730" s="59"/>
      <c r="B7730"/>
    </row>
    <row r="7731" spans="1:2">
      <c r="A7731" s="59"/>
      <c r="B7731"/>
    </row>
    <row r="7732" spans="1:2">
      <c r="A7732" s="59"/>
      <c r="B7732"/>
    </row>
    <row r="7733" spans="1:2">
      <c r="A7733" s="59"/>
      <c r="B7733"/>
    </row>
    <row r="7734" spans="1:2">
      <c r="A7734" s="59"/>
      <c r="B7734"/>
    </row>
    <row r="7735" spans="1:2">
      <c r="A7735" s="59"/>
      <c r="B7735"/>
    </row>
    <row r="7736" spans="1:2">
      <c r="A7736" s="59"/>
      <c r="B7736"/>
    </row>
    <row r="7737" spans="1:2">
      <c r="A7737" s="59"/>
      <c r="B7737"/>
    </row>
    <row r="7738" spans="1:2">
      <c r="A7738" s="59"/>
      <c r="B7738"/>
    </row>
    <row r="7739" spans="1:2">
      <c r="A7739" s="59"/>
      <c r="B7739"/>
    </row>
    <row r="7740" spans="1:2">
      <c r="A7740" s="59"/>
      <c r="B7740"/>
    </row>
    <row r="7741" spans="1:2">
      <c r="A7741" s="59"/>
      <c r="B7741"/>
    </row>
    <row r="7742" spans="1:2">
      <c r="A7742" s="59"/>
      <c r="B7742"/>
    </row>
    <row r="7743" spans="1:2">
      <c r="A7743" s="59"/>
      <c r="B7743"/>
    </row>
    <row r="7744" spans="1:2">
      <c r="A7744" s="59"/>
      <c r="B7744"/>
    </row>
    <row r="7745" spans="1:2">
      <c r="A7745" s="59"/>
      <c r="B7745"/>
    </row>
    <row r="7746" spans="1:2">
      <c r="A7746" s="59"/>
      <c r="B7746"/>
    </row>
    <row r="7747" spans="1:2">
      <c r="A7747" s="59"/>
      <c r="B7747"/>
    </row>
    <row r="7748" spans="1:2">
      <c r="A7748" s="59"/>
      <c r="B7748"/>
    </row>
    <row r="7749" spans="1:2">
      <c r="A7749" s="59"/>
      <c r="B7749"/>
    </row>
    <row r="7750" spans="1:2">
      <c r="A7750" s="59"/>
      <c r="B7750"/>
    </row>
    <row r="7751" spans="1:2">
      <c r="A7751" s="59"/>
      <c r="B7751"/>
    </row>
    <row r="7752" spans="1:2">
      <c r="A7752" s="59"/>
      <c r="B7752"/>
    </row>
    <row r="7753" spans="1:2">
      <c r="A7753" s="59"/>
      <c r="B7753"/>
    </row>
    <row r="7754" spans="1:2">
      <c r="A7754" s="59"/>
      <c r="B7754"/>
    </row>
    <row r="7755" spans="1:2">
      <c r="A7755" s="59"/>
      <c r="B7755"/>
    </row>
    <row r="7756" spans="1:2">
      <c r="A7756" s="59"/>
      <c r="B7756"/>
    </row>
    <row r="7757" spans="1:2">
      <c r="A7757" s="59"/>
      <c r="B7757"/>
    </row>
    <row r="7758" spans="1:2">
      <c r="A7758" s="59"/>
      <c r="B7758"/>
    </row>
    <row r="7759" spans="1:2">
      <c r="A7759" s="59"/>
      <c r="B7759"/>
    </row>
    <row r="7760" spans="1:2">
      <c r="A7760" s="59"/>
      <c r="B7760"/>
    </row>
    <row r="7761" spans="1:2">
      <c r="A7761" s="59"/>
      <c r="B7761"/>
    </row>
    <row r="7762" spans="1:2">
      <c r="A7762" s="59"/>
      <c r="B7762"/>
    </row>
    <row r="7763" spans="1:2">
      <c r="A7763" s="59"/>
      <c r="B7763"/>
    </row>
    <row r="7764" spans="1:2">
      <c r="A7764" s="59"/>
      <c r="B7764"/>
    </row>
    <row r="7765" spans="1:2">
      <c r="A7765" s="59"/>
      <c r="B7765"/>
    </row>
    <row r="7766" spans="1:2">
      <c r="A7766" s="59"/>
      <c r="B7766"/>
    </row>
    <row r="7767" spans="1:2">
      <c r="A7767" s="59"/>
      <c r="B7767"/>
    </row>
    <row r="7768" spans="1:2">
      <c r="A7768" s="59"/>
      <c r="B7768"/>
    </row>
    <row r="7769" spans="1:2">
      <c r="A7769" s="59"/>
      <c r="B7769"/>
    </row>
    <row r="7770" spans="1:2">
      <c r="A7770" s="59"/>
      <c r="B7770"/>
    </row>
    <row r="7771" spans="1:2">
      <c r="A7771" s="59"/>
      <c r="B7771"/>
    </row>
    <row r="7772" spans="1:2">
      <c r="A7772" s="59"/>
      <c r="B7772"/>
    </row>
    <row r="7773" spans="1:2">
      <c r="A7773" s="59"/>
      <c r="B7773"/>
    </row>
    <row r="7774" spans="1:2">
      <c r="A7774" s="59"/>
      <c r="B7774"/>
    </row>
    <row r="7775" spans="1:2">
      <c r="A7775" s="59"/>
      <c r="B7775"/>
    </row>
    <row r="7776" spans="1:2">
      <c r="A7776" s="59"/>
      <c r="B7776"/>
    </row>
    <row r="7777" spans="1:2">
      <c r="A7777" s="59"/>
      <c r="B7777"/>
    </row>
    <row r="7778" spans="1:2">
      <c r="A7778" s="59"/>
      <c r="B7778"/>
    </row>
    <row r="7779" spans="1:2">
      <c r="A7779" s="59"/>
      <c r="B7779"/>
    </row>
    <row r="7780" spans="1:2">
      <c r="A7780" s="59"/>
      <c r="B7780"/>
    </row>
    <row r="7781" spans="1:2">
      <c r="A7781" s="59"/>
      <c r="B7781"/>
    </row>
    <row r="7782" spans="1:2">
      <c r="A7782" s="59"/>
      <c r="B7782"/>
    </row>
    <row r="7783" spans="1:2">
      <c r="A7783" s="59"/>
      <c r="B7783"/>
    </row>
    <row r="7784" spans="1:2">
      <c r="A7784" s="59"/>
      <c r="B7784"/>
    </row>
    <row r="7785" spans="1:2">
      <c r="A7785" s="59"/>
      <c r="B7785"/>
    </row>
    <row r="7786" spans="1:2">
      <c r="A7786" s="59"/>
      <c r="B7786"/>
    </row>
    <row r="7787" spans="1:2">
      <c r="A7787" s="59"/>
      <c r="B7787"/>
    </row>
    <row r="7788" spans="1:2">
      <c r="A7788" s="59"/>
      <c r="B7788"/>
    </row>
    <row r="7789" spans="1:2">
      <c r="A7789" s="59"/>
      <c r="B7789"/>
    </row>
    <row r="7790" spans="1:2">
      <c r="A7790" s="59"/>
      <c r="B7790"/>
    </row>
    <row r="7791" spans="1:2">
      <c r="A7791" s="59"/>
      <c r="B7791"/>
    </row>
    <row r="7792" spans="1:2">
      <c r="A7792" s="59"/>
      <c r="B7792"/>
    </row>
    <row r="7793" spans="1:2">
      <c r="A7793" s="59"/>
      <c r="B7793"/>
    </row>
    <row r="7794" spans="1:2">
      <c r="A7794" s="59"/>
      <c r="B7794"/>
    </row>
    <row r="7795" spans="1:2">
      <c r="A7795" s="59"/>
      <c r="B7795"/>
    </row>
    <row r="7796" spans="1:2">
      <c r="A7796" s="59"/>
      <c r="B7796"/>
    </row>
    <row r="7797" spans="1:2">
      <c r="A7797" s="59"/>
      <c r="B7797"/>
    </row>
    <row r="7798" spans="1:2">
      <c r="A7798" s="59"/>
      <c r="B7798"/>
    </row>
    <row r="7799" spans="1:2">
      <c r="A7799" s="59"/>
      <c r="B7799"/>
    </row>
    <row r="7800" spans="1:2">
      <c r="A7800" s="59"/>
      <c r="B7800"/>
    </row>
    <row r="7801" spans="1:2">
      <c r="A7801" s="59"/>
      <c r="B7801"/>
    </row>
    <row r="7802" spans="1:2">
      <c r="A7802" s="59"/>
      <c r="B7802"/>
    </row>
    <row r="7803" spans="1:2">
      <c r="A7803" s="59"/>
      <c r="B7803"/>
    </row>
    <row r="7804" spans="1:2">
      <c r="A7804" s="59"/>
      <c r="B7804"/>
    </row>
    <row r="7805" spans="1:2">
      <c r="A7805" s="59"/>
      <c r="B7805"/>
    </row>
    <row r="7806" spans="1:2">
      <c r="A7806" s="59"/>
      <c r="B7806"/>
    </row>
    <row r="7807" spans="1:2">
      <c r="A7807" s="59"/>
      <c r="B7807"/>
    </row>
    <row r="7808" spans="1:2">
      <c r="A7808" s="59"/>
      <c r="B7808"/>
    </row>
    <row r="7809" spans="1:2">
      <c r="A7809" s="59"/>
      <c r="B7809"/>
    </row>
    <row r="7810" spans="1:2">
      <c r="A7810" s="59"/>
      <c r="B7810"/>
    </row>
    <row r="7811" spans="1:2">
      <c r="A7811" s="59"/>
      <c r="B7811"/>
    </row>
    <row r="7812" spans="1:2">
      <c r="A7812" s="59"/>
      <c r="B7812"/>
    </row>
    <row r="7813" spans="1:2">
      <c r="A7813" s="59"/>
      <c r="B7813"/>
    </row>
    <row r="7814" spans="1:2">
      <c r="A7814" s="59"/>
      <c r="B7814"/>
    </row>
    <row r="7815" spans="1:2">
      <c r="A7815" s="59"/>
      <c r="B7815"/>
    </row>
    <row r="7816" spans="1:2">
      <c r="A7816" s="59"/>
      <c r="B7816"/>
    </row>
    <row r="7817" spans="1:2">
      <c r="A7817" s="59"/>
      <c r="B7817"/>
    </row>
    <row r="7818" spans="1:2">
      <c r="A7818" s="59"/>
      <c r="B7818"/>
    </row>
    <row r="7819" spans="1:2">
      <c r="A7819" s="59"/>
      <c r="B7819"/>
    </row>
    <row r="7820" spans="1:2">
      <c r="A7820" s="59"/>
      <c r="B7820"/>
    </row>
    <row r="7821" spans="1:2">
      <c r="A7821" s="59"/>
      <c r="B7821"/>
    </row>
    <row r="7822" spans="1:2">
      <c r="A7822" s="59"/>
      <c r="B7822"/>
    </row>
    <row r="7823" spans="1:2">
      <c r="A7823" s="59"/>
      <c r="B7823"/>
    </row>
    <row r="7824" spans="1:2">
      <c r="A7824" s="59"/>
      <c r="B7824"/>
    </row>
    <row r="7825" spans="1:2">
      <c r="A7825" s="59"/>
      <c r="B7825"/>
    </row>
    <row r="7826" spans="1:2">
      <c r="A7826" s="59"/>
      <c r="B7826"/>
    </row>
    <row r="7827" spans="1:2">
      <c r="A7827" s="59"/>
      <c r="B7827"/>
    </row>
    <row r="7828" spans="1:2">
      <c r="A7828" s="59"/>
      <c r="B7828"/>
    </row>
    <row r="7829" spans="1:2">
      <c r="A7829" s="59"/>
      <c r="B7829"/>
    </row>
    <row r="7830" spans="1:2">
      <c r="A7830" s="59"/>
      <c r="B7830"/>
    </row>
    <row r="7831" spans="1:2">
      <c r="A7831" s="59"/>
      <c r="B7831"/>
    </row>
    <row r="7832" spans="1:2">
      <c r="A7832" s="59"/>
      <c r="B7832"/>
    </row>
    <row r="7833" spans="1:2">
      <c r="A7833" s="59"/>
      <c r="B7833"/>
    </row>
    <row r="7834" spans="1:2">
      <c r="A7834" s="59"/>
      <c r="B7834"/>
    </row>
    <row r="7835" spans="1:2">
      <c r="A7835" s="59"/>
      <c r="B7835"/>
    </row>
    <row r="7836" spans="1:2">
      <c r="A7836" s="59"/>
      <c r="B7836"/>
    </row>
    <row r="7837" spans="1:2">
      <c r="A7837" s="59"/>
      <c r="B7837"/>
    </row>
    <row r="7838" spans="1:2">
      <c r="A7838" s="59"/>
      <c r="B7838"/>
    </row>
    <row r="7839" spans="1:2">
      <c r="A7839" s="59"/>
      <c r="B7839"/>
    </row>
    <row r="7840" spans="1:2">
      <c r="A7840" s="59"/>
      <c r="B7840"/>
    </row>
    <row r="7841" spans="1:2">
      <c r="A7841" s="59"/>
      <c r="B7841"/>
    </row>
    <row r="7842" spans="1:2">
      <c r="A7842" s="59"/>
      <c r="B7842"/>
    </row>
    <row r="7843" spans="1:2">
      <c r="A7843" s="59"/>
      <c r="B7843"/>
    </row>
    <row r="7844" spans="1:2">
      <c r="A7844" s="59"/>
      <c r="B7844"/>
    </row>
    <row r="7845" spans="1:2">
      <c r="A7845" s="59"/>
      <c r="B7845"/>
    </row>
    <row r="7846" spans="1:2">
      <c r="A7846" s="59"/>
      <c r="B7846"/>
    </row>
    <row r="7847" spans="1:2">
      <c r="A7847" s="59"/>
      <c r="B7847"/>
    </row>
    <row r="7848" spans="1:2">
      <c r="A7848" s="59"/>
      <c r="B7848"/>
    </row>
    <row r="7849" spans="1:2">
      <c r="A7849" s="59"/>
      <c r="B7849"/>
    </row>
    <row r="7850" spans="1:2">
      <c r="A7850" s="59"/>
      <c r="B7850"/>
    </row>
    <row r="7851" spans="1:2">
      <c r="A7851" s="59"/>
      <c r="B7851"/>
    </row>
    <row r="7852" spans="1:2">
      <c r="A7852" s="59"/>
      <c r="B7852"/>
    </row>
    <row r="7853" spans="1:2">
      <c r="A7853" s="59"/>
      <c r="B7853"/>
    </row>
    <row r="7854" spans="1:2">
      <c r="A7854" s="59"/>
      <c r="B7854"/>
    </row>
    <row r="7855" spans="1:2">
      <c r="A7855" s="59"/>
      <c r="B7855"/>
    </row>
    <row r="7856" spans="1:2">
      <c r="A7856" s="59"/>
      <c r="B7856"/>
    </row>
    <row r="7857" spans="1:2">
      <c r="A7857" s="59"/>
      <c r="B7857"/>
    </row>
    <row r="7858" spans="1:2">
      <c r="A7858" s="59"/>
      <c r="B7858"/>
    </row>
    <row r="7859" spans="1:2">
      <c r="A7859" s="59"/>
      <c r="B7859"/>
    </row>
    <row r="7860" spans="1:2">
      <c r="A7860" s="59"/>
      <c r="B7860"/>
    </row>
    <row r="7861" spans="1:2">
      <c r="A7861" s="59"/>
      <c r="B7861"/>
    </row>
    <row r="7862" spans="1:2">
      <c r="A7862" s="59"/>
      <c r="B7862"/>
    </row>
    <row r="7863" spans="1:2">
      <c r="A7863" s="59"/>
      <c r="B7863"/>
    </row>
    <row r="7864" spans="1:2">
      <c r="A7864" s="59"/>
      <c r="B7864"/>
    </row>
    <row r="7865" spans="1:2">
      <c r="A7865" s="59"/>
      <c r="B7865"/>
    </row>
    <row r="7866" spans="1:2">
      <c r="A7866" s="59"/>
      <c r="B7866"/>
    </row>
    <row r="7867" spans="1:2">
      <c r="A7867" s="59"/>
      <c r="B7867"/>
    </row>
    <row r="7868" spans="1:2">
      <c r="A7868" s="59"/>
      <c r="B7868"/>
    </row>
    <row r="7869" spans="1:2">
      <c r="A7869" s="59"/>
      <c r="B7869"/>
    </row>
    <row r="7870" spans="1:2">
      <c r="A7870" s="59"/>
      <c r="B7870"/>
    </row>
    <row r="7871" spans="1:2">
      <c r="A7871" s="59"/>
      <c r="B7871"/>
    </row>
    <row r="7872" spans="1:2">
      <c r="A7872" s="59"/>
      <c r="B7872"/>
    </row>
    <row r="7873" spans="1:2">
      <c r="A7873" s="59"/>
      <c r="B7873"/>
    </row>
    <row r="7874" spans="1:2">
      <c r="A7874" s="59"/>
      <c r="B7874"/>
    </row>
    <row r="7875" spans="1:2">
      <c r="A7875" s="59"/>
      <c r="B7875"/>
    </row>
    <row r="7876" spans="1:2">
      <c r="A7876" s="59"/>
      <c r="B7876"/>
    </row>
    <row r="7877" spans="1:2">
      <c r="A7877" s="59"/>
      <c r="B7877"/>
    </row>
    <row r="7878" spans="1:2">
      <c r="A7878" s="59"/>
      <c r="B7878"/>
    </row>
    <row r="7879" spans="1:2">
      <c r="A7879" s="59"/>
      <c r="B7879"/>
    </row>
    <row r="7880" spans="1:2">
      <c r="A7880" s="59"/>
      <c r="B7880"/>
    </row>
    <row r="7881" spans="1:2">
      <c r="A7881" s="59"/>
      <c r="B7881"/>
    </row>
    <row r="7882" spans="1:2">
      <c r="A7882" s="59"/>
      <c r="B7882"/>
    </row>
    <row r="7883" spans="1:2">
      <c r="A7883" s="59"/>
      <c r="B7883"/>
    </row>
    <row r="7884" spans="1:2">
      <c r="A7884" s="59"/>
      <c r="B7884"/>
    </row>
    <row r="7885" spans="1:2">
      <c r="A7885" s="59"/>
      <c r="B7885"/>
    </row>
    <row r="7886" spans="1:2">
      <c r="A7886" s="59"/>
      <c r="B7886"/>
    </row>
    <row r="7887" spans="1:2">
      <c r="A7887" s="59"/>
      <c r="B7887"/>
    </row>
    <row r="7888" spans="1:2">
      <c r="A7888" s="59"/>
      <c r="B7888"/>
    </row>
    <row r="7889" spans="1:2">
      <c r="A7889" s="59"/>
      <c r="B7889"/>
    </row>
    <row r="7890" spans="1:2">
      <c r="A7890" s="59"/>
      <c r="B7890"/>
    </row>
    <row r="7891" spans="1:2">
      <c r="A7891" s="59"/>
      <c r="B7891"/>
    </row>
    <row r="7892" spans="1:2">
      <c r="A7892" s="59"/>
      <c r="B7892"/>
    </row>
    <row r="7893" spans="1:2">
      <c r="A7893" s="59"/>
      <c r="B7893"/>
    </row>
    <row r="7894" spans="1:2">
      <c r="A7894" s="59"/>
      <c r="B7894"/>
    </row>
    <row r="7895" spans="1:2">
      <c r="A7895" s="59"/>
      <c r="B7895"/>
    </row>
    <row r="7896" spans="1:2">
      <c r="A7896" s="59"/>
      <c r="B7896"/>
    </row>
    <row r="7897" spans="1:2">
      <c r="A7897" s="59"/>
      <c r="B7897"/>
    </row>
    <row r="7898" spans="1:2">
      <c r="A7898" s="59"/>
      <c r="B7898"/>
    </row>
    <row r="7899" spans="1:2">
      <c r="A7899" s="59"/>
      <c r="B7899"/>
    </row>
    <row r="7900" spans="1:2">
      <c r="A7900" s="59"/>
      <c r="B7900"/>
    </row>
    <row r="7901" spans="1:2">
      <c r="A7901" s="59"/>
      <c r="B7901"/>
    </row>
    <row r="7902" spans="1:2">
      <c r="A7902" s="59"/>
      <c r="B7902"/>
    </row>
    <row r="7903" spans="1:2">
      <c r="A7903" s="59"/>
      <c r="B7903"/>
    </row>
    <row r="7904" spans="1:2">
      <c r="A7904" s="59"/>
      <c r="B7904"/>
    </row>
    <row r="7905" spans="1:2">
      <c r="A7905" s="59"/>
      <c r="B7905"/>
    </row>
    <row r="7906" spans="1:2">
      <c r="A7906" s="59"/>
      <c r="B7906"/>
    </row>
    <row r="7907" spans="1:2">
      <c r="A7907" s="59"/>
      <c r="B7907"/>
    </row>
    <row r="7908" spans="1:2">
      <c r="A7908" s="59"/>
      <c r="B7908"/>
    </row>
    <row r="7909" spans="1:2">
      <c r="A7909" s="59"/>
      <c r="B7909"/>
    </row>
    <row r="7910" spans="1:2">
      <c r="A7910" s="59"/>
      <c r="B7910"/>
    </row>
    <row r="7911" spans="1:2">
      <c r="A7911" s="59"/>
      <c r="B7911"/>
    </row>
    <row r="7912" spans="1:2">
      <c r="A7912" s="59"/>
      <c r="B7912"/>
    </row>
    <row r="7913" spans="1:2">
      <c r="A7913" s="59"/>
      <c r="B7913"/>
    </row>
    <row r="7914" spans="1:2">
      <c r="A7914" s="59"/>
      <c r="B7914"/>
    </row>
    <row r="7915" spans="1:2">
      <c r="A7915" s="59"/>
      <c r="B7915"/>
    </row>
    <row r="7916" spans="1:2">
      <c r="A7916" s="59"/>
      <c r="B7916"/>
    </row>
    <row r="7917" spans="1:2">
      <c r="A7917" s="59"/>
      <c r="B7917"/>
    </row>
    <row r="7918" spans="1:2">
      <c r="A7918" s="59"/>
      <c r="B7918"/>
    </row>
    <row r="7919" spans="1:2">
      <c r="A7919" s="59"/>
      <c r="B7919"/>
    </row>
    <row r="7920" spans="1:2">
      <c r="A7920" s="59"/>
      <c r="B7920"/>
    </row>
    <row r="7921" spans="1:2">
      <c r="A7921" s="59"/>
      <c r="B7921"/>
    </row>
    <row r="7922" spans="1:2">
      <c r="A7922" s="59"/>
      <c r="B7922"/>
    </row>
    <row r="7923" spans="1:2">
      <c r="A7923" s="59"/>
      <c r="B7923"/>
    </row>
    <row r="7924" spans="1:2">
      <c r="A7924" s="59"/>
      <c r="B7924"/>
    </row>
    <row r="7925" spans="1:2">
      <c r="A7925" s="59"/>
      <c r="B7925"/>
    </row>
    <row r="7926" spans="1:2">
      <c r="A7926" s="59"/>
      <c r="B7926"/>
    </row>
    <row r="7927" spans="1:2">
      <c r="A7927" s="59"/>
      <c r="B7927"/>
    </row>
    <row r="7928" spans="1:2">
      <c r="A7928" s="59"/>
      <c r="B7928"/>
    </row>
    <row r="7929" spans="1:2">
      <c r="A7929" s="59"/>
      <c r="B7929"/>
    </row>
    <row r="7930" spans="1:2">
      <c r="A7930" s="59"/>
      <c r="B7930"/>
    </row>
    <row r="7931" spans="1:2">
      <c r="A7931" s="59"/>
      <c r="B7931"/>
    </row>
    <row r="7932" spans="1:2">
      <c r="A7932" s="59"/>
      <c r="B7932"/>
    </row>
    <row r="7933" spans="1:2">
      <c r="A7933" s="59"/>
      <c r="B7933"/>
    </row>
    <row r="7934" spans="1:2">
      <c r="A7934" s="59"/>
      <c r="B7934"/>
    </row>
    <row r="7935" spans="1:2">
      <c r="A7935" s="59"/>
      <c r="B7935"/>
    </row>
    <row r="7936" spans="1:2">
      <c r="A7936" s="59"/>
      <c r="B7936"/>
    </row>
    <row r="7937" spans="1:2">
      <c r="A7937" s="59"/>
      <c r="B7937"/>
    </row>
    <row r="7938" spans="1:2">
      <c r="A7938" s="59"/>
      <c r="B7938"/>
    </row>
    <row r="7939" spans="1:2">
      <c r="A7939" s="59"/>
      <c r="B7939"/>
    </row>
    <row r="7940" spans="1:2">
      <c r="A7940" s="59"/>
      <c r="B7940"/>
    </row>
    <row r="7941" spans="1:2">
      <c r="A7941" s="59"/>
      <c r="B7941"/>
    </row>
    <row r="7942" spans="1:2">
      <c r="A7942" s="59"/>
      <c r="B7942"/>
    </row>
    <row r="7943" spans="1:2">
      <c r="A7943" s="59"/>
      <c r="B7943"/>
    </row>
    <row r="7944" spans="1:2">
      <c r="A7944" s="59"/>
      <c r="B7944"/>
    </row>
    <row r="7945" spans="1:2">
      <c r="A7945" s="59"/>
      <c r="B7945"/>
    </row>
    <row r="7946" spans="1:2">
      <c r="A7946" s="59"/>
      <c r="B7946"/>
    </row>
    <row r="7947" spans="1:2">
      <c r="A7947" s="59"/>
      <c r="B7947"/>
    </row>
    <row r="7948" spans="1:2">
      <c r="A7948" s="59"/>
      <c r="B7948"/>
    </row>
    <row r="7949" spans="1:2">
      <c r="A7949" s="59"/>
      <c r="B7949"/>
    </row>
    <row r="7950" spans="1:2">
      <c r="A7950" s="59"/>
      <c r="B7950"/>
    </row>
    <row r="7951" spans="1:2">
      <c r="A7951" s="59"/>
      <c r="B7951"/>
    </row>
    <row r="7952" spans="1:2">
      <c r="A7952" s="59"/>
      <c r="B7952"/>
    </row>
    <row r="7953" spans="1:2">
      <c r="A7953" s="59"/>
      <c r="B7953"/>
    </row>
    <row r="7954" spans="1:2">
      <c r="A7954" s="59"/>
      <c r="B7954"/>
    </row>
    <row r="7955" spans="1:2">
      <c r="A7955" s="59"/>
      <c r="B7955"/>
    </row>
    <row r="7956" spans="1:2">
      <c r="A7956" s="59"/>
      <c r="B7956"/>
    </row>
    <row r="7957" spans="1:2">
      <c r="A7957" s="59"/>
      <c r="B7957"/>
    </row>
    <row r="7958" spans="1:2">
      <c r="A7958" s="59"/>
      <c r="B7958"/>
    </row>
    <row r="7959" spans="1:2">
      <c r="A7959" s="59"/>
      <c r="B7959"/>
    </row>
    <row r="7960" spans="1:2">
      <c r="A7960" s="59"/>
      <c r="B7960"/>
    </row>
    <row r="7961" spans="1:2">
      <c r="A7961" s="59"/>
      <c r="B7961"/>
    </row>
    <row r="7962" spans="1:2">
      <c r="A7962" s="59"/>
      <c r="B7962"/>
    </row>
    <row r="7963" spans="1:2">
      <c r="A7963" s="59"/>
      <c r="B7963"/>
    </row>
    <row r="7964" spans="1:2">
      <c r="A7964" s="59"/>
      <c r="B7964"/>
    </row>
    <row r="7965" spans="1:2">
      <c r="A7965" s="59"/>
      <c r="B7965"/>
    </row>
    <row r="7966" spans="1:2">
      <c r="A7966" s="59"/>
      <c r="B7966"/>
    </row>
    <row r="7967" spans="1:2">
      <c r="A7967" s="59"/>
      <c r="B7967"/>
    </row>
    <row r="7968" spans="1:2">
      <c r="A7968" s="59"/>
      <c r="B7968"/>
    </row>
    <row r="7969" spans="1:2">
      <c r="A7969" s="59"/>
      <c r="B7969"/>
    </row>
    <row r="7970" spans="1:2">
      <c r="A7970" s="59"/>
      <c r="B7970"/>
    </row>
    <row r="7971" spans="1:2">
      <c r="A7971" s="59"/>
      <c r="B7971"/>
    </row>
    <row r="7972" spans="1:2">
      <c r="A7972" s="59"/>
      <c r="B7972"/>
    </row>
    <row r="7973" spans="1:2">
      <c r="A7973" s="59"/>
      <c r="B7973"/>
    </row>
    <row r="7974" spans="1:2">
      <c r="A7974" s="59"/>
      <c r="B7974"/>
    </row>
    <row r="7975" spans="1:2">
      <c r="A7975" s="59"/>
      <c r="B7975"/>
    </row>
    <row r="7976" spans="1:2">
      <c r="A7976" s="59"/>
      <c r="B7976"/>
    </row>
    <row r="7977" spans="1:2">
      <c r="A7977" s="59"/>
      <c r="B7977"/>
    </row>
    <row r="7978" spans="1:2">
      <c r="A7978" s="59"/>
      <c r="B7978"/>
    </row>
    <row r="7979" spans="1:2">
      <c r="A7979" s="59"/>
      <c r="B7979"/>
    </row>
    <row r="7980" spans="1:2">
      <c r="A7980" s="59"/>
      <c r="B7980"/>
    </row>
    <row r="7981" spans="1:2">
      <c r="A7981" s="59"/>
      <c r="B7981"/>
    </row>
    <row r="7982" spans="1:2">
      <c r="A7982" s="59"/>
      <c r="B7982"/>
    </row>
    <row r="7983" spans="1:2">
      <c r="A7983" s="59"/>
      <c r="B7983"/>
    </row>
    <row r="7984" spans="1:2">
      <c r="A7984" s="59"/>
      <c r="B7984"/>
    </row>
    <row r="7985" spans="1:2">
      <c r="A7985" s="59"/>
      <c r="B7985"/>
    </row>
    <row r="7986" spans="1:2">
      <c r="A7986" s="59"/>
      <c r="B7986"/>
    </row>
    <row r="7987" spans="1:2">
      <c r="A7987" s="59"/>
      <c r="B7987"/>
    </row>
    <row r="7988" spans="1:2">
      <c r="A7988" s="59"/>
      <c r="B7988"/>
    </row>
    <row r="7989" spans="1:2">
      <c r="A7989" s="59"/>
      <c r="B7989"/>
    </row>
    <row r="7990" spans="1:2">
      <c r="A7990" s="59"/>
      <c r="B7990"/>
    </row>
    <row r="7991" spans="1:2">
      <c r="A7991" s="59"/>
      <c r="B7991"/>
    </row>
    <row r="7992" spans="1:2">
      <c r="A7992" s="59"/>
      <c r="B7992"/>
    </row>
    <row r="7993" spans="1:2">
      <c r="A7993" s="59"/>
      <c r="B7993"/>
    </row>
    <row r="7994" spans="1:2">
      <c r="A7994" s="59"/>
      <c r="B7994"/>
    </row>
    <row r="7995" spans="1:2">
      <c r="A7995" s="59"/>
      <c r="B7995"/>
    </row>
    <row r="7996" spans="1:2">
      <c r="A7996" s="59"/>
      <c r="B7996"/>
    </row>
    <row r="7997" spans="1:2">
      <c r="A7997" s="59"/>
      <c r="B7997"/>
    </row>
    <row r="7998" spans="1:2">
      <c r="A7998" s="59"/>
      <c r="B7998"/>
    </row>
    <row r="7999" spans="1:2">
      <c r="A7999" s="59"/>
      <c r="B7999"/>
    </row>
    <row r="8000" spans="1:2">
      <c r="A8000" s="59"/>
      <c r="B8000"/>
    </row>
    <row r="8001" spans="1:2">
      <c r="A8001" s="59"/>
      <c r="B8001"/>
    </row>
    <row r="8002" spans="1:2">
      <c r="A8002" s="59"/>
      <c r="B8002"/>
    </row>
    <row r="8003" spans="1:2">
      <c r="A8003" s="59"/>
      <c r="B8003"/>
    </row>
    <row r="8004" spans="1:2">
      <c r="A8004" s="59"/>
      <c r="B8004"/>
    </row>
    <row r="8005" spans="1:2">
      <c r="A8005" s="59"/>
      <c r="B8005"/>
    </row>
    <row r="8006" spans="1:2">
      <c r="A8006" s="59"/>
      <c r="B8006"/>
    </row>
    <row r="8007" spans="1:2">
      <c r="A8007" s="59"/>
      <c r="B8007"/>
    </row>
    <row r="8008" spans="1:2">
      <c r="A8008" s="59"/>
      <c r="B8008"/>
    </row>
    <row r="8009" spans="1:2">
      <c r="A8009" s="59"/>
      <c r="B8009"/>
    </row>
    <row r="8010" spans="1:2">
      <c r="A8010" s="59"/>
      <c r="B8010"/>
    </row>
    <row r="8011" spans="1:2">
      <c r="A8011" s="59"/>
      <c r="B8011"/>
    </row>
    <row r="8012" spans="1:2">
      <c r="A8012" s="59"/>
      <c r="B8012"/>
    </row>
    <row r="8013" spans="1:2">
      <c r="A8013" s="59"/>
      <c r="B8013"/>
    </row>
    <row r="8014" spans="1:2">
      <c r="A8014" s="59"/>
      <c r="B8014"/>
    </row>
    <row r="8015" spans="1:2">
      <c r="A8015" s="59"/>
      <c r="B8015"/>
    </row>
    <row r="8016" spans="1:2">
      <c r="A8016" s="59"/>
      <c r="B8016"/>
    </row>
    <row r="8017" spans="1:2">
      <c r="A8017" s="59"/>
      <c r="B8017"/>
    </row>
    <row r="8018" spans="1:2">
      <c r="A8018" s="59"/>
      <c r="B8018"/>
    </row>
    <row r="8019" spans="1:2">
      <c r="A8019" s="59"/>
      <c r="B8019"/>
    </row>
    <row r="8020" spans="1:2">
      <c r="A8020" s="59"/>
      <c r="B8020"/>
    </row>
    <row r="8021" spans="1:2">
      <c r="A8021" s="59"/>
      <c r="B8021"/>
    </row>
    <row r="8022" spans="1:2">
      <c r="A8022" s="59"/>
      <c r="B8022"/>
    </row>
    <row r="8023" spans="1:2">
      <c r="A8023" s="59"/>
      <c r="B8023"/>
    </row>
    <row r="8024" spans="1:2">
      <c r="A8024" s="59"/>
      <c r="B8024"/>
    </row>
    <row r="8025" spans="1:2">
      <c r="A8025" s="59"/>
      <c r="B8025"/>
    </row>
    <row r="8026" spans="1:2">
      <c r="A8026" s="59"/>
      <c r="B8026"/>
    </row>
    <row r="8027" spans="1:2">
      <c r="A8027" s="59"/>
      <c r="B8027"/>
    </row>
    <row r="8028" spans="1:2">
      <c r="A8028" s="59"/>
      <c r="B8028"/>
    </row>
    <row r="8029" spans="1:2">
      <c r="A8029" s="59"/>
      <c r="B8029"/>
    </row>
    <row r="8030" spans="1:2">
      <c r="A8030" s="59"/>
      <c r="B8030"/>
    </row>
    <row r="8031" spans="1:2">
      <c r="A8031" s="59"/>
      <c r="B8031"/>
    </row>
    <row r="8032" spans="1:2">
      <c r="A8032" s="59"/>
      <c r="B8032"/>
    </row>
    <row r="8033" spans="1:2">
      <c r="A8033" s="59"/>
      <c r="B8033"/>
    </row>
    <row r="8034" spans="1:2">
      <c r="A8034" s="59"/>
      <c r="B8034"/>
    </row>
    <row r="8035" spans="1:2">
      <c r="A8035" s="59"/>
      <c r="B8035"/>
    </row>
    <row r="8036" spans="1:2">
      <c r="A8036" s="59"/>
      <c r="B8036"/>
    </row>
    <row r="8037" spans="1:2">
      <c r="A8037" s="59"/>
      <c r="B8037"/>
    </row>
    <row r="8038" spans="1:2">
      <c r="A8038" s="59"/>
      <c r="B8038"/>
    </row>
    <row r="8039" spans="1:2">
      <c r="A8039" s="59"/>
      <c r="B8039"/>
    </row>
    <row r="8040" spans="1:2">
      <c r="A8040" s="59"/>
      <c r="B8040"/>
    </row>
    <row r="8041" spans="1:2">
      <c r="A8041" s="59"/>
      <c r="B8041"/>
    </row>
    <row r="8042" spans="1:2">
      <c r="A8042" s="59"/>
      <c r="B8042"/>
    </row>
    <row r="8043" spans="1:2">
      <c r="A8043" s="59"/>
      <c r="B8043"/>
    </row>
    <row r="8044" spans="1:2">
      <c r="A8044" s="59"/>
      <c r="B8044"/>
    </row>
    <row r="8045" spans="1:2">
      <c r="A8045" s="59"/>
      <c r="B8045"/>
    </row>
    <row r="8046" spans="1:2">
      <c r="A8046" s="59"/>
      <c r="B8046"/>
    </row>
    <row r="8047" spans="1:2">
      <c r="A8047" s="59"/>
      <c r="B8047"/>
    </row>
    <row r="8048" spans="1:2">
      <c r="A8048" s="59"/>
      <c r="B8048"/>
    </row>
    <row r="8049" spans="1:2">
      <c r="A8049" s="59"/>
      <c r="B8049"/>
    </row>
    <row r="8050" spans="1:2">
      <c r="A8050" s="59"/>
      <c r="B8050"/>
    </row>
    <row r="8051" spans="1:2">
      <c r="A8051" s="59"/>
      <c r="B8051"/>
    </row>
    <row r="8052" spans="1:2">
      <c r="A8052" s="59"/>
      <c r="B8052"/>
    </row>
    <row r="8053" spans="1:2">
      <c r="A8053" s="59"/>
      <c r="B8053"/>
    </row>
    <row r="8054" spans="1:2">
      <c r="A8054" s="59"/>
      <c r="B8054"/>
    </row>
    <row r="8055" spans="1:2">
      <c r="A8055" s="59"/>
      <c r="B8055"/>
    </row>
    <row r="8056" spans="1:2">
      <c r="A8056" s="59"/>
      <c r="B8056"/>
    </row>
    <row r="8057" spans="1:2">
      <c r="A8057" s="59"/>
      <c r="B8057"/>
    </row>
    <row r="8058" spans="1:2">
      <c r="A8058" s="59"/>
      <c r="B8058"/>
    </row>
    <row r="8059" spans="1:2">
      <c r="A8059" s="59"/>
      <c r="B8059"/>
    </row>
    <row r="8060" spans="1:2">
      <c r="A8060" s="59"/>
      <c r="B8060"/>
    </row>
    <row r="8061" spans="1:2">
      <c r="A8061" s="59"/>
      <c r="B8061"/>
    </row>
    <row r="8062" spans="1:2">
      <c r="A8062" s="59"/>
      <c r="B8062"/>
    </row>
    <row r="8063" spans="1:2">
      <c r="A8063" s="59"/>
      <c r="B8063"/>
    </row>
    <row r="8064" spans="1:2">
      <c r="A8064" s="59"/>
      <c r="B8064"/>
    </row>
    <row r="8065" spans="1:2">
      <c r="A8065" s="59"/>
      <c r="B8065"/>
    </row>
    <row r="8066" spans="1:2">
      <c r="A8066" s="59"/>
      <c r="B8066"/>
    </row>
    <row r="8067" spans="1:2">
      <c r="A8067" s="59"/>
      <c r="B8067"/>
    </row>
    <row r="8068" spans="1:2">
      <c r="A8068" s="59"/>
      <c r="B8068"/>
    </row>
    <row r="8069" spans="1:2">
      <c r="A8069" s="59"/>
      <c r="B8069"/>
    </row>
    <row r="8070" spans="1:2">
      <c r="A8070" s="59"/>
      <c r="B8070"/>
    </row>
    <row r="8071" spans="1:2">
      <c r="A8071" s="59"/>
      <c r="B8071"/>
    </row>
    <row r="8072" spans="1:2">
      <c r="A8072" s="59"/>
      <c r="B8072"/>
    </row>
    <row r="8073" spans="1:2">
      <c r="A8073" s="59"/>
      <c r="B8073"/>
    </row>
    <row r="8074" spans="1:2">
      <c r="A8074" s="59"/>
      <c r="B8074"/>
    </row>
    <row r="8075" spans="1:2">
      <c r="A8075" s="59"/>
      <c r="B8075"/>
    </row>
    <row r="8076" spans="1:2">
      <c r="A8076" s="59"/>
      <c r="B8076"/>
    </row>
    <row r="8077" spans="1:2">
      <c r="A8077" s="59"/>
      <c r="B8077"/>
    </row>
    <row r="8078" spans="1:2">
      <c r="A8078" s="59"/>
      <c r="B8078"/>
    </row>
    <row r="8079" spans="1:2">
      <c r="A8079" s="59"/>
      <c r="B8079"/>
    </row>
    <row r="8080" spans="1:2">
      <c r="A8080" s="59"/>
      <c r="B8080"/>
    </row>
    <row r="8081" spans="1:2">
      <c r="A8081" s="59"/>
      <c r="B8081"/>
    </row>
    <row r="8082" spans="1:2">
      <c r="A8082" s="59"/>
      <c r="B8082"/>
    </row>
    <row r="8083" spans="1:2">
      <c r="A8083" s="59"/>
      <c r="B8083"/>
    </row>
    <row r="8084" spans="1:2">
      <c r="A8084" s="59"/>
      <c r="B8084"/>
    </row>
    <row r="8085" spans="1:2">
      <c r="A8085" s="59"/>
      <c r="B8085"/>
    </row>
    <row r="8086" spans="1:2">
      <c r="A8086" s="59"/>
      <c r="B8086"/>
    </row>
    <row r="8087" spans="1:2">
      <c r="A8087" s="59"/>
      <c r="B8087"/>
    </row>
    <row r="8088" spans="1:2">
      <c r="A8088" s="59"/>
      <c r="B8088"/>
    </row>
    <row r="8089" spans="1:2">
      <c r="A8089" s="59"/>
      <c r="B8089"/>
    </row>
    <row r="8090" spans="1:2">
      <c r="A8090" s="59"/>
      <c r="B8090"/>
    </row>
    <row r="8091" spans="1:2">
      <c r="A8091" s="59"/>
      <c r="B8091"/>
    </row>
    <row r="8092" spans="1:2">
      <c r="A8092" s="59"/>
      <c r="B8092"/>
    </row>
    <row r="8093" spans="1:2">
      <c r="A8093" s="59"/>
      <c r="B8093"/>
    </row>
    <row r="8094" spans="1:2">
      <c r="A8094" s="59"/>
      <c r="B8094"/>
    </row>
    <row r="8095" spans="1:2">
      <c r="A8095" s="59"/>
      <c r="B8095"/>
    </row>
    <row r="8096" spans="1:2">
      <c r="A8096" s="59"/>
      <c r="B8096"/>
    </row>
    <row r="8097" spans="1:2">
      <c r="A8097" s="59"/>
      <c r="B8097"/>
    </row>
    <row r="8098" spans="1:2">
      <c r="A8098" s="59"/>
      <c r="B8098"/>
    </row>
    <row r="8099" spans="1:2">
      <c r="A8099" s="59"/>
      <c r="B8099"/>
    </row>
    <row r="8100" spans="1:2">
      <c r="A8100" s="59"/>
      <c r="B8100"/>
    </row>
    <row r="8101" spans="1:2">
      <c r="A8101" s="59"/>
      <c r="B8101"/>
    </row>
    <row r="8102" spans="1:2">
      <c r="A8102" s="59"/>
      <c r="B8102"/>
    </row>
    <row r="8103" spans="1:2">
      <c r="A8103" s="59"/>
      <c r="B8103"/>
    </row>
    <row r="8104" spans="1:2">
      <c r="A8104" s="59"/>
      <c r="B8104"/>
    </row>
    <row r="8105" spans="1:2">
      <c r="A8105" s="59"/>
      <c r="B8105"/>
    </row>
    <row r="8106" spans="1:2">
      <c r="A8106" s="59"/>
      <c r="B8106"/>
    </row>
    <row r="8107" spans="1:2">
      <c r="A8107" s="59"/>
      <c r="B8107"/>
    </row>
    <row r="8108" spans="1:2">
      <c r="A8108" s="59"/>
      <c r="B8108"/>
    </row>
    <row r="8109" spans="1:2">
      <c r="A8109" s="59"/>
      <c r="B8109"/>
    </row>
    <row r="8110" spans="1:2">
      <c r="A8110" s="59"/>
      <c r="B8110"/>
    </row>
    <row r="8111" spans="1:2">
      <c r="A8111" s="59"/>
      <c r="B8111"/>
    </row>
    <row r="8112" spans="1:2">
      <c r="A8112" s="59"/>
      <c r="B8112"/>
    </row>
    <row r="8113" spans="1:2">
      <c r="A8113" s="59"/>
      <c r="B8113"/>
    </row>
    <row r="8114" spans="1:2">
      <c r="A8114" s="59"/>
      <c r="B8114"/>
    </row>
    <row r="8115" spans="1:2">
      <c r="A8115" s="59"/>
      <c r="B8115"/>
    </row>
    <row r="8116" spans="1:2">
      <c r="A8116" s="59"/>
      <c r="B8116"/>
    </row>
    <row r="8117" spans="1:2">
      <c r="A8117" s="59"/>
      <c r="B8117"/>
    </row>
    <row r="8118" spans="1:2">
      <c r="A8118" s="59"/>
      <c r="B8118"/>
    </row>
    <row r="8119" spans="1:2">
      <c r="A8119" s="59"/>
      <c r="B8119"/>
    </row>
    <row r="8120" spans="1:2">
      <c r="A8120" s="59"/>
      <c r="B8120"/>
    </row>
    <row r="8121" spans="1:2">
      <c r="A8121" s="59"/>
      <c r="B8121"/>
    </row>
    <row r="8122" spans="1:2">
      <c r="A8122" s="59"/>
      <c r="B8122"/>
    </row>
    <row r="8123" spans="1:2">
      <c r="A8123" s="59"/>
      <c r="B8123"/>
    </row>
    <row r="8124" spans="1:2">
      <c r="A8124" s="59"/>
      <c r="B8124"/>
    </row>
    <row r="8125" spans="1:2">
      <c r="A8125" s="59"/>
      <c r="B8125"/>
    </row>
    <row r="8126" spans="1:2">
      <c r="A8126" s="59"/>
      <c r="B8126"/>
    </row>
    <row r="8127" spans="1:2">
      <c r="A8127" s="59"/>
      <c r="B8127"/>
    </row>
    <row r="8128" spans="1:2">
      <c r="A8128" s="59"/>
      <c r="B8128"/>
    </row>
    <row r="8129" spans="1:2">
      <c r="A8129" s="59"/>
      <c r="B8129"/>
    </row>
    <row r="8130" spans="1:2">
      <c r="A8130" s="59"/>
      <c r="B8130"/>
    </row>
    <row r="8131" spans="1:2">
      <c r="A8131" s="59"/>
      <c r="B8131"/>
    </row>
    <row r="8132" spans="1:2">
      <c r="A8132" s="59"/>
      <c r="B8132"/>
    </row>
    <row r="8133" spans="1:2">
      <c r="A8133" s="59"/>
      <c r="B8133"/>
    </row>
    <row r="8134" spans="1:2">
      <c r="A8134" s="59"/>
      <c r="B8134"/>
    </row>
    <row r="8135" spans="1:2">
      <c r="A8135" s="59"/>
      <c r="B8135"/>
    </row>
    <row r="8136" spans="1:2">
      <c r="A8136" s="59"/>
      <c r="B8136"/>
    </row>
    <row r="8137" spans="1:2">
      <c r="A8137" s="59"/>
      <c r="B8137"/>
    </row>
    <row r="8138" spans="1:2">
      <c r="A8138" s="59"/>
      <c r="B8138"/>
    </row>
    <row r="8139" spans="1:2">
      <c r="A8139" s="59"/>
      <c r="B8139"/>
    </row>
    <row r="8140" spans="1:2">
      <c r="A8140" s="59"/>
      <c r="B8140"/>
    </row>
    <row r="8141" spans="1:2">
      <c r="A8141" s="59"/>
      <c r="B8141"/>
    </row>
    <row r="8142" spans="1:2">
      <c r="A8142" s="59"/>
      <c r="B8142"/>
    </row>
    <row r="8143" spans="1:2">
      <c r="A8143" s="59"/>
      <c r="B8143"/>
    </row>
    <row r="8144" spans="1:2">
      <c r="A8144" s="59"/>
      <c r="B8144"/>
    </row>
    <row r="8145" spans="1:2">
      <c r="A8145" s="59"/>
      <c r="B8145"/>
    </row>
    <row r="8146" spans="1:2">
      <c r="A8146" s="59"/>
      <c r="B8146"/>
    </row>
    <row r="8147" spans="1:2">
      <c r="A8147" s="59"/>
      <c r="B8147"/>
    </row>
    <row r="8148" spans="1:2">
      <c r="A8148" s="59"/>
      <c r="B8148"/>
    </row>
    <row r="8149" spans="1:2">
      <c r="A8149" s="59"/>
      <c r="B8149"/>
    </row>
    <row r="8150" spans="1:2">
      <c r="A8150" s="59"/>
      <c r="B8150"/>
    </row>
    <row r="8151" spans="1:2">
      <c r="A8151" s="59"/>
      <c r="B8151"/>
    </row>
    <row r="8152" spans="1:2">
      <c r="A8152" s="59"/>
      <c r="B8152"/>
    </row>
    <row r="8153" spans="1:2">
      <c r="A8153" s="59"/>
      <c r="B8153"/>
    </row>
    <row r="8154" spans="1:2">
      <c r="A8154" s="59"/>
      <c r="B8154"/>
    </row>
    <row r="8155" spans="1:2">
      <c r="A8155" s="59"/>
      <c r="B8155"/>
    </row>
    <row r="8156" spans="1:2">
      <c r="A8156" s="59"/>
      <c r="B8156"/>
    </row>
    <row r="8157" spans="1:2">
      <c r="A8157" s="59"/>
      <c r="B8157"/>
    </row>
    <row r="8158" spans="1:2">
      <c r="A8158" s="59"/>
      <c r="B8158"/>
    </row>
    <row r="8159" spans="1:2">
      <c r="A8159" s="59"/>
      <c r="B8159"/>
    </row>
    <row r="8160" spans="1:2">
      <c r="A8160" s="59"/>
      <c r="B8160"/>
    </row>
    <row r="8161" spans="1:2">
      <c r="A8161" s="59"/>
      <c r="B8161"/>
    </row>
    <row r="8162" spans="1:2">
      <c r="A8162" s="59"/>
      <c r="B8162"/>
    </row>
    <row r="8163" spans="1:2">
      <c r="A8163" s="59"/>
      <c r="B8163"/>
    </row>
    <row r="8164" spans="1:2">
      <c r="A8164" s="59"/>
      <c r="B8164"/>
    </row>
    <row r="8165" spans="1:2">
      <c r="A8165" s="59"/>
      <c r="B8165"/>
    </row>
    <row r="8166" spans="1:2">
      <c r="A8166" s="59"/>
      <c r="B8166"/>
    </row>
    <row r="8167" spans="1:2">
      <c r="A8167" s="59"/>
      <c r="B8167"/>
    </row>
    <row r="8168" spans="1:2">
      <c r="A8168" s="59"/>
      <c r="B8168"/>
    </row>
    <row r="8169" spans="1:2">
      <c r="A8169" s="59"/>
      <c r="B8169"/>
    </row>
    <row r="8170" spans="1:2">
      <c r="A8170" s="59"/>
      <c r="B8170"/>
    </row>
    <row r="8171" spans="1:2">
      <c r="A8171" s="59"/>
      <c r="B8171"/>
    </row>
    <row r="8172" spans="1:2">
      <c r="A8172" s="59"/>
      <c r="B8172"/>
    </row>
    <row r="8173" spans="1:2">
      <c r="A8173" s="59"/>
      <c r="B8173"/>
    </row>
    <row r="8174" spans="1:2">
      <c r="A8174" s="59"/>
      <c r="B8174"/>
    </row>
    <row r="8175" spans="1:2">
      <c r="A8175" s="59"/>
      <c r="B8175"/>
    </row>
    <row r="8176" spans="1:2">
      <c r="A8176" s="59"/>
      <c r="B8176"/>
    </row>
    <row r="8177" spans="1:2">
      <c r="A8177" s="59"/>
      <c r="B8177"/>
    </row>
    <row r="8178" spans="1:2">
      <c r="A8178" s="59"/>
      <c r="B8178"/>
    </row>
    <row r="8179" spans="1:2">
      <c r="A8179" s="59"/>
      <c r="B8179"/>
    </row>
    <row r="8180" spans="1:2">
      <c r="A8180" s="59"/>
      <c r="B8180"/>
    </row>
    <row r="8181" spans="1:2">
      <c r="A8181" s="59"/>
      <c r="B8181"/>
    </row>
    <row r="8182" spans="1:2">
      <c r="A8182" s="59"/>
      <c r="B8182"/>
    </row>
    <row r="8183" spans="1:2">
      <c r="A8183" s="59"/>
      <c r="B8183"/>
    </row>
    <row r="8184" spans="1:2">
      <c r="A8184" s="59"/>
      <c r="B8184"/>
    </row>
    <row r="8185" spans="1:2">
      <c r="A8185" s="59"/>
      <c r="B8185"/>
    </row>
    <row r="8186" spans="1:2">
      <c r="A8186" s="59"/>
      <c r="B8186"/>
    </row>
    <row r="8187" spans="1:2">
      <c r="A8187" s="59"/>
      <c r="B8187"/>
    </row>
    <row r="8188" spans="1:2">
      <c r="A8188" s="59"/>
      <c r="B8188"/>
    </row>
    <row r="8189" spans="1:2">
      <c r="A8189" s="59"/>
      <c r="B8189"/>
    </row>
    <row r="8190" spans="1:2">
      <c r="A8190" s="59"/>
      <c r="B8190"/>
    </row>
    <row r="8191" spans="1:2">
      <c r="A8191" s="59"/>
      <c r="B8191"/>
    </row>
    <row r="8192" spans="1:2">
      <c r="A8192" s="59"/>
      <c r="B8192"/>
    </row>
    <row r="8193" spans="1:2">
      <c r="A8193" s="59"/>
      <c r="B8193"/>
    </row>
    <row r="8194" spans="1:2">
      <c r="A8194" s="59"/>
      <c r="B8194"/>
    </row>
    <row r="8195" spans="1:2">
      <c r="A8195" s="59"/>
      <c r="B8195"/>
    </row>
    <row r="8196" spans="1:2">
      <c r="A8196" s="59"/>
      <c r="B8196"/>
    </row>
    <row r="8197" spans="1:2">
      <c r="A8197" s="59"/>
      <c r="B8197"/>
    </row>
    <row r="8198" spans="1:2">
      <c r="A8198" s="59"/>
      <c r="B8198"/>
    </row>
    <row r="8199" spans="1:2">
      <c r="A8199" s="59"/>
      <c r="B8199"/>
    </row>
    <row r="8200" spans="1:2">
      <c r="A8200" s="59"/>
      <c r="B8200"/>
    </row>
    <row r="8201" spans="1:2">
      <c r="A8201" s="59"/>
      <c r="B8201"/>
    </row>
    <row r="8202" spans="1:2">
      <c r="A8202" s="59"/>
      <c r="B8202"/>
    </row>
    <row r="8203" spans="1:2">
      <c r="A8203" s="59"/>
      <c r="B8203"/>
    </row>
    <row r="8204" spans="1:2">
      <c r="A8204" s="59"/>
      <c r="B8204"/>
    </row>
    <row r="8205" spans="1:2">
      <c r="A8205" s="59"/>
      <c r="B8205"/>
    </row>
    <row r="8206" spans="1:2">
      <c r="A8206" s="59"/>
      <c r="B8206"/>
    </row>
    <row r="8207" spans="1:2">
      <c r="A8207" s="59"/>
      <c r="B8207"/>
    </row>
    <row r="8208" spans="1:2">
      <c r="A8208" s="59"/>
      <c r="B8208"/>
    </row>
    <row r="8209" spans="1:2">
      <c r="A8209" s="59"/>
      <c r="B8209"/>
    </row>
    <row r="8210" spans="1:2">
      <c r="A8210" s="59"/>
      <c r="B8210"/>
    </row>
    <row r="8211" spans="1:2">
      <c r="A8211" s="59"/>
      <c r="B8211"/>
    </row>
    <row r="8212" spans="1:2">
      <c r="A8212" s="59"/>
      <c r="B8212"/>
    </row>
    <row r="8213" spans="1:2">
      <c r="A8213" s="59"/>
      <c r="B8213"/>
    </row>
    <row r="8214" spans="1:2">
      <c r="A8214" s="59"/>
      <c r="B8214"/>
    </row>
    <row r="8215" spans="1:2">
      <c r="A8215" s="59"/>
      <c r="B8215"/>
    </row>
    <row r="8216" spans="1:2">
      <c r="A8216" s="59"/>
      <c r="B8216"/>
    </row>
    <row r="8217" spans="1:2">
      <c r="A8217" s="59"/>
      <c r="B8217"/>
    </row>
    <row r="8218" spans="1:2">
      <c r="A8218" s="59"/>
      <c r="B8218"/>
    </row>
    <row r="8219" spans="1:2">
      <c r="A8219" s="59"/>
      <c r="B8219"/>
    </row>
    <row r="8220" spans="1:2">
      <c r="A8220" s="59"/>
      <c r="B8220"/>
    </row>
    <row r="8221" spans="1:2">
      <c r="A8221" s="59"/>
      <c r="B8221"/>
    </row>
    <row r="8222" spans="1:2">
      <c r="A8222" s="59"/>
      <c r="B8222"/>
    </row>
    <row r="8223" spans="1:2">
      <c r="A8223" s="59"/>
      <c r="B8223"/>
    </row>
    <row r="8224" spans="1:2">
      <c r="A8224" s="59"/>
      <c r="B8224"/>
    </row>
    <row r="8225" spans="1:2">
      <c r="A8225" s="59"/>
      <c r="B8225"/>
    </row>
    <row r="8226" spans="1:2">
      <c r="A8226" s="59"/>
      <c r="B8226"/>
    </row>
    <row r="8227" spans="1:2">
      <c r="A8227" s="59"/>
      <c r="B8227"/>
    </row>
    <row r="8228" spans="1:2">
      <c r="A8228" s="59"/>
      <c r="B8228"/>
    </row>
    <row r="8229" spans="1:2">
      <c r="A8229" s="59"/>
      <c r="B8229"/>
    </row>
    <row r="8230" spans="1:2">
      <c r="A8230" s="59"/>
      <c r="B8230"/>
    </row>
    <row r="8231" spans="1:2">
      <c r="A8231" s="59"/>
      <c r="B8231"/>
    </row>
    <row r="8232" spans="1:2">
      <c r="A8232" s="59"/>
      <c r="B8232"/>
    </row>
    <row r="8233" spans="1:2">
      <c r="A8233" s="59"/>
      <c r="B8233"/>
    </row>
    <row r="8234" spans="1:2">
      <c r="A8234" s="59"/>
      <c r="B8234"/>
    </row>
    <row r="8235" spans="1:2">
      <c r="A8235" s="59"/>
      <c r="B8235"/>
    </row>
    <row r="8236" spans="1:2">
      <c r="A8236" s="59"/>
      <c r="B8236"/>
    </row>
    <row r="8237" spans="1:2">
      <c r="A8237" s="59"/>
      <c r="B8237"/>
    </row>
    <row r="8238" spans="1:2">
      <c r="A8238" s="59"/>
      <c r="B8238"/>
    </row>
    <row r="8239" spans="1:2">
      <c r="A8239" s="59"/>
      <c r="B8239"/>
    </row>
    <row r="8240" spans="1:2">
      <c r="A8240" s="59"/>
      <c r="B8240"/>
    </row>
    <row r="8241" spans="1:2">
      <c r="A8241" s="59"/>
      <c r="B8241"/>
    </row>
    <row r="8242" spans="1:2">
      <c r="A8242" s="59"/>
      <c r="B8242"/>
    </row>
    <row r="8243" spans="1:2">
      <c r="A8243" s="59"/>
      <c r="B8243"/>
    </row>
    <row r="8244" spans="1:2">
      <c r="A8244" s="59"/>
      <c r="B8244"/>
    </row>
    <row r="8245" spans="1:2">
      <c r="A8245" s="59"/>
      <c r="B8245"/>
    </row>
    <row r="8246" spans="1:2">
      <c r="A8246" s="59"/>
      <c r="B8246"/>
    </row>
    <row r="8247" spans="1:2">
      <c r="A8247" s="59"/>
      <c r="B8247"/>
    </row>
    <row r="8248" spans="1:2">
      <c r="A8248" s="59"/>
      <c r="B8248"/>
    </row>
    <row r="8249" spans="1:2">
      <c r="A8249" s="59"/>
      <c r="B8249"/>
    </row>
    <row r="8250" spans="1:2">
      <c r="A8250" s="59"/>
      <c r="B8250"/>
    </row>
    <row r="8251" spans="1:2">
      <c r="A8251" s="59"/>
      <c r="B8251"/>
    </row>
    <row r="8252" spans="1:2">
      <c r="A8252" s="59"/>
      <c r="B8252"/>
    </row>
    <row r="8253" spans="1:2">
      <c r="A8253" s="59"/>
      <c r="B8253"/>
    </row>
    <row r="8254" spans="1:2">
      <c r="A8254" s="59"/>
      <c r="B8254"/>
    </row>
    <row r="8255" spans="1:2">
      <c r="A8255" s="59"/>
      <c r="B8255"/>
    </row>
    <row r="8256" spans="1:2">
      <c r="A8256" s="59"/>
      <c r="B8256"/>
    </row>
    <row r="8257" spans="1:2">
      <c r="A8257" s="59"/>
      <c r="B8257"/>
    </row>
    <row r="8258" spans="1:2">
      <c r="A8258" s="59"/>
      <c r="B8258"/>
    </row>
    <row r="8259" spans="1:2">
      <c r="A8259" s="59"/>
      <c r="B8259"/>
    </row>
    <row r="8260" spans="1:2">
      <c r="A8260" s="59"/>
      <c r="B8260"/>
    </row>
    <row r="8261" spans="1:2">
      <c r="A8261" s="59"/>
      <c r="B8261"/>
    </row>
    <row r="8262" spans="1:2">
      <c r="A8262" s="59"/>
      <c r="B8262"/>
    </row>
    <row r="8263" spans="1:2">
      <c r="A8263" s="59"/>
      <c r="B8263"/>
    </row>
    <row r="8264" spans="1:2">
      <c r="A8264" s="59"/>
      <c r="B8264"/>
    </row>
    <row r="8265" spans="1:2">
      <c r="A8265" s="59"/>
      <c r="B8265"/>
    </row>
    <row r="8266" spans="1:2">
      <c r="A8266" s="59"/>
      <c r="B8266"/>
    </row>
    <row r="8267" spans="1:2">
      <c r="A8267" s="59"/>
      <c r="B8267"/>
    </row>
    <row r="8268" spans="1:2">
      <c r="A8268" s="59"/>
      <c r="B8268"/>
    </row>
    <row r="8269" spans="1:2">
      <c r="A8269" s="59"/>
      <c r="B8269"/>
    </row>
    <row r="8270" spans="1:2">
      <c r="A8270" s="59"/>
      <c r="B8270"/>
    </row>
    <row r="8271" spans="1:2">
      <c r="A8271" s="59"/>
      <c r="B8271"/>
    </row>
    <row r="8272" spans="1:2">
      <c r="A8272" s="59"/>
      <c r="B8272"/>
    </row>
    <row r="8273" spans="1:2">
      <c r="A8273" s="59"/>
      <c r="B8273"/>
    </row>
    <row r="8274" spans="1:2">
      <c r="A8274" s="59"/>
      <c r="B8274"/>
    </row>
    <row r="8275" spans="1:2">
      <c r="A8275" s="59"/>
      <c r="B8275"/>
    </row>
    <row r="8276" spans="1:2">
      <c r="A8276" s="59"/>
      <c r="B8276"/>
    </row>
    <row r="8277" spans="1:2">
      <c r="A8277" s="59"/>
      <c r="B8277"/>
    </row>
    <row r="8278" spans="1:2">
      <c r="A8278" s="59"/>
      <c r="B8278"/>
    </row>
    <row r="8279" spans="1:2">
      <c r="A8279" s="59"/>
      <c r="B8279"/>
    </row>
    <row r="8280" spans="1:2">
      <c r="A8280" s="59"/>
      <c r="B8280"/>
    </row>
    <row r="8281" spans="1:2">
      <c r="A8281" s="59"/>
      <c r="B8281"/>
    </row>
    <row r="8282" spans="1:2">
      <c r="A8282" s="59"/>
      <c r="B8282"/>
    </row>
    <row r="8283" spans="1:2">
      <c r="A8283" s="59"/>
      <c r="B8283"/>
    </row>
    <row r="8284" spans="1:2">
      <c r="A8284" s="59"/>
      <c r="B8284"/>
    </row>
    <row r="8285" spans="1:2">
      <c r="A8285" s="59"/>
      <c r="B8285"/>
    </row>
    <row r="8286" spans="1:2">
      <c r="A8286" s="59"/>
      <c r="B8286"/>
    </row>
    <row r="8287" spans="1:2">
      <c r="A8287" s="59"/>
      <c r="B8287"/>
    </row>
    <row r="8288" spans="1:2">
      <c r="A8288" s="59"/>
      <c r="B8288"/>
    </row>
    <row r="8289" spans="1:2">
      <c r="A8289" s="59"/>
      <c r="B8289"/>
    </row>
    <row r="8290" spans="1:2">
      <c r="A8290" s="59"/>
      <c r="B8290"/>
    </row>
    <row r="8291" spans="1:2">
      <c r="A8291" s="59"/>
      <c r="B8291"/>
    </row>
    <row r="8292" spans="1:2">
      <c r="A8292" s="59"/>
      <c r="B8292"/>
    </row>
    <row r="8293" spans="1:2">
      <c r="A8293" s="59"/>
      <c r="B8293"/>
    </row>
    <row r="8294" spans="1:2">
      <c r="A8294" s="59"/>
      <c r="B8294"/>
    </row>
    <row r="8295" spans="1:2">
      <c r="A8295" s="59"/>
      <c r="B8295"/>
    </row>
    <row r="8296" spans="1:2">
      <c r="A8296" s="59"/>
      <c r="B8296"/>
    </row>
    <row r="8297" spans="1:2">
      <c r="A8297" s="59"/>
      <c r="B8297"/>
    </row>
    <row r="8298" spans="1:2">
      <c r="A8298" s="59"/>
      <c r="B8298"/>
    </row>
    <row r="8299" spans="1:2">
      <c r="A8299" s="59"/>
      <c r="B8299"/>
    </row>
    <row r="8300" spans="1:2">
      <c r="A8300" s="59"/>
      <c r="B8300"/>
    </row>
    <row r="8301" spans="1:2">
      <c r="A8301" s="59"/>
      <c r="B8301"/>
    </row>
    <row r="8302" spans="1:2">
      <c r="A8302" s="59"/>
      <c r="B8302"/>
    </row>
    <row r="8303" spans="1:2">
      <c r="A8303" s="59"/>
      <c r="B8303"/>
    </row>
    <row r="8304" spans="1:2">
      <c r="A8304" s="59"/>
      <c r="B8304"/>
    </row>
    <row r="8305" spans="1:2">
      <c r="A8305" s="59"/>
      <c r="B8305"/>
    </row>
    <row r="8306" spans="1:2">
      <c r="A8306" s="59"/>
      <c r="B8306"/>
    </row>
    <row r="8307" spans="1:2">
      <c r="A8307" s="59"/>
      <c r="B8307"/>
    </row>
    <row r="8308" spans="1:2">
      <c r="A8308" s="59"/>
      <c r="B8308"/>
    </row>
    <row r="8309" spans="1:2">
      <c r="A8309" s="59"/>
      <c r="B8309"/>
    </row>
    <row r="8310" spans="1:2">
      <c r="A8310" s="59"/>
      <c r="B8310"/>
    </row>
    <row r="8311" spans="1:2">
      <c r="A8311" s="59"/>
      <c r="B8311"/>
    </row>
    <row r="8312" spans="1:2">
      <c r="A8312" s="59"/>
      <c r="B8312"/>
    </row>
    <row r="8313" spans="1:2">
      <c r="A8313" s="59"/>
      <c r="B8313"/>
    </row>
    <row r="8314" spans="1:2">
      <c r="A8314" s="59"/>
      <c r="B8314"/>
    </row>
    <row r="8315" spans="1:2">
      <c r="A8315" s="59"/>
      <c r="B8315"/>
    </row>
    <row r="8316" spans="1:2">
      <c r="A8316" s="59"/>
      <c r="B8316"/>
    </row>
    <row r="8317" spans="1:2">
      <c r="A8317" s="59"/>
      <c r="B8317"/>
    </row>
    <row r="8318" spans="1:2">
      <c r="A8318" s="59"/>
      <c r="B8318"/>
    </row>
    <row r="8319" spans="1:2">
      <c r="A8319" s="59"/>
      <c r="B8319"/>
    </row>
    <row r="8320" spans="1:2">
      <c r="A8320" s="59"/>
      <c r="B8320"/>
    </row>
    <row r="8321" spans="1:2">
      <c r="A8321" s="59"/>
      <c r="B8321"/>
    </row>
    <row r="8322" spans="1:2">
      <c r="A8322" s="59"/>
      <c r="B8322"/>
    </row>
    <row r="8323" spans="1:2">
      <c r="A8323" s="59"/>
      <c r="B8323"/>
    </row>
    <row r="8324" spans="1:2">
      <c r="A8324" s="59"/>
      <c r="B8324"/>
    </row>
    <row r="8325" spans="1:2">
      <c r="A8325" s="59"/>
      <c r="B8325"/>
    </row>
    <row r="8326" spans="1:2">
      <c r="A8326" s="59"/>
      <c r="B8326"/>
    </row>
    <row r="8327" spans="1:2">
      <c r="A8327" s="59"/>
      <c r="B8327"/>
    </row>
    <row r="8328" spans="1:2">
      <c r="A8328" s="59"/>
      <c r="B8328"/>
    </row>
    <row r="8329" spans="1:2">
      <c r="A8329" s="59"/>
      <c r="B8329"/>
    </row>
    <row r="8330" spans="1:2">
      <c r="A8330" s="59"/>
      <c r="B8330"/>
    </row>
    <row r="8331" spans="1:2">
      <c r="A8331" s="59"/>
      <c r="B8331"/>
    </row>
    <row r="8332" spans="1:2">
      <c r="A8332" s="59"/>
      <c r="B8332"/>
    </row>
    <row r="8333" spans="1:2">
      <c r="A8333" s="59"/>
      <c r="B8333"/>
    </row>
    <row r="8334" spans="1:2">
      <c r="A8334" s="59"/>
      <c r="B8334"/>
    </row>
    <row r="8335" spans="1:2">
      <c r="A8335" s="59"/>
      <c r="B8335"/>
    </row>
    <row r="8336" spans="1:2">
      <c r="A8336" s="59"/>
      <c r="B8336"/>
    </row>
    <row r="8337" spans="1:2">
      <c r="A8337" s="59"/>
      <c r="B8337"/>
    </row>
    <row r="8338" spans="1:2">
      <c r="A8338" s="59"/>
      <c r="B8338"/>
    </row>
    <row r="8339" spans="1:2">
      <c r="A8339" s="59"/>
      <c r="B8339"/>
    </row>
    <row r="8340" spans="1:2">
      <c r="A8340" s="59"/>
      <c r="B8340"/>
    </row>
    <row r="8341" spans="1:2">
      <c r="A8341" s="59"/>
      <c r="B8341"/>
    </row>
    <row r="8342" spans="1:2">
      <c r="A8342" s="59"/>
      <c r="B8342"/>
    </row>
    <row r="8343" spans="1:2">
      <c r="A8343" s="59"/>
      <c r="B8343"/>
    </row>
    <row r="8344" spans="1:2">
      <c r="A8344" s="59"/>
      <c r="B8344"/>
    </row>
    <row r="8345" spans="1:2">
      <c r="A8345" s="59"/>
      <c r="B8345"/>
    </row>
    <row r="8346" spans="1:2">
      <c r="A8346" s="59"/>
      <c r="B8346"/>
    </row>
    <row r="8347" spans="1:2">
      <c r="A8347" s="59"/>
      <c r="B8347"/>
    </row>
    <row r="8348" spans="1:2">
      <c r="A8348" s="59"/>
      <c r="B8348"/>
    </row>
    <row r="8349" spans="1:2">
      <c r="A8349" s="59"/>
      <c r="B8349"/>
    </row>
    <row r="8350" spans="1:2">
      <c r="A8350" s="59"/>
      <c r="B8350"/>
    </row>
    <row r="8351" spans="1:2">
      <c r="A8351" s="59"/>
      <c r="B8351"/>
    </row>
    <row r="8352" spans="1:2">
      <c r="A8352" s="59"/>
      <c r="B8352"/>
    </row>
    <row r="8353" spans="1:2">
      <c r="A8353" s="59"/>
      <c r="B8353"/>
    </row>
    <row r="8354" spans="1:2">
      <c r="A8354" s="59"/>
      <c r="B8354"/>
    </row>
    <row r="8355" spans="1:2">
      <c r="A8355" s="59"/>
      <c r="B8355"/>
    </row>
    <row r="8356" spans="1:2">
      <c r="A8356" s="59"/>
      <c r="B8356"/>
    </row>
    <row r="8357" spans="1:2">
      <c r="A8357" s="59"/>
      <c r="B8357"/>
    </row>
    <row r="8358" spans="1:2">
      <c r="A8358" s="59"/>
      <c r="B8358"/>
    </row>
    <row r="8359" spans="1:2">
      <c r="A8359" s="59"/>
      <c r="B8359"/>
    </row>
    <row r="8360" spans="1:2">
      <c r="A8360" s="59"/>
      <c r="B8360"/>
    </row>
    <row r="8361" spans="1:2">
      <c r="A8361" s="59"/>
      <c r="B8361"/>
    </row>
    <row r="8362" spans="1:2">
      <c r="A8362" s="59"/>
      <c r="B8362"/>
    </row>
    <row r="8363" spans="1:2">
      <c r="A8363" s="59"/>
      <c r="B8363"/>
    </row>
    <row r="8364" spans="1:2">
      <c r="A8364" s="59"/>
      <c r="B8364"/>
    </row>
    <row r="8365" spans="1:2">
      <c r="A8365" s="59"/>
      <c r="B8365"/>
    </row>
    <row r="8366" spans="1:2">
      <c r="A8366" s="59"/>
      <c r="B8366"/>
    </row>
    <row r="8367" spans="1:2">
      <c r="A8367" s="59"/>
      <c r="B8367"/>
    </row>
    <row r="8368" spans="1:2">
      <c r="A8368" s="59"/>
      <c r="B8368"/>
    </row>
    <row r="8369" spans="1:2">
      <c r="A8369" s="59"/>
      <c r="B8369"/>
    </row>
    <row r="8370" spans="1:2">
      <c r="A8370" s="59"/>
      <c r="B8370"/>
    </row>
    <row r="8371" spans="1:2">
      <c r="A8371" s="59"/>
      <c r="B8371"/>
    </row>
    <row r="8372" spans="1:2">
      <c r="A8372" s="59"/>
      <c r="B8372"/>
    </row>
    <row r="8373" spans="1:2">
      <c r="A8373" s="59"/>
      <c r="B8373"/>
    </row>
    <row r="8374" spans="1:2">
      <c r="A8374" s="59"/>
      <c r="B8374"/>
    </row>
    <row r="8375" spans="1:2">
      <c r="A8375" s="59"/>
      <c r="B8375"/>
    </row>
    <row r="8376" spans="1:2">
      <c r="A8376" s="59"/>
      <c r="B8376"/>
    </row>
    <row r="8377" spans="1:2">
      <c r="A8377" s="59"/>
      <c r="B8377"/>
    </row>
    <row r="8378" spans="1:2">
      <c r="A8378" s="59"/>
      <c r="B8378"/>
    </row>
    <row r="8379" spans="1:2">
      <c r="A8379" s="59"/>
      <c r="B8379"/>
    </row>
    <row r="8380" spans="1:2">
      <c r="A8380" s="59"/>
      <c r="B8380"/>
    </row>
    <row r="8381" spans="1:2">
      <c r="A8381" s="59"/>
      <c r="B8381"/>
    </row>
    <row r="8382" spans="1:2">
      <c r="A8382" s="59"/>
      <c r="B8382"/>
    </row>
    <row r="8383" spans="1:2">
      <c r="A8383" s="59"/>
      <c r="B8383"/>
    </row>
    <row r="8384" spans="1:2">
      <c r="A8384" s="59"/>
      <c r="B8384"/>
    </row>
    <row r="8385" spans="1:2">
      <c r="A8385" s="59"/>
      <c r="B8385"/>
    </row>
    <row r="8386" spans="1:2">
      <c r="A8386" s="59"/>
      <c r="B8386"/>
    </row>
    <row r="8387" spans="1:2">
      <c r="A8387" s="59"/>
      <c r="B8387"/>
    </row>
    <row r="8388" spans="1:2">
      <c r="A8388" s="59"/>
      <c r="B8388"/>
    </row>
    <row r="8389" spans="1:2">
      <c r="A8389" s="59"/>
      <c r="B8389"/>
    </row>
    <row r="8390" spans="1:2">
      <c r="A8390" s="59"/>
      <c r="B8390"/>
    </row>
    <row r="8391" spans="1:2">
      <c r="A8391" s="59"/>
      <c r="B8391"/>
    </row>
    <row r="8392" spans="1:2">
      <c r="A8392" s="59"/>
      <c r="B8392"/>
    </row>
    <row r="8393" spans="1:2">
      <c r="A8393" s="59"/>
      <c r="B8393"/>
    </row>
    <row r="8394" spans="1:2">
      <c r="A8394" s="59"/>
      <c r="B8394"/>
    </row>
    <row r="8395" spans="1:2">
      <c r="A8395" s="59"/>
      <c r="B8395"/>
    </row>
    <row r="8396" spans="1:2">
      <c r="A8396" s="59"/>
      <c r="B8396"/>
    </row>
    <row r="8397" spans="1:2">
      <c r="A8397" s="59"/>
      <c r="B8397"/>
    </row>
    <row r="8398" spans="1:2">
      <c r="A8398" s="59"/>
      <c r="B8398"/>
    </row>
    <row r="8399" spans="1:2">
      <c r="A8399" s="59"/>
      <c r="B8399"/>
    </row>
    <row r="8400" spans="1:2">
      <c r="A8400" s="59"/>
      <c r="B8400"/>
    </row>
    <row r="8401" spans="1:2">
      <c r="A8401" s="59"/>
      <c r="B8401"/>
    </row>
    <row r="8402" spans="1:2">
      <c r="A8402" s="59"/>
      <c r="B8402"/>
    </row>
    <row r="8403" spans="1:2">
      <c r="A8403" s="59"/>
      <c r="B8403"/>
    </row>
    <row r="8404" spans="1:2">
      <c r="A8404" s="59"/>
      <c r="B8404"/>
    </row>
    <row r="8405" spans="1:2">
      <c r="A8405" s="59"/>
      <c r="B8405"/>
    </row>
    <row r="8406" spans="1:2">
      <c r="A8406" s="59"/>
      <c r="B8406"/>
    </row>
    <row r="8407" spans="1:2">
      <c r="A8407" s="59"/>
      <c r="B8407"/>
    </row>
    <row r="8408" spans="1:2">
      <c r="A8408" s="59"/>
      <c r="B8408"/>
    </row>
    <row r="8409" spans="1:2">
      <c r="A8409" s="59"/>
      <c r="B8409"/>
    </row>
    <row r="8410" spans="1:2">
      <c r="A8410" s="59"/>
      <c r="B8410"/>
    </row>
    <row r="8411" spans="1:2">
      <c r="A8411" s="59"/>
      <c r="B8411"/>
    </row>
    <row r="8412" spans="1:2">
      <c r="A8412" s="59"/>
      <c r="B8412"/>
    </row>
    <row r="8413" spans="1:2">
      <c r="A8413" s="59"/>
      <c r="B8413"/>
    </row>
    <row r="8414" spans="1:2">
      <c r="A8414" s="59"/>
      <c r="B8414"/>
    </row>
    <row r="8415" spans="1:2">
      <c r="A8415" s="59"/>
      <c r="B8415"/>
    </row>
    <row r="8416" spans="1:2">
      <c r="A8416" s="59"/>
      <c r="B8416"/>
    </row>
    <row r="8417" spans="1:2">
      <c r="A8417" s="59"/>
      <c r="B8417"/>
    </row>
    <row r="8418" spans="1:2">
      <c r="A8418" s="59"/>
      <c r="B8418"/>
    </row>
    <row r="8419" spans="1:2">
      <c r="A8419" s="59"/>
      <c r="B8419"/>
    </row>
    <row r="8420" spans="1:2">
      <c r="A8420" s="59"/>
      <c r="B8420"/>
    </row>
    <row r="8421" spans="1:2">
      <c r="A8421" s="59"/>
      <c r="B8421"/>
    </row>
    <row r="8422" spans="1:2">
      <c r="A8422" s="59"/>
      <c r="B8422"/>
    </row>
    <row r="8423" spans="1:2">
      <c r="A8423" s="59"/>
      <c r="B8423"/>
    </row>
    <row r="8424" spans="1:2">
      <c r="A8424" s="59"/>
      <c r="B8424"/>
    </row>
    <row r="8425" spans="1:2">
      <c r="A8425" s="59"/>
      <c r="B8425"/>
    </row>
    <row r="8426" spans="1:2">
      <c r="A8426" s="59"/>
      <c r="B8426"/>
    </row>
    <row r="8427" spans="1:2">
      <c r="A8427" s="59"/>
      <c r="B8427"/>
    </row>
    <row r="8428" spans="1:2">
      <c r="A8428" s="59"/>
      <c r="B8428"/>
    </row>
    <row r="8429" spans="1:2">
      <c r="A8429" s="59"/>
      <c r="B8429"/>
    </row>
    <row r="8430" spans="1:2">
      <c r="A8430" s="59"/>
      <c r="B8430"/>
    </row>
    <row r="8431" spans="1:2">
      <c r="A8431" s="59"/>
      <c r="B8431"/>
    </row>
    <row r="8432" spans="1:2">
      <c r="A8432" s="59"/>
      <c r="B8432"/>
    </row>
    <row r="8433" spans="1:2">
      <c r="A8433" s="59"/>
      <c r="B8433"/>
    </row>
    <row r="8434" spans="1:2">
      <c r="A8434" s="59"/>
      <c r="B8434"/>
    </row>
    <row r="8435" spans="1:2">
      <c r="A8435" s="59"/>
      <c r="B8435"/>
    </row>
    <row r="8436" spans="1:2">
      <c r="A8436" s="59"/>
      <c r="B8436"/>
    </row>
    <row r="8437" spans="1:2">
      <c r="A8437" s="59"/>
      <c r="B8437"/>
    </row>
    <row r="8438" spans="1:2">
      <c r="A8438" s="59"/>
      <c r="B8438"/>
    </row>
    <row r="8439" spans="1:2">
      <c r="A8439" s="59"/>
      <c r="B8439"/>
    </row>
    <row r="8440" spans="1:2">
      <c r="A8440" s="59"/>
      <c r="B8440"/>
    </row>
    <row r="8441" spans="1:2">
      <c r="A8441" s="59"/>
      <c r="B8441"/>
    </row>
    <row r="8442" spans="1:2">
      <c r="A8442" s="59"/>
      <c r="B8442"/>
    </row>
    <row r="8443" spans="1:2">
      <c r="A8443" s="59"/>
      <c r="B8443"/>
    </row>
    <row r="8444" spans="1:2">
      <c r="A8444" s="59"/>
      <c r="B8444"/>
    </row>
    <row r="8445" spans="1:2">
      <c r="A8445" s="59"/>
      <c r="B8445"/>
    </row>
    <row r="8446" spans="1:2">
      <c r="A8446" s="59"/>
      <c r="B8446"/>
    </row>
    <row r="8447" spans="1:2">
      <c r="A8447" s="59"/>
      <c r="B8447"/>
    </row>
    <row r="8448" spans="1:2">
      <c r="A8448" s="59"/>
      <c r="B8448"/>
    </row>
    <row r="8449" spans="1:2">
      <c r="A8449" s="59"/>
      <c r="B8449"/>
    </row>
    <row r="8450" spans="1:2">
      <c r="A8450" s="59"/>
      <c r="B8450"/>
    </row>
    <row r="8451" spans="1:2">
      <c r="A8451" s="59"/>
      <c r="B8451"/>
    </row>
    <row r="8452" spans="1:2">
      <c r="A8452" s="59"/>
      <c r="B8452"/>
    </row>
    <row r="8453" spans="1:2">
      <c r="A8453" s="59"/>
      <c r="B8453"/>
    </row>
    <row r="8454" spans="1:2">
      <c r="A8454" s="59"/>
      <c r="B8454"/>
    </row>
    <row r="8455" spans="1:2">
      <c r="A8455" s="59"/>
      <c r="B8455"/>
    </row>
    <row r="8456" spans="1:2">
      <c r="A8456" s="59"/>
      <c r="B8456"/>
    </row>
    <row r="8457" spans="1:2">
      <c r="A8457" s="59"/>
      <c r="B8457"/>
    </row>
    <row r="8458" spans="1:2">
      <c r="A8458" s="59"/>
      <c r="B8458"/>
    </row>
    <row r="8459" spans="1:2">
      <c r="A8459" s="59"/>
      <c r="B8459"/>
    </row>
    <row r="8460" spans="1:2">
      <c r="A8460" s="59"/>
      <c r="B8460"/>
    </row>
    <row r="8461" spans="1:2">
      <c r="A8461" s="59"/>
      <c r="B8461"/>
    </row>
    <row r="8462" spans="1:2">
      <c r="A8462" s="59"/>
      <c r="B8462"/>
    </row>
    <row r="8463" spans="1:2">
      <c r="A8463" s="59"/>
      <c r="B8463"/>
    </row>
    <row r="8464" spans="1:2">
      <c r="A8464" s="59"/>
      <c r="B8464"/>
    </row>
    <row r="8465" spans="1:2">
      <c r="A8465" s="59"/>
      <c r="B8465"/>
    </row>
    <row r="8466" spans="1:2">
      <c r="A8466" s="59"/>
      <c r="B8466"/>
    </row>
    <row r="8467" spans="1:2">
      <c r="A8467" s="59"/>
      <c r="B8467"/>
    </row>
    <row r="8468" spans="1:2">
      <c r="A8468" s="59"/>
      <c r="B8468"/>
    </row>
    <row r="8469" spans="1:2">
      <c r="A8469" s="59"/>
      <c r="B8469"/>
    </row>
    <row r="8470" spans="1:2">
      <c r="A8470" s="59"/>
      <c r="B8470"/>
    </row>
    <row r="8471" spans="1:2">
      <c r="A8471" s="59"/>
      <c r="B8471"/>
    </row>
    <row r="8472" spans="1:2">
      <c r="A8472" s="59"/>
      <c r="B8472"/>
    </row>
    <row r="8473" spans="1:2">
      <c r="A8473" s="59"/>
      <c r="B8473"/>
    </row>
    <row r="8474" spans="1:2">
      <c r="A8474" s="59"/>
      <c r="B8474"/>
    </row>
    <row r="8475" spans="1:2">
      <c r="A8475" s="59"/>
      <c r="B8475"/>
    </row>
    <row r="8476" spans="1:2">
      <c r="A8476" s="59"/>
      <c r="B8476"/>
    </row>
    <row r="8477" spans="1:2">
      <c r="A8477" s="59"/>
      <c r="B8477"/>
    </row>
    <row r="8478" spans="1:2">
      <c r="A8478" s="59"/>
      <c r="B8478"/>
    </row>
    <row r="8479" spans="1:2">
      <c r="A8479" s="59"/>
      <c r="B8479"/>
    </row>
    <row r="8480" spans="1:2">
      <c r="A8480" s="59"/>
      <c r="B8480"/>
    </row>
    <row r="8481" spans="1:2">
      <c r="A8481" s="59"/>
      <c r="B8481"/>
    </row>
    <row r="8482" spans="1:2">
      <c r="A8482" s="59"/>
      <c r="B8482"/>
    </row>
    <row r="8483" spans="1:2">
      <c r="A8483" s="59"/>
      <c r="B8483"/>
    </row>
    <row r="8484" spans="1:2">
      <c r="A8484" s="59"/>
      <c r="B8484"/>
    </row>
    <row r="8485" spans="1:2">
      <c r="A8485" s="59"/>
      <c r="B8485"/>
    </row>
    <row r="8486" spans="1:2">
      <c r="A8486" s="59"/>
      <c r="B8486"/>
    </row>
    <row r="8487" spans="1:2">
      <c r="A8487" s="59"/>
      <c r="B8487"/>
    </row>
    <row r="8488" spans="1:2">
      <c r="A8488" s="59"/>
      <c r="B8488"/>
    </row>
    <row r="8489" spans="1:2">
      <c r="A8489" s="59"/>
      <c r="B8489"/>
    </row>
    <row r="8490" spans="1:2">
      <c r="A8490" s="59"/>
      <c r="B8490"/>
    </row>
    <row r="8491" spans="1:2">
      <c r="A8491" s="59"/>
      <c r="B8491"/>
    </row>
    <row r="8492" spans="1:2">
      <c r="A8492" s="59"/>
      <c r="B8492"/>
    </row>
    <row r="8493" spans="1:2">
      <c r="A8493" s="59"/>
      <c r="B8493"/>
    </row>
    <row r="8494" spans="1:2">
      <c r="A8494" s="59"/>
      <c r="B8494"/>
    </row>
    <row r="8495" spans="1:2">
      <c r="A8495" s="59"/>
      <c r="B8495"/>
    </row>
    <row r="8496" spans="1:2">
      <c r="A8496" s="59"/>
      <c r="B8496"/>
    </row>
    <row r="8497" spans="1:2">
      <c r="A8497" s="59"/>
      <c r="B8497"/>
    </row>
    <row r="8498" spans="1:2">
      <c r="A8498" s="59"/>
      <c r="B8498"/>
    </row>
    <row r="8499" spans="1:2">
      <c r="A8499" s="59"/>
      <c r="B8499"/>
    </row>
    <row r="8500" spans="1:2">
      <c r="A8500" s="59"/>
      <c r="B8500"/>
    </row>
    <row r="8501" spans="1:2">
      <c r="A8501" s="59"/>
      <c r="B8501"/>
    </row>
    <row r="8502" spans="1:2">
      <c r="A8502" s="59"/>
      <c r="B8502"/>
    </row>
    <row r="8503" spans="1:2">
      <c r="A8503" s="59"/>
      <c r="B8503"/>
    </row>
    <row r="8504" spans="1:2">
      <c r="A8504" s="59"/>
      <c r="B8504"/>
    </row>
    <row r="8505" spans="1:2">
      <c r="A8505" s="59"/>
      <c r="B8505"/>
    </row>
    <row r="8506" spans="1:2">
      <c r="A8506" s="59"/>
      <c r="B8506"/>
    </row>
    <row r="8507" spans="1:2">
      <c r="A8507" s="59"/>
      <c r="B8507"/>
    </row>
    <row r="8508" spans="1:2">
      <c r="A8508" s="59"/>
      <c r="B8508"/>
    </row>
    <row r="8509" spans="1:2">
      <c r="A8509" s="59"/>
      <c r="B8509"/>
    </row>
    <row r="8510" spans="1:2">
      <c r="A8510" s="59"/>
      <c r="B8510"/>
    </row>
    <row r="8511" spans="1:2">
      <c r="A8511" s="59"/>
      <c r="B8511"/>
    </row>
    <row r="8512" spans="1:2">
      <c r="A8512" s="59"/>
      <c r="B8512"/>
    </row>
    <row r="8513" spans="1:2">
      <c r="A8513" s="59"/>
      <c r="B8513"/>
    </row>
    <row r="8514" spans="1:2">
      <c r="A8514" s="59"/>
      <c r="B8514"/>
    </row>
    <row r="8515" spans="1:2">
      <c r="A8515" s="59"/>
      <c r="B8515"/>
    </row>
    <row r="8516" spans="1:2">
      <c r="A8516" s="59"/>
      <c r="B8516"/>
    </row>
    <row r="8517" spans="1:2">
      <c r="A8517" s="59"/>
      <c r="B8517"/>
    </row>
    <row r="8518" spans="1:2">
      <c r="A8518" s="59"/>
      <c r="B8518"/>
    </row>
    <row r="8519" spans="1:2">
      <c r="A8519" s="59"/>
      <c r="B8519"/>
    </row>
    <row r="8520" spans="1:2">
      <c r="A8520" s="59"/>
      <c r="B8520"/>
    </row>
    <row r="8521" spans="1:2">
      <c r="A8521" s="59"/>
      <c r="B8521"/>
    </row>
    <row r="8522" spans="1:2">
      <c r="A8522" s="59"/>
      <c r="B8522"/>
    </row>
    <row r="8523" spans="1:2">
      <c r="A8523" s="59"/>
      <c r="B8523"/>
    </row>
    <row r="8524" spans="1:2">
      <c r="A8524" s="59"/>
      <c r="B8524"/>
    </row>
    <row r="8525" spans="1:2">
      <c r="A8525" s="59"/>
      <c r="B8525"/>
    </row>
    <row r="8526" spans="1:2">
      <c r="A8526" s="59"/>
      <c r="B8526"/>
    </row>
    <row r="8527" spans="1:2">
      <c r="A8527" s="59"/>
      <c r="B8527"/>
    </row>
    <row r="8528" spans="1:2">
      <c r="A8528" s="59"/>
      <c r="B8528"/>
    </row>
    <row r="8529" spans="1:2">
      <c r="A8529" s="59"/>
      <c r="B8529"/>
    </row>
    <row r="8530" spans="1:2">
      <c r="A8530" s="59"/>
      <c r="B8530"/>
    </row>
    <row r="8531" spans="1:2">
      <c r="A8531" s="59"/>
      <c r="B8531"/>
    </row>
    <row r="8532" spans="1:2">
      <c r="A8532" s="59"/>
      <c r="B8532"/>
    </row>
    <row r="8533" spans="1:2">
      <c r="A8533" s="59"/>
      <c r="B8533"/>
    </row>
    <row r="8534" spans="1:2">
      <c r="A8534" s="59"/>
      <c r="B8534"/>
    </row>
    <row r="8535" spans="1:2">
      <c r="A8535" s="59"/>
      <c r="B8535"/>
    </row>
    <row r="8536" spans="1:2">
      <c r="A8536" s="59"/>
      <c r="B8536"/>
    </row>
    <row r="8537" spans="1:2">
      <c r="A8537" s="59"/>
      <c r="B8537"/>
    </row>
    <row r="8538" spans="1:2">
      <c r="A8538" s="59"/>
      <c r="B8538"/>
    </row>
    <row r="8539" spans="1:2">
      <c r="A8539" s="59"/>
      <c r="B8539"/>
    </row>
    <row r="8540" spans="1:2">
      <c r="A8540" s="59"/>
      <c r="B8540"/>
    </row>
    <row r="8541" spans="1:2">
      <c r="A8541" s="59"/>
      <c r="B8541"/>
    </row>
    <row r="8542" spans="1:2">
      <c r="A8542" s="59"/>
      <c r="B8542"/>
    </row>
    <row r="8543" spans="1:2">
      <c r="A8543" s="59"/>
      <c r="B8543"/>
    </row>
    <row r="8544" spans="1:2">
      <c r="A8544" s="59"/>
      <c r="B8544"/>
    </row>
    <row r="8545" spans="1:2">
      <c r="A8545" s="59"/>
      <c r="B8545"/>
    </row>
    <row r="8546" spans="1:2">
      <c r="A8546" s="59"/>
      <c r="B8546"/>
    </row>
    <row r="8547" spans="1:2">
      <c r="A8547" s="59"/>
      <c r="B8547"/>
    </row>
    <row r="8548" spans="1:2">
      <c r="A8548" s="59"/>
      <c r="B8548"/>
    </row>
    <row r="8549" spans="1:2">
      <c r="A8549" s="59"/>
      <c r="B8549"/>
    </row>
    <row r="8550" spans="1:2">
      <c r="A8550" s="59"/>
      <c r="B8550"/>
    </row>
    <row r="8551" spans="1:2">
      <c r="A8551" s="59"/>
      <c r="B8551"/>
    </row>
    <row r="8552" spans="1:2">
      <c r="A8552" s="59"/>
      <c r="B8552"/>
    </row>
    <row r="8553" spans="1:2">
      <c r="A8553" s="59"/>
      <c r="B8553"/>
    </row>
    <row r="8554" spans="1:2">
      <c r="A8554" s="59"/>
      <c r="B8554"/>
    </row>
    <row r="8555" spans="1:2">
      <c r="A8555" s="59"/>
      <c r="B8555"/>
    </row>
    <row r="8556" spans="1:2">
      <c r="A8556" s="59"/>
      <c r="B8556"/>
    </row>
    <row r="8557" spans="1:2">
      <c r="A8557" s="59"/>
      <c r="B8557"/>
    </row>
    <row r="8558" spans="1:2">
      <c r="A8558" s="59"/>
      <c r="B8558"/>
    </row>
    <row r="8559" spans="1:2">
      <c r="A8559" s="59"/>
      <c r="B8559"/>
    </row>
    <row r="8560" spans="1:2">
      <c r="A8560" s="59"/>
      <c r="B8560"/>
    </row>
    <row r="8561" spans="1:2">
      <c r="A8561" s="59"/>
      <c r="B8561"/>
    </row>
    <row r="8562" spans="1:2">
      <c r="A8562" s="59"/>
      <c r="B8562"/>
    </row>
    <row r="8563" spans="1:2">
      <c r="A8563" s="59"/>
      <c r="B8563"/>
    </row>
    <row r="8564" spans="1:2">
      <c r="A8564" s="59"/>
      <c r="B8564"/>
    </row>
    <row r="8565" spans="1:2">
      <c r="A8565" s="59"/>
      <c r="B8565"/>
    </row>
    <row r="8566" spans="1:2">
      <c r="A8566" s="59"/>
      <c r="B8566"/>
    </row>
    <row r="8567" spans="1:2">
      <c r="A8567" s="59"/>
      <c r="B8567"/>
    </row>
    <row r="8568" spans="1:2">
      <c r="A8568" s="59"/>
      <c r="B8568"/>
    </row>
    <row r="8569" spans="1:2">
      <c r="A8569" s="59"/>
      <c r="B8569"/>
    </row>
    <row r="8570" spans="1:2">
      <c r="A8570" s="59"/>
      <c r="B8570"/>
    </row>
    <row r="8571" spans="1:2">
      <c r="A8571" s="59"/>
      <c r="B8571"/>
    </row>
    <row r="8572" spans="1:2">
      <c r="A8572" s="59"/>
      <c r="B8572"/>
    </row>
    <row r="8573" spans="1:2">
      <c r="A8573" s="59"/>
      <c r="B8573"/>
    </row>
    <row r="8574" spans="1:2">
      <c r="A8574" s="59"/>
      <c r="B8574"/>
    </row>
    <row r="8575" spans="1:2">
      <c r="A8575" s="59"/>
      <c r="B8575"/>
    </row>
    <row r="8576" spans="1:2">
      <c r="A8576" s="59"/>
      <c r="B8576"/>
    </row>
    <row r="8577" spans="1:2">
      <c r="A8577" s="59"/>
      <c r="B8577"/>
    </row>
    <row r="8578" spans="1:2">
      <c r="A8578" s="59"/>
      <c r="B8578"/>
    </row>
    <row r="8579" spans="1:2">
      <c r="A8579" s="59"/>
      <c r="B8579"/>
    </row>
    <row r="8580" spans="1:2">
      <c r="A8580" s="59"/>
      <c r="B8580"/>
    </row>
    <row r="8581" spans="1:2">
      <c r="A8581" s="59"/>
      <c r="B8581"/>
    </row>
    <row r="8582" spans="1:2">
      <c r="A8582" s="59"/>
      <c r="B8582"/>
    </row>
    <row r="8583" spans="1:2">
      <c r="A8583" s="59"/>
      <c r="B8583"/>
    </row>
    <row r="8584" spans="1:2">
      <c r="A8584" s="59"/>
      <c r="B8584"/>
    </row>
    <row r="8585" spans="1:2">
      <c r="A8585" s="59"/>
      <c r="B8585"/>
    </row>
    <row r="8586" spans="1:2">
      <c r="A8586" s="59"/>
      <c r="B8586"/>
    </row>
    <row r="8587" spans="1:2">
      <c r="A8587" s="59"/>
      <c r="B8587"/>
    </row>
    <row r="8588" spans="1:2">
      <c r="A8588" s="59"/>
      <c r="B8588"/>
    </row>
    <row r="8589" spans="1:2">
      <c r="A8589" s="59"/>
      <c r="B8589"/>
    </row>
    <row r="8590" spans="1:2">
      <c r="A8590" s="59"/>
      <c r="B8590"/>
    </row>
    <row r="8591" spans="1:2">
      <c r="A8591" s="59"/>
      <c r="B8591"/>
    </row>
    <row r="8592" spans="1:2">
      <c r="A8592" s="59"/>
      <c r="B8592"/>
    </row>
    <row r="8593" spans="1:2">
      <c r="A8593" s="59"/>
      <c r="B8593"/>
    </row>
    <row r="8594" spans="1:2">
      <c r="A8594" s="59"/>
      <c r="B8594"/>
    </row>
    <row r="8595" spans="1:2">
      <c r="A8595" s="59"/>
      <c r="B8595"/>
    </row>
    <row r="8596" spans="1:2">
      <c r="A8596" s="59"/>
      <c r="B8596"/>
    </row>
    <row r="8597" spans="1:2">
      <c r="A8597" s="59"/>
      <c r="B8597"/>
    </row>
    <row r="8598" spans="1:2">
      <c r="A8598" s="59"/>
      <c r="B8598"/>
    </row>
    <row r="8599" spans="1:2">
      <c r="A8599" s="59"/>
      <c r="B8599"/>
    </row>
    <row r="8600" spans="1:2">
      <c r="A8600" s="59"/>
      <c r="B8600"/>
    </row>
    <row r="8601" spans="1:2">
      <c r="A8601" s="59"/>
      <c r="B8601"/>
    </row>
    <row r="8602" spans="1:2">
      <c r="A8602" s="59"/>
      <c r="B8602"/>
    </row>
    <row r="8603" spans="1:2">
      <c r="A8603" s="59"/>
      <c r="B8603"/>
    </row>
    <row r="8604" spans="1:2">
      <c r="A8604" s="59"/>
      <c r="B8604"/>
    </row>
    <row r="8605" spans="1:2">
      <c r="A8605" s="59"/>
      <c r="B8605"/>
    </row>
    <row r="8606" spans="1:2">
      <c r="A8606" s="59"/>
      <c r="B8606"/>
    </row>
    <row r="8607" spans="1:2">
      <c r="A8607" s="59"/>
      <c r="B8607"/>
    </row>
    <row r="8608" spans="1:2">
      <c r="A8608" s="59"/>
      <c r="B8608"/>
    </row>
    <row r="8609" spans="1:2">
      <c r="A8609" s="59"/>
      <c r="B8609"/>
    </row>
    <row r="8610" spans="1:2">
      <c r="A8610" s="59"/>
      <c r="B8610"/>
    </row>
    <row r="8611" spans="1:2">
      <c r="A8611" s="59"/>
      <c r="B8611"/>
    </row>
    <row r="8612" spans="1:2">
      <c r="A8612" s="59"/>
      <c r="B8612"/>
    </row>
    <row r="8613" spans="1:2">
      <c r="A8613" s="59"/>
      <c r="B8613"/>
    </row>
    <row r="8614" spans="1:2">
      <c r="A8614" s="59"/>
      <c r="B8614"/>
    </row>
    <row r="8615" spans="1:2">
      <c r="A8615" s="59"/>
      <c r="B8615"/>
    </row>
    <row r="8616" spans="1:2">
      <c r="A8616" s="59"/>
      <c r="B8616"/>
    </row>
    <row r="8617" spans="1:2">
      <c r="A8617" s="59"/>
      <c r="B8617"/>
    </row>
    <row r="8618" spans="1:2">
      <c r="A8618" s="59"/>
      <c r="B8618"/>
    </row>
    <row r="8619" spans="1:2">
      <c r="A8619" s="59"/>
      <c r="B8619"/>
    </row>
    <row r="8620" spans="1:2">
      <c r="A8620" s="59"/>
      <c r="B8620"/>
    </row>
    <row r="8621" spans="1:2">
      <c r="A8621" s="59"/>
      <c r="B8621"/>
    </row>
    <row r="8622" spans="1:2">
      <c r="A8622" s="59"/>
      <c r="B8622"/>
    </row>
    <row r="8623" spans="1:2">
      <c r="A8623" s="59"/>
      <c r="B8623"/>
    </row>
    <row r="8624" spans="1:2">
      <c r="A8624" s="59"/>
      <c r="B8624"/>
    </row>
    <row r="8625" spans="1:2">
      <c r="A8625" s="59"/>
      <c r="B8625"/>
    </row>
    <row r="8626" spans="1:2">
      <c r="A8626" s="59"/>
      <c r="B8626"/>
    </row>
    <row r="8627" spans="1:2">
      <c r="A8627" s="59"/>
      <c r="B8627"/>
    </row>
    <row r="8628" spans="1:2">
      <c r="A8628" s="59"/>
      <c r="B8628"/>
    </row>
    <row r="8629" spans="1:2">
      <c r="A8629" s="59"/>
      <c r="B8629"/>
    </row>
    <row r="8630" spans="1:2">
      <c r="A8630" s="59"/>
      <c r="B8630"/>
    </row>
    <row r="8631" spans="1:2">
      <c r="A8631" s="59"/>
      <c r="B8631"/>
    </row>
    <row r="8632" spans="1:2">
      <c r="A8632" s="59"/>
      <c r="B8632"/>
    </row>
    <row r="8633" spans="1:2">
      <c r="A8633" s="59"/>
      <c r="B8633"/>
    </row>
    <row r="8634" spans="1:2">
      <c r="A8634" s="59"/>
      <c r="B8634"/>
    </row>
    <row r="8635" spans="1:2">
      <c r="A8635" s="59"/>
      <c r="B8635"/>
    </row>
    <row r="8636" spans="1:2">
      <c r="A8636" s="59"/>
      <c r="B8636"/>
    </row>
    <row r="8637" spans="1:2">
      <c r="A8637" s="59"/>
      <c r="B8637"/>
    </row>
    <row r="8638" spans="1:2">
      <c r="A8638" s="59"/>
      <c r="B8638"/>
    </row>
    <row r="8639" spans="1:2">
      <c r="A8639" s="59"/>
      <c r="B8639"/>
    </row>
    <row r="8640" spans="1:2">
      <c r="A8640" s="59"/>
      <c r="B8640"/>
    </row>
    <row r="8641" spans="1:2">
      <c r="A8641" s="59"/>
      <c r="B8641"/>
    </row>
    <row r="8642" spans="1:2">
      <c r="A8642" s="59"/>
      <c r="B8642"/>
    </row>
    <row r="8643" spans="1:2">
      <c r="A8643" s="59"/>
      <c r="B8643"/>
    </row>
    <row r="8644" spans="1:2">
      <c r="A8644" s="59"/>
      <c r="B8644"/>
    </row>
    <row r="8645" spans="1:2">
      <c r="A8645" s="59"/>
      <c r="B8645"/>
    </row>
    <row r="8646" spans="1:2">
      <c r="A8646" s="59"/>
      <c r="B8646"/>
    </row>
    <row r="8647" spans="1:2">
      <c r="A8647" s="59"/>
      <c r="B8647"/>
    </row>
    <row r="8648" spans="1:2">
      <c r="A8648" s="59"/>
      <c r="B8648"/>
    </row>
    <row r="8649" spans="1:2">
      <c r="A8649" s="59"/>
      <c r="B8649"/>
    </row>
    <row r="8650" spans="1:2">
      <c r="A8650" s="59"/>
      <c r="B8650"/>
    </row>
    <row r="8651" spans="1:2">
      <c r="A8651" s="59"/>
      <c r="B8651"/>
    </row>
    <row r="8652" spans="1:2">
      <c r="A8652" s="59"/>
      <c r="B8652"/>
    </row>
    <row r="8653" spans="1:2">
      <c r="A8653" s="59"/>
      <c r="B8653"/>
    </row>
    <row r="8654" spans="1:2">
      <c r="A8654" s="59"/>
      <c r="B8654"/>
    </row>
    <row r="8655" spans="1:2">
      <c r="A8655" s="59"/>
      <c r="B8655"/>
    </row>
    <row r="8656" spans="1:2">
      <c r="A8656" s="59"/>
      <c r="B8656"/>
    </row>
    <row r="8657" spans="1:2">
      <c r="A8657" s="59"/>
      <c r="B8657"/>
    </row>
    <row r="8658" spans="1:2">
      <c r="A8658" s="59"/>
      <c r="B8658"/>
    </row>
    <row r="8659" spans="1:2">
      <c r="A8659" s="59"/>
      <c r="B8659"/>
    </row>
    <row r="8660" spans="1:2">
      <c r="A8660" s="59"/>
      <c r="B8660"/>
    </row>
    <row r="8661" spans="1:2">
      <c r="A8661" s="59"/>
      <c r="B8661"/>
    </row>
    <row r="8662" spans="1:2">
      <c r="A8662" s="59"/>
      <c r="B8662"/>
    </row>
    <row r="8663" spans="1:2">
      <c r="A8663" s="59"/>
      <c r="B8663"/>
    </row>
    <row r="8664" spans="1:2">
      <c r="A8664" s="59"/>
      <c r="B8664"/>
    </row>
    <row r="8665" spans="1:2">
      <c r="A8665" s="59"/>
      <c r="B8665"/>
    </row>
    <row r="8666" spans="1:2">
      <c r="A8666" s="59"/>
      <c r="B8666"/>
    </row>
    <row r="8667" spans="1:2">
      <c r="A8667" s="59"/>
      <c r="B8667"/>
    </row>
    <row r="8668" spans="1:2">
      <c r="A8668" s="59"/>
      <c r="B8668"/>
    </row>
    <row r="8669" spans="1:2">
      <c r="A8669" s="59"/>
      <c r="B8669"/>
    </row>
    <row r="8670" spans="1:2">
      <c r="A8670" s="59"/>
      <c r="B8670"/>
    </row>
    <row r="8671" spans="1:2">
      <c r="A8671" s="59"/>
      <c r="B8671"/>
    </row>
    <row r="8672" spans="1:2">
      <c r="A8672" s="59"/>
      <c r="B8672"/>
    </row>
    <row r="8673" spans="1:2">
      <c r="A8673" s="59"/>
      <c r="B8673"/>
    </row>
    <row r="8674" spans="1:2">
      <c r="A8674" s="59"/>
      <c r="B8674"/>
    </row>
    <row r="8675" spans="1:2">
      <c r="A8675" s="59"/>
      <c r="B8675"/>
    </row>
    <row r="8676" spans="1:2">
      <c r="A8676" s="59"/>
      <c r="B8676"/>
    </row>
    <row r="8677" spans="1:2">
      <c r="A8677" s="59"/>
      <c r="B8677"/>
    </row>
    <row r="8678" spans="1:2">
      <c r="A8678" s="59"/>
      <c r="B8678"/>
    </row>
    <row r="8679" spans="1:2">
      <c r="A8679" s="59"/>
      <c r="B8679"/>
    </row>
    <row r="8680" spans="1:2">
      <c r="A8680" s="59"/>
      <c r="B8680"/>
    </row>
    <row r="8681" spans="1:2">
      <c r="A8681" s="59"/>
      <c r="B8681"/>
    </row>
    <row r="8682" spans="1:2">
      <c r="A8682" s="59"/>
      <c r="B8682"/>
    </row>
    <row r="8683" spans="1:2">
      <c r="A8683" s="59"/>
      <c r="B8683"/>
    </row>
    <row r="8684" spans="1:2">
      <c r="A8684" s="59"/>
      <c r="B8684"/>
    </row>
    <row r="8685" spans="1:2">
      <c r="A8685" s="59"/>
      <c r="B8685"/>
    </row>
    <row r="8686" spans="1:2">
      <c r="A8686" s="59"/>
      <c r="B8686"/>
    </row>
    <row r="8687" spans="1:2">
      <c r="A8687" s="59"/>
      <c r="B8687"/>
    </row>
    <row r="8688" spans="1:2">
      <c r="A8688" s="59"/>
      <c r="B8688"/>
    </row>
    <row r="8689" spans="1:2">
      <c r="A8689" s="59"/>
      <c r="B8689"/>
    </row>
    <row r="8690" spans="1:2">
      <c r="A8690" s="59"/>
      <c r="B8690"/>
    </row>
    <row r="8691" spans="1:2">
      <c r="A8691" s="59"/>
      <c r="B8691"/>
    </row>
    <row r="8692" spans="1:2">
      <c r="A8692" s="59"/>
      <c r="B8692"/>
    </row>
    <row r="8693" spans="1:2">
      <c r="A8693" s="59"/>
      <c r="B8693"/>
    </row>
    <row r="8694" spans="1:2">
      <c r="A8694" s="59"/>
      <c r="B8694"/>
    </row>
    <row r="8695" spans="1:2">
      <c r="A8695" s="59"/>
      <c r="B8695"/>
    </row>
    <row r="8696" spans="1:2">
      <c r="A8696" s="59"/>
      <c r="B8696"/>
    </row>
    <row r="8697" spans="1:2">
      <c r="A8697" s="59"/>
      <c r="B8697"/>
    </row>
    <row r="8698" spans="1:2">
      <c r="A8698" s="59"/>
      <c r="B8698"/>
    </row>
    <row r="8699" spans="1:2">
      <c r="A8699" s="59"/>
      <c r="B8699"/>
    </row>
    <row r="8700" spans="1:2">
      <c r="A8700" s="59"/>
      <c r="B8700"/>
    </row>
    <row r="8701" spans="1:2">
      <c r="A8701" s="59"/>
      <c r="B8701"/>
    </row>
    <row r="8702" spans="1:2">
      <c r="A8702" s="59"/>
      <c r="B8702"/>
    </row>
    <row r="8703" spans="1:2">
      <c r="A8703" s="59"/>
      <c r="B8703"/>
    </row>
    <row r="8704" spans="1:2">
      <c r="A8704" s="59"/>
      <c r="B8704"/>
    </row>
    <row r="8705" spans="1:2">
      <c r="A8705" s="59"/>
      <c r="B8705"/>
    </row>
    <row r="8706" spans="1:2">
      <c r="A8706" s="59"/>
      <c r="B8706"/>
    </row>
    <row r="8707" spans="1:2">
      <c r="A8707" s="59"/>
      <c r="B8707"/>
    </row>
    <row r="8708" spans="1:2">
      <c r="A8708" s="59"/>
      <c r="B8708"/>
    </row>
    <row r="8709" spans="1:2">
      <c r="A8709" s="59"/>
      <c r="B8709"/>
    </row>
    <row r="8710" spans="1:2">
      <c r="A8710" s="59"/>
      <c r="B8710"/>
    </row>
    <row r="8711" spans="1:2">
      <c r="A8711" s="59"/>
      <c r="B8711"/>
    </row>
    <row r="8712" spans="1:2">
      <c r="A8712" s="59"/>
      <c r="B8712"/>
    </row>
    <row r="8713" spans="1:2">
      <c r="A8713" s="59"/>
      <c r="B8713"/>
    </row>
    <row r="8714" spans="1:2">
      <c r="A8714" s="59"/>
      <c r="B8714"/>
    </row>
    <row r="8715" spans="1:2">
      <c r="A8715" s="59"/>
      <c r="B8715"/>
    </row>
    <row r="8716" spans="1:2">
      <c r="A8716" s="59"/>
      <c r="B8716"/>
    </row>
    <row r="8717" spans="1:2">
      <c r="A8717" s="59"/>
      <c r="B8717"/>
    </row>
    <row r="8718" spans="1:2">
      <c r="A8718" s="59"/>
      <c r="B8718"/>
    </row>
    <row r="8719" spans="1:2">
      <c r="A8719" s="59"/>
      <c r="B8719"/>
    </row>
    <row r="8720" spans="1:2">
      <c r="A8720" s="59"/>
      <c r="B8720"/>
    </row>
    <row r="8721" spans="1:2">
      <c r="A8721" s="59"/>
      <c r="B8721"/>
    </row>
    <row r="8722" spans="1:2">
      <c r="A8722" s="59"/>
      <c r="B8722"/>
    </row>
    <row r="8723" spans="1:2">
      <c r="A8723" s="59"/>
      <c r="B8723"/>
    </row>
    <row r="8724" spans="1:2">
      <c r="A8724" s="59"/>
      <c r="B8724"/>
    </row>
    <row r="8725" spans="1:2">
      <c r="A8725" s="59"/>
      <c r="B8725"/>
    </row>
    <row r="8726" spans="1:2">
      <c r="A8726" s="59"/>
      <c r="B8726"/>
    </row>
    <row r="8727" spans="1:2">
      <c r="A8727" s="59"/>
      <c r="B8727"/>
    </row>
    <row r="8728" spans="1:2">
      <c r="A8728" s="59"/>
      <c r="B8728"/>
    </row>
    <row r="8729" spans="1:2">
      <c r="A8729" s="59"/>
      <c r="B8729"/>
    </row>
    <row r="8730" spans="1:2">
      <c r="A8730" s="59"/>
      <c r="B8730"/>
    </row>
    <row r="8731" spans="1:2">
      <c r="A8731" s="59"/>
      <c r="B8731"/>
    </row>
    <row r="8732" spans="1:2">
      <c r="A8732" s="59"/>
      <c r="B8732"/>
    </row>
    <row r="8733" spans="1:2">
      <c r="A8733" s="59"/>
      <c r="B8733"/>
    </row>
    <row r="8734" spans="1:2">
      <c r="A8734" s="59"/>
      <c r="B8734"/>
    </row>
    <row r="8735" spans="1:2">
      <c r="A8735" s="59"/>
      <c r="B8735"/>
    </row>
    <row r="8736" spans="1:2">
      <c r="A8736" s="59"/>
      <c r="B8736"/>
    </row>
    <row r="8737" spans="1:2">
      <c r="A8737" s="59"/>
      <c r="B8737"/>
    </row>
    <row r="8738" spans="1:2">
      <c r="A8738" s="59"/>
      <c r="B8738"/>
    </row>
    <row r="8739" spans="1:2">
      <c r="A8739" s="59"/>
      <c r="B8739"/>
    </row>
    <row r="8740" spans="1:2">
      <c r="A8740" s="59"/>
      <c r="B8740"/>
    </row>
    <row r="8741" spans="1:2">
      <c r="A8741" s="59"/>
      <c r="B8741"/>
    </row>
    <row r="8742" spans="1:2">
      <c r="A8742" s="59"/>
      <c r="B8742"/>
    </row>
    <row r="8743" spans="1:2">
      <c r="A8743" s="59"/>
      <c r="B8743"/>
    </row>
    <row r="8744" spans="1:2">
      <c r="A8744" s="59"/>
      <c r="B8744"/>
    </row>
    <row r="8745" spans="1:2">
      <c r="A8745" s="59"/>
      <c r="B8745"/>
    </row>
    <row r="8746" spans="1:2">
      <c r="A8746" s="59"/>
      <c r="B8746"/>
    </row>
    <row r="8747" spans="1:2">
      <c r="A8747" s="59"/>
      <c r="B8747"/>
    </row>
    <row r="8748" spans="1:2">
      <c r="A8748" s="59"/>
      <c r="B8748"/>
    </row>
    <row r="8749" spans="1:2">
      <c r="A8749" s="59"/>
      <c r="B8749"/>
    </row>
    <row r="8750" spans="1:2">
      <c r="A8750" s="59"/>
      <c r="B8750"/>
    </row>
    <row r="8751" spans="1:2">
      <c r="A8751" s="59"/>
      <c r="B8751"/>
    </row>
    <row r="8752" spans="1:2">
      <c r="A8752" s="59"/>
      <c r="B8752"/>
    </row>
    <row r="8753" spans="1:2">
      <c r="A8753" s="59"/>
      <c r="B8753"/>
    </row>
    <row r="8754" spans="1:2">
      <c r="A8754" s="59"/>
      <c r="B8754"/>
    </row>
    <row r="8755" spans="1:2">
      <c r="A8755" s="59"/>
      <c r="B8755"/>
    </row>
    <row r="8756" spans="1:2">
      <c r="A8756" s="59"/>
      <c r="B8756"/>
    </row>
    <row r="8757" spans="1:2">
      <c r="A8757" s="59"/>
      <c r="B8757"/>
    </row>
    <row r="8758" spans="1:2">
      <c r="A8758" s="59"/>
      <c r="B8758"/>
    </row>
    <row r="8759" spans="1:2">
      <c r="A8759" s="59"/>
      <c r="B8759"/>
    </row>
    <row r="8760" spans="1:2">
      <c r="A8760" s="59"/>
      <c r="B8760"/>
    </row>
    <row r="8761" spans="1:2">
      <c r="A8761" s="59"/>
      <c r="B8761"/>
    </row>
    <row r="8762" spans="1:2">
      <c r="A8762" s="59"/>
      <c r="B8762"/>
    </row>
    <row r="8763" spans="1:2">
      <c r="A8763" s="59"/>
      <c r="B8763"/>
    </row>
    <row r="8764" spans="1:2">
      <c r="A8764" s="59"/>
      <c r="B8764"/>
    </row>
    <row r="8765" spans="1:2">
      <c r="A8765" s="59"/>
      <c r="B8765"/>
    </row>
    <row r="8766" spans="1:2">
      <c r="A8766" s="59"/>
      <c r="B8766"/>
    </row>
    <row r="8767" spans="1:2">
      <c r="A8767" s="59"/>
      <c r="B8767"/>
    </row>
    <row r="8768" spans="1:2">
      <c r="A8768" s="59"/>
      <c r="B8768"/>
    </row>
    <row r="8769" spans="1:2">
      <c r="A8769" s="59"/>
      <c r="B8769"/>
    </row>
    <row r="8770" spans="1:2">
      <c r="A8770" s="59"/>
      <c r="B8770"/>
    </row>
    <row r="8771" spans="1:2">
      <c r="A8771" s="59"/>
      <c r="B8771"/>
    </row>
    <row r="8772" spans="1:2">
      <c r="A8772" s="59"/>
      <c r="B8772"/>
    </row>
    <row r="8773" spans="1:2">
      <c r="A8773" s="59"/>
      <c r="B8773"/>
    </row>
    <row r="8774" spans="1:2">
      <c r="A8774" s="59"/>
      <c r="B8774"/>
    </row>
    <row r="8775" spans="1:2">
      <c r="A8775" s="59"/>
      <c r="B8775"/>
    </row>
    <row r="8776" spans="1:2">
      <c r="A8776" s="59"/>
      <c r="B8776"/>
    </row>
    <row r="8777" spans="1:2">
      <c r="A8777" s="59"/>
      <c r="B8777"/>
    </row>
    <row r="8778" spans="1:2">
      <c r="A8778" s="59"/>
      <c r="B8778"/>
    </row>
    <row r="8779" spans="1:2">
      <c r="A8779" s="59"/>
      <c r="B8779"/>
    </row>
    <row r="8780" spans="1:2">
      <c r="A8780" s="59"/>
      <c r="B8780"/>
    </row>
    <row r="8781" spans="1:2">
      <c r="A8781" s="59"/>
      <c r="B8781"/>
    </row>
    <row r="8782" spans="1:2">
      <c r="A8782" s="59"/>
      <c r="B8782"/>
    </row>
    <row r="8783" spans="1:2">
      <c r="A8783" s="59"/>
      <c r="B8783"/>
    </row>
    <row r="8784" spans="1:2">
      <c r="A8784" s="59"/>
      <c r="B8784"/>
    </row>
    <row r="8785" spans="1:2">
      <c r="A8785" s="59"/>
      <c r="B8785"/>
    </row>
    <row r="8786" spans="1:2">
      <c r="A8786" s="59"/>
      <c r="B8786"/>
    </row>
    <row r="8787" spans="1:2">
      <c r="A8787" s="59"/>
      <c r="B8787"/>
    </row>
    <row r="8788" spans="1:2">
      <c r="A8788" s="59"/>
      <c r="B8788"/>
    </row>
    <row r="8789" spans="1:2">
      <c r="A8789" s="59"/>
      <c r="B8789"/>
    </row>
    <row r="8790" spans="1:2">
      <c r="A8790" s="59"/>
      <c r="B8790"/>
    </row>
    <row r="8791" spans="1:2">
      <c r="A8791" s="59"/>
      <c r="B8791"/>
    </row>
    <row r="8792" spans="1:2">
      <c r="A8792" s="59"/>
      <c r="B8792"/>
    </row>
    <row r="8793" spans="1:2">
      <c r="A8793" s="59"/>
      <c r="B8793"/>
    </row>
    <row r="8794" spans="1:2">
      <c r="A8794" s="59"/>
      <c r="B8794"/>
    </row>
    <row r="8795" spans="1:2">
      <c r="A8795" s="59"/>
      <c r="B8795"/>
    </row>
    <row r="8796" spans="1:2">
      <c r="A8796" s="59"/>
      <c r="B8796"/>
    </row>
    <row r="8797" spans="1:2">
      <c r="A8797" s="59"/>
      <c r="B8797"/>
    </row>
    <row r="8798" spans="1:2">
      <c r="A8798" s="59"/>
      <c r="B8798"/>
    </row>
    <row r="8799" spans="1:2">
      <c r="A8799" s="59"/>
      <c r="B8799"/>
    </row>
    <row r="8800" spans="1:2">
      <c r="A8800" s="59"/>
      <c r="B8800"/>
    </row>
    <row r="8801" spans="1:2">
      <c r="A8801" s="59"/>
      <c r="B8801"/>
    </row>
    <row r="8802" spans="1:2">
      <c r="A8802" s="59"/>
      <c r="B8802"/>
    </row>
    <row r="8803" spans="1:2">
      <c r="A8803" s="59"/>
      <c r="B8803"/>
    </row>
    <row r="8804" spans="1:2">
      <c r="A8804" s="59"/>
      <c r="B8804"/>
    </row>
    <row r="8805" spans="1:2">
      <c r="A8805" s="59"/>
      <c r="B8805"/>
    </row>
    <row r="8806" spans="1:2">
      <c r="A8806" s="59"/>
      <c r="B8806"/>
    </row>
    <row r="8807" spans="1:2">
      <c r="A8807" s="59"/>
      <c r="B8807"/>
    </row>
    <row r="8808" spans="1:2">
      <c r="A8808" s="59"/>
      <c r="B8808"/>
    </row>
    <row r="8809" spans="1:2">
      <c r="A8809" s="59"/>
      <c r="B8809"/>
    </row>
    <row r="8810" spans="1:2">
      <c r="A8810" s="59"/>
      <c r="B8810"/>
    </row>
    <row r="8811" spans="1:2">
      <c r="A8811" s="59"/>
      <c r="B8811"/>
    </row>
    <row r="8812" spans="1:2">
      <c r="A8812" s="59"/>
      <c r="B8812"/>
    </row>
    <row r="8813" spans="1:2">
      <c r="A8813" s="59"/>
      <c r="B8813"/>
    </row>
    <row r="8814" spans="1:2">
      <c r="A8814" s="59"/>
      <c r="B8814"/>
    </row>
    <row r="8815" spans="1:2">
      <c r="A8815" s="59"/>
      <c r="B8815"/>
    </row>
    <row r="8816" spans="1:2">
      <c r="A8816" s="59"/>
      <c r="B8816"/>
    </row>
    <row r="8817" spans="1:2">
      <c r="A8817" s="59"/>
      <c r="B8817"/>
    </row>
    <row r="8818" spans="1:2">
      <c r="A8818" s="59"/>
      <c r="B8818"/>
    </row>
    <row r="8819" spans="1:2">
      <c r="A8819" s="59"/>
      <c r="B8819"/>
    </row>
    <row r="8820" spans="1:2">
      <c r="A8820" s="59"/>
      <c r="B8820"/>
    </row>
    <row r="8821" spans="1:2">
      <c r="A8821" s="59"/>
      <c r="B8821"/>
    </row>
    <row r="8822" spans="1:2">
      <c r="A8822" s="59"/>
      <c r="B8822"/>
    </row>
    <row r="8823" spans="1:2">
      <c r="A8823" s="59"/>
      <c r="B8823"/>
    </row>
    <row r="8824" spans="1:2">
      <c r="A8824" s="59"/>
      <c r="B8824"/>
    </row>
    <row r="8825" spans="1:2">
      <c r="A8825" s="59"/>
      <c r="B8825"/>
    </row>
    <row r="8826" spans="1:2">
      <c r="A8826" s="59"/>
      <c r="B8826"/>
    </row>
    <row r="8827" spans="1:2">
      <c r="A8827" s="59"/>
      <c r="B8827"/>
    </row>
    <row r="8828" spans="1:2">
      <c r="A8828" s="59"/>
      <c r="B8828"/>
    </row>
    <row r="8829" spans="1:2">
      <c r="A8829" s="59"/>
      <c r="B8829"/>
    </row>
    <row r="8830" spans="1:2">
      <c r="A8830" s="59"/>
      <c r="B8830"/>
    </row>
    <row r="8831" spans="1:2">
      <c r="A8831" s="59"/>
      <c r="B8831"/>
    </row>
    <row r="8832" spans="1:2">
      <c r="A8832" s="59"/>
      <c r="B8832"/>
    </row>
    <row r="8833" spans="1:2">
      <c r="A8833" s="59"/>
      <c r="B8833"/>
    </row>
    <row r="8834" spans="1:2">
      <c r="A8834" s="59"/>
      <c r="B8834"/>
    </row>
    <row r="8835" spans="1:2">
      <c r="A8835" s="59"/>
      <c r="B8835"/>
    </row>
    <row r="8836" spans="1:2">
      <c r="A8836" s="59"/>
      <c r="B8836"/>
    </row>
    <row r="8837" spans="1:2">
      <c r="A8837" s="59"/>
      <c r="B8837"/>
    </row>
    <row r="8838" spans="1:2">
      <c r="A8838" s="59"/>
      <c r="B8838"/>
    </row>
    <row r="8839" spans="1:2">
      <c r="A8839" s="59"/>
      <c r="B8839"/>
    </row>
    <row r="8840" spans="1:2">
      <c r="A8840" s="59"/>
      <c r="B8840"/>
    </row>
    <row r="8841" spans="1:2">
      <c r="A8841" s="59"/>
      <c r="B8841"/>
    </row>
    <row r="8842" spans="1:2">
      <c r="A8842" s="59"/>
      <c r="B8842"/>
    </row>
    <row r="8843" spans="1:2">
      <c r="A8843" s="59"/>
      <c r="B8843"/>
    </row>
    <row r="8844" spans="1:2">
      <c r="A8844" s="59"/>
      <c r="B8844"/>
    </row>
    <row r="8845" spans="1:2">
      <c r="A8845" s="59"/>
      <c r="B8845"/>
    </row>
    <row r="8846" spans="1:2">
      <c r="A8846" s="59"/>
      <c r="B8846"/>
    </row>
    <row r="8847" spans="1:2">
      <c r="A8847" s="59"/>
      <c r="B8847"/>
    </row>
    <row r="8848" spans="1:2">
      <c r="A8848" s="59"/>
      <c r="B8848"/>
    </row>
    <row r="8849" spans="1:2">
      <c r="A8849" s="59"/>
      <c r="B8849"/>
    </row>
    <row r="8850" spans="1:2">
      <c r="A8850" s="59"/>
      <c r="B8850"/>
    </row>
    <row r="8851" spans="1:2">
      <c r="A8851" s="59"/>
      <c r="B8851"/>
    </row>
    <row r="8852" spans="1:2">
      <c r="A8852" s="59"/>
      <c r="B8852"/>
    </row>
    <row r="8853" spans="1:2">
      <c r="A8853" s="59"/>
      <c r="B8853"/>
    </row>
    <row r="8854" spans="1:2">
      <c r="A8854" s="59"/>
      <c r="B8854"/>
    </row>
    <row r="8855" spans="1:2">
      <c r="A8855" s="59"/>
      <c r="B8855"/>
    </row>
    <row r="8856" spans="1:2">
      <c r="A8856" s="59"/>
      <c r="B8856"/>
    </row>
    <row r="8857" spans="1:2">
      <c r="A8857" s="59"/>
      <c r="B8857"/>
    </row>
    <row r="8858" spans="1:2">
      <c r="A8858" s="59"/>
      <c r="B8858"/>
    </row>
    <row r="8859" spans="1:2">
      <c r="A8859" s="59"/>
      <c r="B8859"/>
    </row>
    <row r="8860" spans="1:2">
      <c r="A8860" s="59"/>
      <c r="B8860"/>
    </row>
    <row r="8861" spans="1:2">
      <c r="A8861" s="59"/>
      <c r="B8861"/>
    </row>
    <row r="8862" spans="1:2">
      <c r="A8862" s="59"/>
      <c r="B8862"/>
    </row>
    <row r="8863" spans="1:2">
      <c r="A8863" s="59"/>
      <c r="B8863"/>
    </row>
    <row r="8864" spans="1:2">
      <c r="A8864" s="59"/>
      <c r="B8864"/>
    </row>
    <row r="8865" spans="1:2">
      <c r="A8865" s="59"/>
      <c r="B8865"/>
    </row>
    <row r="8866" spans="1:2">
      <c r="A8866" s="59"/>
      <c r="B8866"/>
    </row>
    <row r="8867" spans="1:2">
      <c r="A8867" s="59"/>
      <c r="B8867"/>
    </row>
    <row r="8868" spans="1:2">
      <c r="A8868" s="59"/>
      <c r="B8868"/>
    </row>
    <row r="8869" spans="1:2">
      <c r="A8869" s="59"/>
      <c r="B8869"/>
    </row>
    <row r="8870" spans="1:2">
      <c r="A8870" s="59"/>
      <c r="B8870"/>
    </row>
    <row r="8871" spans="1:2">
      <c r="A8871" s="59"/>
      <c r="B8871"/>
    </row>
    <row r="8872" spans="1:2">
      <c r="A8872" s="59"/>
      <c r="B8872"/>
    </row>
    <row r="8873" spans="1:2">
      <c r="A8873" s="59"/>
      <c r="B8873"/>
    </row>
    <row r="8874" spans="1:2">
      <c r="A8874" s="59"/>
      <c r="B8874"/>
    </row>
    <row r="8875" spans="1:2">
      <c r="A8875" s="59"/>
      <c r="B8875"/>
    </row>
    <row r="8876" spans="1:2">
      <c r="A8876" s="59"/>
      <c r="B8876"/>
    </row>
    <row r="8877" spans="1:2">
      <c r="A8877" s="59"/>
      <c r="B8877"/>
    </row>
    <row r="8878" spans="1:2">
      <c r="A8878" s="59"/>
      <c r="B8878"/>
    </row>
    <row r="8879" spans="1:2">
      <c r="A8879" s="59"/>
      <c r="B8879"/>
    </row>
    <row r="8880" spans="1:2">
      <c r="A8880" s="59"/>
      <c r="B8880"/>
    </row>
    <row r="8881" spans="1:2">
      <c r="A8881" s="59"/>
      <c r="B8881"/>
    </row>
    <row r="8882" spans="1:2">
      <c r="A8882" s="59"/>
      <c r="B8882"/>
    </row>
    <row r="8883" spans="1:2">
      <c r="A8883" s="59"/>
      <c r="B8883"/>
    </row>
    <row r="8884" spans="1:2">
      <c r="A8884" s="59"/>
      <c r="B8884"/>
    </row>
    <row r="8885" spans="1:2">
      <c r="A8885" s="59"/>
      <c r="B8885"/>
    </row>
    <row r="8886" spans="1:2">
      <c r="A8886" s="59"/>
      <c r="B8886"/>
    </row>
    <row r="8887" spans="1:2">
      <c r="A8887" s="59"/>
      <c r="B8887"/>
    </row>
    <row r="8888" spans="1:2">
      <c r="A8888" s="59"/>
      <c r="B8888"/>
    </row>
    <row r="8889" spans="1:2">
      <c r="A8889" s="59"/>
      <c r="B8889"/>
    </row>
    <row r="8890" spans="1:2">
      <c r="A8890" s="59"/>
      <c r="B8890"/>
    </row>
    <row r="8891" spans="1:2">
      <c r="A8891" s="59"/>
      <c r="B8891"/>
    </row>
    <row r="8892" spans="1:2">
      <c r="A8892" s="59"/>
      <c r="B8892"/>
    </row>
    <row r="8893" spans="1:2">
      <c r="A8893" s="59"/>
      <c r="B8893"/>
    </row>
    <row r="8894" spans="1:2">
      <c r="A8894" s="59"/>
      <c r="B8894"/>
    </row>
    <row r="8895" spans="1:2">
      <c r="A8895" s="59"/>
      <c r="B8895"/>
    </row>
    <row r="8896" spans="1:2">
      <c r="A8896" s="59"/>
      <c r="B8896"/>
    </row>
    <row r="8897" spans="1:2">
      <c r="A8897" s="59"/>
      <c r="B8897"/>
    </row>
    <row r="8898" spans="1:2">
      <c r="A8898" s="59"/>
      <c r="B8898"/>
    </row>
    <row r="8899" spans="1:2">
      <c r="A8899" s="59"/>
      <c r="B8899"/>
    </row>
    <row r="8900" spans="1:2">
      <c r="A8900" s="59"/>
      <c r="B8900"/>
    </row>
    <row r="8901" spans="1:2">
      <c r="A8901" s="59"/>
      <c r="B8901"/>
    </row>
    <row r="8902" spans="1:2">
      <c r="A8902" s="59"/>
      <c r="B8902"/>
    </row>
    <row r="8903" spans="1:2">
      <c r="A8903" s="59"/>
      <c r="B8903"/>
    </row>
    <row r="8904" spans="1:2">
      <c r="A8904" s="59"/>
      <c r="B8904"/>
    </row>
    <row r="8905" spans="1:2">
      <c r="A8905" s="59"/>
      <c r="B8905"/>
    </row>
    <row r="8906" spans="1:2">
      <c r="A8906" s="59"/>
      <c r="B8906"/>
    </row>
    <row r="8907" spans="1:2">
      <c r="A8907" s="59"/>
      <c r="B8907"/>
    </row>
    <row r="8908" spans="1:2">
      <c r="A8908" s="59"/>
      <c r="B8908"/>
    </row>
    <row r="8909" spans="1:2">
      <c r="A8909" s="59"/>
      <c r="B8909"/>
    </row>
    <row r="8910" spans="1:2">
      <c r="A8910" s="59"/>
      <c r="B8910"/>
    </row>
    <row r="8911" spans="1:2">
      <c r="A8911" s="59"/>
      <c r="B8911"/>
    </row>
    <row r="8912" spans="1:2">
      <c r="A8912" s="59"/>
      <c r="B8912"/>
    </row>
    <row r="8913" spans="1:2">
      <c r="A8913" s="59"/>
      <c r="B8913"/>
    </row>
    <row r="8914" spans="1:2">
      <c r="A8914" s="59"/>
      <c r="B8914"/>
    </row>
    <row r="8915" spans="1:2">
      <c r="A8915" s="59"/>
      <c r="B8915"/>
    </row>
    <row r="8916" spans="1:2">
      <c r="A8916" s="59"/>
      <c r="B8916"/>
    </row>
    <row r="8917" spans="1:2">
      <c r="A8917" s="59"/>
      <c r="B8917"/>
    </row>
    <row r="8918" spans="1:2">
      <c r="A8918" s="59"/>
      <c r="B8918"/>
    </row>
    <row r="8919" spans="1:2">
      <c r="A8919" s="59"/>
      <c r="B8919"/>
    </row>
    <row r="8920" spans="1:2">
      <c r="A8920" s="59"/>
      <c r="B8920"/>
    </row>
    <row r="8921" spans="1:2">
      <c r="A8921" s="59"/>
      <c r="B8921"/>
    </row>
    <row r="8922" spans="1:2">
      <c r="A8922" s="59"/>
      <c r="B8922"/>
    </row>
    <row r="8923" spans="1:2">
      <c r="A8923" s="59"/>
      <c r="B8923"/>
    </row>
    <row r="8924" spans="1:2">
      <c r="A8924" s="59"/>
      <c r="B8924"/>
    </row>
    <row r="8925" spans="1:2">
      <c r="A8925" s="59"/>
      <c r="B8925"/>
    </row>
    <row r="8926" spans="1:2">
      <c r="A8926" s="59"/>
      <c r="B8926"/>
    </row>
    <row r="8927" spans="1:2">
      <c r="A8927" s="59"/>
      <c r="B8927"/>
    </row>
    <row r="8928" spans="1:2">
      <c r="A8928" s="59"/>
      <c r="B8928"/>
    </row>
    <row r="8929" spans="1:2">
      <c r="A8929" s="59"/>
      <c r="B8929"/>
    </row>
    <row r="8930" spans="1:2">
      <c r="A8930" s="59"/>
      <c r="B8930"/>
    </row>
    <row r="8931" spans="1:2">
      <c r="A8931" s="59"/>
      <c r="B8931"/>
    </row>
    <row r="8932" spans="1:2">
      <c r="A8932" s="59"/>
      <c r="B8932"/>
    </row>
    <row r="8933" spans="1:2">
      <c r="A8933" s="59"/>
      <c r="B8933"/>
    </row>
    <row r="8934" spans="1:2">
      <c r="A8934" s="59"/>
      <c r="B8934"/>
    </row>
    <row r="8935" spans="1:2">
      <c r="A8935" s="59"/>
      <c r="B8935"/>
    </row>
    <row r="8936" spans="1:2">
      <c r="A8936" s="59"/>
      <c r="B8936"/>
    </row>
    <row r="8937" spans="1:2">
      <c r="A8937" s="59"/>
      <c r="B8937"/>
    </row>
    <row r="8938" spans="1:2">
      <c r="A8938" s="59"/>
      <c r="B8938"/>
    </row>
    <row r="8939" spans="1:2">
      <c r="A8939" s="59"/>
      <c r="B8939"/>
    </row>
    <row r="8940" spans="1:2">
      <c r="A8940" s="59"/>
      <c r="B8940"/>
    </row>
    <row r="8941" spans="1:2">
      <c r="A8941" s="59"/>
      <c r="B8941"/>
    </row>
    <row r="8942" spans="1:2">
      <c r="A8942" s="59"/>
      <c r="B8942"/>
    </row>
    <row r="8943" spans="1:2">
      <c r="A8943" s="59"/>
      <c r="B8943"/>
    </row>
    <row r="8944" spans="1:2">
      <c r="A8944" s="59"/>
      <c r="B8944"/>
    </row>
    <row r="8945" spans="1:2">
      <c r="A8945" s="59"/>
      <c r="B8945"/>
    </row>
    <row r="8946" spans="1:2">
      <c r="A8946" s="59"/>
      <c r="B8946"/>
    </row>
    <row r="8947" spans="1:2">
      <c r="A8947" s="59"/>
      <c r="B8947"/>
    </row>
    <row r="8948" spans="1:2">
      <c r="A8948" s="59"/>
      <c r="B8948"/>
    </row>
    <row r="8949" spans="1:2">
      <c r="A8949" s="59"/>
      <c r="B8949"/>
    </row>
    <row r="8950" spans="1:2">
      <c r="A8950" s="59"/>
      <c r="B8950"/>
    </row>
    <row r="8951" spans="1:2">
      <c r="A8951" s="59"/>
      <c r="B8951"/>
    </row>
    <row r="8952" spans="1:2">
      <c r="A8952" s="59"/>
      <c r="B8952"/>
    </row>
    <row r="8953" spans="1:2">
      <c r="A8953" s="59"/>
      <c r="B8953"/>
    </row>
    <row r="8954" spans="1:2">
      <c r="A8954" s="59"/>
      <c r="B8954"/>
    </row>
    <row r="8955" spans="1:2">
      <c r="A8955" s="59"/>
      <c r="B8955"/>
    </row>
    <row r="8956" spans="1:2">
      <c r="A8956" s="59"/>
      <c r="B8956"/>
    </row>
    <row r="8957" spans="1:2">
      <c r="A8957" s="59"/>
      <c r="B8957"/>
    </row>
    <row r="8958" spans="1:2">
      <c r="A8958" s="59"/>
      <c r="B8958"/>
    </row>
    <row r="8959" spans="1:2">
      <c r="A8959" s="59"/>
      <c r="B8959"/>
    </row>
    <row r="8960" spans="1:2">
      <c r="A8960" s="59"/>
      <c r="B8960"/>
    </row>
    <row r="8961" spans="1:2">
      <c r="A8961" s="59"/>
      <c r="B8961"/>
    </row>
    <row r="8962" spans="1:2">
      <c r="A8962" s="59"/>
      <c r="B8962"/>
    </row>
    <row r="8963" spans="1:2">
      <c r="A8963" s="59"/>
      <c r="B8963"/>
    </row>
    <row r="8964" spans="1:2">
      <c r="A8964" s="59"/>
      <c r="B8964"/>
    </row>
    <row r="8965" spans="1:2">
      <c r="A8965" s="59"/>
      <c r="B8965"/>
    </row>
    <row r="8966" spans="1:2">
      <c r="A8966" s="59"/>
      <c r="B8966"/>
    </row>
    <row r="8967" spans="1:2">
      <c r="A8967" s="59"/>
      <c r="B8967"/>
    </row>
    <row r="8968" spans="1:2">
      <c r="A8968" s="59"/>
      <c r="B8968"/>
    </row>
    <row r="8969" spans="1:2">
      <c r="A8969" s="59"/>
      <c r="B8969"/>
    </row>
    <row r="8970" spans="1:2">
      <c r="A8970" s="59"/>
      <c r="B8970"/>
    </row>
    <row r="8971" spans="1:2">
      <c r="A8971" s="59"/>
      <c r="B8971"/>
    </row>
    <row r="8972" spans="1:2">
      <c r="A8972" s="59"/>
      <c r="B8972"/>
    </row>
    <row r="8973" spans="1:2">
      <c r="A8973" s="59"/>
      <c r="B8973"/>
    </row>
    <row r="8974" spans="1:2">
      <c r="A8974" s="59"/>
      <c r="B8974"/>
    </row>
    <row r="8975" spans="1:2">
      <c r="A8975" s="59"/>
      <c r="B8975"/>
    </row>
    <row r="8976" spans="1:2">
      <c r="A8976" s="59"/>
      <c r="B8976"/>
    </row>
    <row r="8977" spans="1:2">
      <c r="A8977" s="59"/>
      <c r="B8977"/>
    </row>
    <row r="8978" spans="1:2">
      <c r="A8978" s="59"/>
      <c r="B8978"/>
    </row>
    <row r="8979" spans="1:2">
      <c r="A8979" s="59"/>
      <c r="B8979"/>
    </row>
    <row r="8980" spans="1:2">
      <c r="A8980" s="59"/>
      <c r="B8980"/>
    </row>
    <row r="8981" spans="1:2">
      <c r="A8981" s="59"/>
      <c r="B8981"/>
    </row>
    <row r="8982" spans="1:2">
      <c r="A8982" s="59"/>
      <c r="B8982"/>
    </row>
    <row r="8983" spans="1:2">
      <c r="A8983" s="59"/>
      <c r="B8983"/>
    </row>
    <row r="8984" spans="1:2">
      <c r="A8984" s="59"/>
      <c r="B8984"/>
    </row>
    <row r="8985" spans="1:2">
      <c r="A8985" s="59"/>
      <c r="B8985"/>
    </row>
    <row r="8986" spans="1:2">
      <c r="A8986" s="59"/>
      <c r="B8986"/>
    </row>
    <row r="8987" spans="1:2">
      <c r="A8987" s="59"/>
      <c r="B8987"/>
    </row>
    <row r="8988" spans="1:2">
      <c r="A8988" s="59"/>
      <c r="B8988"/>
    </row>
    <row r="8989" spans="1:2">
      <c r="A8989" s="59"/>
      <c r="B8989"/>
    </row>
    <row r="8990" spans="1:2">
      <c r="A8990" s="59"/>
      <c r="B8990"/>
    </row>
    <row r="8991" spans="1:2">
      <c r="A8991" s="59"/>
      <c r="B8991"/>
    </row>
    <row r="8992" spans="1:2">
      <c r="A8992" s="59"/>
      <c r="B8992"/>
    </row>
    <row r="8993" spans="1:2">
      <c r="A8993" s="59"/>
      <c r="B8993"/>
    </row>
    <row r="8994" spans="1:2">
      <c r="A8994" s="59"/>
      <c r="B8994"/>
    </row>
    <row r="8995" spans="1:2">
      <c r="A8995" s="59"/>
      <c r="B8995"/>
    </row>
    <row r="8996" spans="1:2">
      <c r="A8996" s="59"/>
      <c r="B8996"/>
    </row>
    <row r="8997" spans="1:2">
      <c r="A8997" s="59"/>
      <c r="B8997"/>
    </row>
    <row r="8998" spans="1:2">
      <c r="A8998" s="59"/>
      <c r="B8998"/>
    </row>
    <row r="8999" spans="1:2">
      <c r="A8999" s="59"/>
      <c r="B8999"/>
    </row>
    <row r="9000" spans="1:2">
      <c r="A9000" s="59"/>
      <c r="B9000"/>
    </row>
    <row r="9001" spans="1:2">
      <c r="A9001" s="59"/>
      <c r="B9001"/>
    </row>
    <row r="9002" spans="1:2">
      <c r="A9002" s="59"/>
      <c r="B9002"/>
    </row>
    <row r="9003" spans="1:2">
      <c r="A9003" s="59"/>
      <c r="B9003"/>
    </row>
    <row r="9004" spans="1:2">
      <c r="A9004" s="59"/>
      <c r="B9004"/>
    </row>
    <row r="9005" spans="1:2">
      <c r="A9005" s="59"/>
      <c r="B9005"/>
    </row>
    <row r="9006" spans="1:2">
      <c r="A9006" s="59"/>
      <c r="B9006"/>
    </row>
    <row r="9007" spans="1:2">
      <c r="A9007" s="59"/>
      <c r="B9007"/>
    </row>
    <row r="9008" spans="1:2">
      <c r="A9008" s="59"/>
      <c r="B9008"/>
    </row>
    <row r="9009" spans="1:2">
      <c r="A9009" s="59"/>
      <c r="B9009"/>
    </row>
    <row r="9010" spans="1:2">
      <c r="A9010" s="59"/>
      <c r="B9010"/>
    </row>
    <row r="9011" spans="1:2">
      <c r="A9011" s="59"/>
      <c r="B9011"/>
    </row>
    <row r="9012" spans="1:2">
      <c r="A9012" s="59"/>
      <c r="B9012"/>
    </row>
    <row r="9013" spans="1:2">
      <c r="A9013" s="59"/>
      <c r="B9013"/>
    </row>
    <row r="9014" spans="1:2">
      <c r="A9014" s="59"/>
      <c r="B9014"/>
    </row>
    <row r="9015" spans="1:2">
      <c r="A9015" s="59"/>
      <c r="B9015"/>
    </row>
    <row r="9016" spans="1:2">
      <c r="A9016" s="59"/>
      <c r="B9016"/>
    </row>
    <row r="9017" spans="1:2">
      <c r="A9017" s="59"/>
      <c r="B9017"/>
    </row>
    <row r="9018" spans="1:2">
      <c r="A9018" s="59"/>
      <c r="B9018"/>
    </row>
    <row r="9019" spans="1:2">
      <c r="A9019" s="59"/>
      <c r="B9019"/>
    </row>
    <row r="9020" spans="1:2">
      <c r="A9020" s="59"/>
      <c r="B9020"/>
    </row>
    <row r="9021" spans="1:2">
      <c r="A9021" s="59"/>
      <c r="B9021"/>
    </row>
    <row r="9022" spans="1:2">
      <c r="A9022" s="59"/>
      <c r="B9022"/>
    </row>
    <row r="9023" spans="1:2">
      <c r="A9023" s="59"/>
      <c r="B9023"/>
    </row>
    <row r="9024" spans="1:2">
      <c r="A9024" s="59"/>
      <c r="B9024"/>
    </row>
    <row r="9025" spans="1:2">
      <c r="A9025" s="59"/>
      <c r="B9025"/>
    </row>
    <row r="9026" spans="1:2">
      <c r="A9026" s="59"/>
      <c r="B9026"/>
    </row>
    <row r="9027" spans="1:2">
      <c r="A9027" s="59"/>
      <c r="B9027"/>
    </row>
    <row r="9028" spans="1:2">
      <c r="A9028" s="59"/>
      <c r="B9028"/>
    </row>
    <row r="9029" spans="1:2">
      <c r="A9029" s="59"/>
      <c r="B9029"/>
    </row>
    <row r="9030" spans="1:2">
      <c r="A9030" s="59"/>
      <c r="B9030"/>
    </row>
    <row r="9031" spans="1:2">
      <c r="A9031" s="59"/>
      <c r="B9031"/>
    </row>
    <row r="9032" spans="1:2">
      <c r="A9032" s="59"/>
      <c r="B9032"/>
    </row>
    <row r="9033" spans="1:2">
      <c r="A9033" s="59"/>
      <c r="B9033"/>
    </row>
    <row r="9034" spans="1:2">
      <c r="A9034" s="59"/>
      <c r="B9034"/>
    </row>
    <row r="9035" spans="1:2">
      <c r="A9035" s="59"/>
      <c r="B9035"/>
    </row>
    <row r="9036" spans="1:2">
      <c r="A9036" s="59"/>
      <c r="B9036"/>
    </row>
    <row r="9037" spans="1:2">
      <c r="A9037" s="59"/>
      <c r="B9037"/>
    </row>
    <row r="9038" spans="1:2">
      <c r="A9038" s="59"/>
      <c r="B9038"/>
    </row>
    <row r="9039" spans="1:2">
      <c r="A9039" s="59"/>
      <c r="B9039"/>
    </row>
    <row r="9040" spans="1:2">
      <c r="A9040" s="59"/>
      <c r="B9040"/>
    </row>
    <row r="9041" spans="1:2">
      <c r="A9041" s="59"/>
      <c r="B9041"/>
    </row>
    <row r="9042" spans="1:2">
      <c r="A9042" s="59"/>
      <c r="B9042"/>
    </row>
    <row r="9043" spans="1:2">
      <c r="A9043" s="59"/>
      <c r="B9043"/>
    </row>
    <row r="9044" spans="1:2">
      <c r="A9044" s="59"/>
      <c r="B9044"/>
    </row>
    <row r="9045" spans="1:2">
      <c r="A9045" s="59"/>
      <c r="B9045"/>
    </row>
    <row r="9046" spans="1:2">
      <c r="A9046" s="59"/>
      <c r="B9046"/>
    </row>
    <row r="9047" spans="1:2">
      <c r="A9047" s="59"/>
      <c r="B9047"/>
    </row>
    <row r="9048" spans="1:2">
      <c r="A9048" s="59"/>
      <c r="B9048"/>
    </row>
    <row r="9049" spans="1:2">
      <c r="A9049" s="59"/>
      <c r="B9049"/>
    </row>
    <row r="9050" spans="1:2">
      <c r="A9050" s="59"/>
      <c r="B9050"/>
    </row>
    <row r="9051" spans="1:2">
      <c r="A9051" s="59"/>
      <c r="B9051"/>
    </row>
    <row r="9052" spans="1:2">
      <c r="A9052" s="59"/>
      <c r="B9052"/>
    </row>
    <row r="9053" spans="1:2">
      <c r="A9053" s="59"/>
      <c r="B9053"/>
    </row>
    <row r="9054" spans="1:2">
      <c r="A9054" s="59"/>
      <c r="B9054"/>
    </row>
    <row r="9055" spans="1:2">
      <c r="A9055" s="59"/>
      <c r="B9055"/>
    </row>
    <row r="9056" spans="1:2">
      <c r="A9056" s="59"/>
      <c r="B9056"/>
    </row>
    <row r="9057" spans="1:2">
      <c r="A9057" s="59"/>
      <c r="B9057"/>
    </row>
    <row r="9058" spans="1:2">
      <c r="A9058" s="59"/>
      <c r="B9058"/>
    </row>
    <row r="9059" spans="1:2">
      <c r="A9059" s="59"/>
      <c r="B9059"/>
    </row>
    <row r="9060" spans="1:2">
      <c r="A9060" s="59"/>
      <c r="B9060"/>
    </row>
    <row r="9061" spans="1:2">
      <c r="A9061" s="59"/>
      <c r="B9061"/>
    </row>
    <row r="9062" spans="1:2">
      <c r="A9062" s="59"/>
      <c r="B9062"/>
    </row>
    <row r="9063" spans="1:2">
      <c r="A9063" s="59"/>
      <c r="B9063"/>
    </row>
    <row r="9064" spans="1:2">
      <c r="A9064" s="59"/>
      <c r="B9064"/>
    </row>
    <row r="9065" spans="1:2">
      <c r="A9065" s="59"/>
      <c r="B9065"/>
    </row>
    <row r="9066" spans="1:2">
      <c r="A9066" s="59"/>
      <c r="B9066"/>
    </row>
    <row r="9067" spans="1:2">
      <c r="A9067" s="59"/>
      <c r="B9067"/>
    </row>
    <row r="9068" spans="1:2">
      <c r="A9068" s="59"/>
      <c r="B9068"/>
    </row>
    <row r="9069" spans="1:2">
      <c r="A9069" s="59"/>
      <c r="B9069"/>
    </row>
    <row r="9070" spans="1:2">
      <c r="A9070" s="59"/>
      <c r="B9070"/>
    </row>
    <row r="9071" spans="1:2">
      <c r="A9071" s="59"/>
      <c r="B9071"/>
    </row>
    <row r="9072" spans="1:2">
      <c r="A9072" s="59"/>
      <c r="B9072"/>
    </row>
    <row r="9073" spans="1:2">
      <c r="A9073" s="59"/>
      <c r="B9073"/>
    </row>
    <row r="9074" spans="1:2">
      <c r="A9074" s="59"/>
      <c r="B9074"/>
    </row>
    <row r="9075" spans="1:2">
      <c r="A9075" s="59"/>
      <c r="B9075"/>
    </row>
    <row r="9076" spans="1:2">
      <c r="A9076" s="59"/>
      <c r="B9076"/>
    </row>
    <row r="9077" spans="1:2">
      <c r="A9077" s="59"/>
      <c r="B9077"/>
    </row>
    <row r="9078" spans="1:2">
      <c r="A9078" s="59"/>
      <c r="B9078"/>
    </row>
    <row r="9079" spans="1:2">
      <c r="A9079" s="59"/>
      <c r="B9079"/>
    </row>
    <row r="9080" spans="1:2">
      <c r="A9080" s="59"/>
      <c r="B9080"/>
    </row>
    <row r="9081" spans="1:2">
      <c r="A9081" s="59"/>
      <c r="B9081"/>
    </row>
    <row r="9082" spans="1:2">
      <c r="A9082" s="59"/>
      <c r="B9082"/>
    </row>
    <row r="9083" spans="1:2">
      <c r="A9083" s="59"/>
      <c r="B9083"/>
    </row>
    <row r="9084" spans="1:2">
      <c r="A9084" s="59"/>
      <c r="B9084"/>
    </row>
    <row r="9085" spans="1:2">
      <c r="A9085" s="59"/>
      <c r="B9085"/>
    </row>
    <row r="9086" spans="1:2">
      <c r="A9086" s="59"/>
      <c r="B9086"/>
    </row>
    <row r="9087" spans="1:2">
      <c r="A9087" s="59"/>
      <c r="B9087"/>
    </row>
    <row r="9088" spans="1:2">
      <c r="A9088" s="59"/>
      <c r="B9088"/>
    </row>
    <row r="9089" spans="1:2">
      <c r="A9089" s="59"/>
      <c r="B9089"/>
    </row>
    <row r="9090" spans="1:2">
      <c r="A9090" s="59"/>
      <c r="B9090"/>
    </row>
    <row r="9091" spans="1:2">
      <c r="A9091" s="59"/>
      <c r="B9091"/>
    </row>
    <row r="9092" spans="1:2">
      <c r="A9092" s="59"/>
      <c r="B9092"/>
    </row>
    <row r="9093" spans="1:2">
      <c r="A9093" s="59"/>
      <c r="B9093"/>
    </row>
    <row r="9094" spans="1:2">
      <c r="A9094" s="59"/>
      <c r="B9094"/>
    </row>
    <row r="9095" spans="1:2">
      <c r="A9095" s="59"/>
      <c r="B9095"/>
    </row>
    <row r="9096" spans="1:2">
      <c r="A9096" s="59"/>
      <c r="B9096"/>
    </row>
    <row r="9097" spans="1:2">
      <c r="A9097" s="59"/>
      <c r="B9097"/>
    </row>
    <row r="9098" spans="1:2">
      <c r="A9098" s="59"/>
      <c r="B9098"/>
    </row>
    <row r="9099" spans="1:2">
      <c r="A9099" s="59"/>
      <c r="B9099"/>
    </row>
    <row r="9100" spans="1:2">
      <c r="A9100" s="59"/>
      <c r="B9100"/>
    </row>
    <row r="9101" spans="1:2">
      <c r="A9101" s="59"/>
      <c r="B9101"/>
    </row>
    <row r="9102" spans="1:2">
      <c r="A9102" s="59"/>
      <c r="B9102"/>
    </row>
    <row r="9103" spans="1:2">
      <c r="A9103" s="59"/>
      <c r="B9103"/>
    </row>
    <row r="9104" spans="1:2">
      <c r="A9104" s="59"/>
      <c r="B9104"/>
    </row>
    <row r="9105" spans="1:2">
      <c r="A9105" s="59"/>
      <c r="B9105"/>
    </row>
    <row r="9106" spans="1:2">
      <c r="A9106" s="59"/>
      <c r="B9106"/>
    </row>
    <row r="9107" spans="1:2">
      <c r="A9107" s="59"/>
      <c r="B9107"/>
    </row>
    <row r="9108" spans="1:2">
      <c r="A9108" s="59"/>
      <c r="B9108"/>
    </row>
    <row r="9109" spans="1:2">
      <c r="A9109" s="59"/>
      <c r="B9109"/>
    </row>
    <row r="9110" spans="1:2">
      <c r="A9110" s="59"/>
      <c r="B9110"/>
    </row>
    <row r="9111" spans="1:2">
      <c r="A9111" s="59"/>
      <c r="B9111"/>
    </row>
    <row r="9112" spans="1:2">
      <c r="A9112" s="59"/>
      <c r="B9112"/>
    </row>
    <row r="9113" spans="1:2">
      <c r="A9113" s="59"/>
      <c r="B9113"/>
    </row>
    <row r="9114" spans="1:2">
      <c r="A9114" s="59"/>
      <c r="B9114"/>
    </row>
    <row r="9115" spans="1:2">
      <c r="A9115" s="59"/>
      <c r="B9115"/>
    </row>
    <row r="9116" spans="1:2">
      <c r="A9116" s="59"/>
      <c r="B9116"/>
    </row>
    <row r="9117" spans="1:2">
      <c r="A9117" s="59"/>
      <c r="B9117"/>
    </row>
    <row r="9118" spans="1:2">
      <c r="A9118" s="59"/>
      <c r="B9118"/>
    </row>
    <row r="9119" spans="1:2">
      <c r="A9119" s="59"/>
      <c r="B9119"/>
    </row>
    <row r="9120" spans="1:2">
      <c r="A9120" s="59"/>
      <c r="B9120"/>
    </row>
    <row r="9121" spans="1:2">
      <c r="A9121" s="59"/>
      <c r="B9121"/>
    </row>
    <row r="9122" spans="1:2">
      <c r="A9122" s="59"/>
      <c r="B9122"/>
    </row>
    <row r="9123" spans="1:2">
      <c r="A9123" s="59"/>
      <c r="B9123"/>
    </row>
    <row r="9124" spans="1:2">
      <c r="A9124" s="59"/>
      <c r="B9124"/>
    </row>
    <row r="9125" spans="1:2">
      <c r="A9125" s="59"/>
      <c r="B9125"/>
    </row>
    <row r="9126" spans="1:2">
      <c r="A9126" s="59"/>
      <c r="B9126"/>
    </row>
    <row r="9127" spans="1:2">
      <c r="A9127" s="59"/>
      <c r="B9127"/>
    </row>
    <row r="9128" spans="1:2">
      <c r="A9128" s="59"/>
      <c r="B9128"/>
    </row>
    <row r="9129" spans="1:2">
      <c r="A9129" s="59"/>
      <c r="B9129"/>
    </row>
    <row r="9130" spans="1:2">
      <c r="A9130" s="59"/>
      <c r="B9130"/>
    </row>
    <row r="9131" spans="1:2">
      <c r="A9131" s="59"/>
      <c r="B9131"/>
    </row>
    <row r="9132" spans="1:2">
      <c r="A9132" s="59"/>
      <c r="B9132"/>
    </row>
    <row r="9133" spans="1:2">
      <c r="A9133" s="59"/>
      <c r="B9133"/>
    </row>
    <row r="9134" spans="1:2">
      <c r="A9134" s="59"/>
      <c r="B9134"/>
    </row>
    <row r="9135" spans="1:2">
      <c r="A9135" s="59"/>
      <c r="B9135"/>
    </row>
    <row r="9136" spans="1:2">
      <c r="A9136" s="59"/>
      <c r="B9136"/>
    </row>
    <row r="9137" spans="1:2">
      <c r="A9137" s="59"/>
      <c r="B9137"/>
    </row>
    <row r="9138" spans="1:2">
      <c r="A9138" s="59"/>
      <c r="B9138"/>
    </row>
    <row r="9139" spans="1:2">
      <c r="A9139" s="59"/>
      <c r="B9139"/>
    </row>
    <row r="9140" spans="1:2">
      <c r="A9140" s="59"/>
      <c r="B9140"/>
    </row>
    <row r="9141" spans="1:2">
      <c r="A9141" s="59"/>
      <c r="B9141"/>
    </row>
    <row r="9142" spans="1:2">
      <c r="A9142" s="59"/>
      <c r="B9142"/>
    </row>
    <row r="9143" spans="1:2">
      <c r="A9143" s="59"/>
      <c r="B9143"/>
    </row>
    <row r="9144" spans="1:2">
      <c r="A9144" s="59"/>
      <c r="B9144"/>
    </row>
    <row r="9145" spans="1:2">
      <c r="A9145" s="59"/>
      <c r="B9145"/>
    </row>
    <row r="9146" spans="1:2">
      <c r="A9146" s="59"/>
      <c r="B9146"/>
    </row>
    <row r="9147" spans="1:2">
      <c r="A9147" s="59"/>
      <c r="B9147"/>
    </row>
    <row r="9148" spans="1:2">
      <c r="A9148" s="59"/>
      <c r="B9148"/>
    </row>
    <row r="9149" spans="1:2">
      <c r="A9149" s="59"/>
      <c r="B9149"/>
    </row>
    <row r="9150" spans="1:2">
      <c r="A9150" s="59"/>
      <c r="B9150"/>
    </row>
    <row r="9151" spans="1:2">
      <c r="A9151" s="59"/>
      <c r="B9151"/>
    </row>
    <row r="9152" spans="1:2">
      <c r="A9152" s="59"/>
      <c r="B9152"/>
    </row>
    <row r="9153" spans="1:2">
      <c r="A9153" s="59"/>
      <c r="B9153"/>
    </row>
    <row r="9154" spans="1:2">
      <c r="A9154" s="59"/>
      <c r="B9154"/>
    </row>
    <row r="9155" spans="1:2">
      <c r="A9155" s="59"/>
      <c r="B9155"/>
    </row>
    <row r="9156" spans="1:2">
      <c r="A9156" s="59"/>
      <c r="B9156"/>
    </row>
    <row r="9157" spans="1:2">
      <c r="A9157" s="59"/>
      <c r="B9157"/>
    </row>
    <row r="9158" spans="1:2">
      <c r="A9158" s="59"/>
      <c r="B9158"/>
    </row>
    <row r="9159" spans="1:2">
      <c r="A9159" s="59"/>
      <c r="B9159"/>
    </row>
    <row r="9160" spans="1:2">
      <c r="A9160" s="59"/>
      <c r="B9160"/>
    </row>
    <row r="9161" spans="1:2">
      <c r="A9161" s="59"/>
      <c r="B9161"/>
    </row>
    <row r="9162" spans="1:2">
      <c r="A9162" s="59"/>
      <c r="B9162"/>
    </row>
    <row r="9163" spans="1:2">
      <c r="A9163" s="59"/>
      <c r="B9163"/>
    </row>
    <row r="9164" spans="1:2">
      <c r="A9164" s="59"/>
      <c r="B9164"/>
    </row>
    <row r="9165" spans="1:2">
      <c r="A9165" s="59"/>
      <c r="B9165"/>
    </row>
    <row r="9166" spans="1:2">
      <c r="A9166" s="59"/>
      <c r="B9166"/>
    </row>
    <row r="9167" spans="1:2">
      <c r="A9167" s="59"/>
      <c r="B9167"/>
    </row>
    <row r="9168" spans="1:2">
      <c r="A9168" s="59"/>
      <c r="B9168"/>
    </row>
    <row r="9169" spans="1:2">
      <c r="A9169" s="59"/>
      <c r="B9169"/>
    </row>
    <row r="9170" spans="1:2">
      <c r="A9170" s="59"/>
      <c r="B9170"/>
    </row>
    <row r="9171" spans="1:2">
      <c r="A9171" s="59"/>
      <c r="B9171"/>
    </row>
    <row r="9172" spans="1:2">
      <c r="A9172" s="59"/>
      <c r="B9172"/>
    </row>
    <row r="9173" spans="1:2">
      <c r="A9173" s="59"/>
      <c r="B9173"/>
    </row>
    <row r="9174" spans="1:2">
      <c r="A9174" s="59"/>
      <c r="B9174"/>
    </row>
    <row r="9175" spans="1:2">
      <c r="A9175" s="59"/>
      <c r="B9175"/>
    </row>
    <row r="9176" spans="1:2">
      <c r="A9176" s="59"/>
      <c r="B9176"/>
    </row>
    <row r="9177" spans="1:2">
      <c r="A9177" s="59"/>
      <c r="B9177"/>
    </row>
    <row r="9178" spans="1:2">
      <c r="A9178" s="59"/>
      <c r="B9178"/>
    </row>
    <row r="9179" spans="1:2">
      <c r="A9179" s="59"/>
      <c r="B9179"/>
    </row>
    <row r="9180" spans="1:2">
      <c r="A9180" s="59"/>
      <c r="B9180"/>
    </row>
    <row r="9181" spans="1:2">
      <c r="A9181" s="59"/>
      <c r="B9181"/>
    </row>
    <row r="9182" spans="1:2">
      <c r="A9182" s="59"/>
      <c r="B9182"/>
    </row>
    <row r="9183" spans="1:2">
      <c r="A9183" s="59"/>
      <c r="B9183"/>
    </row>
    <row r="9184" spans="1:2">
      <c r="A9184" s="59"/>
      <c r="B9184"/>
    </row>
    <row r="9185" spans="1:2">
      <c r="A9185" s="59"/>
      <c r="B9185"/>
    </row>
    <row r="9186" spans="1:2">
      <c r="A9186" s="59"/>
      <c r="B9186"/>
    </row>
    <row r="9187" spans="1:2">
      <c r="A9187" s="59"/>
      <c r="B9187"/>
    </row>
    <row r="9188" spans="1:2">
      <c r="A9188" s="59"/>
      <c r="B9188"/>
    </row>
    <row r="9189" spans="1:2">
      <c r="A9189" s="59"/>
      <c r="B9189"/>
    </row>
    <row r="9190" spans="1:2">
      <c r="A9190" s="59"/>
      <c r="B9190"/>
    </row>
    <row r="9191" spans="1:2">
      <c r="A9191" s="59"/>
      <c r="B9191"/>
    </row>
    <row r="9192" spans="1:2">
      <c r="A9192" s="59"/>
      <c r="B9192"/>
    </row>
    <row r="9193" spans="1:2">
      <c r="A9193" s="59"/>
      <c r="B9193"/>
    </row>
    <row r="9194" spans="1:2">
      <c r="A9194" s="59"/>
      <c r="B9194"/>
    </row>
    <row r="9195" spans="1:2">
      <c r="A9195" s="59"/>
      <c r="B9195"/>
    </row>
    <row r="9196" spans="1:2">
      <c r="A9196" s="59"/>
      <c r="B9196"/>
    </row>
    <row r="9197" spans="1:2">
      <c r="A9197" s="59"/>
      <c r="B9197"/>
    </row>
    <row r="9198" spans="1:2">
      <c r="A9198" s="59"/>
      <c r="B9198"/>
    </row>
    <row r="9199" spans="1:2">
      <c r="A9199" s="59"/>
      <c r="B9199"/>
    </row>
    <row r="9200" spans="1:2">
      <c r="A9200" s="59"/>
      <c r="B9200"/>
    </row>
    <row r="9201" spans="1:2">
      <c r="A9201" s="59"/>
      <c r="B9201"/>
    </row>
    <row r="9202" spans="1:2">
      <c r="A9202" s="59"/>
      <c r="B9202"/>
    </row>
    <row r="9203" spans="1:2">
      <c r="A9203" s="59"/>
      <c r="B9203"/>
    </row>
    <row r="9204" spans="1:2">
      <c r="A9204" s="59"/>
      <c r="B9204"/>
    </row>
    <row r="9205" spans="1:2">
      <c r="A9205" s="59"/>
      <c r="B9205"/>
    </row>
    <row r="9206" spans="1:2">
      <c r="A9206" s="59"/>
      <c r="B9206"/>
    </row>
    <row r="9207" spans="1:2">
      <c r="A9207" s="59"/>
      <c r="B9207"/>
    </row>
    <row r="9208" spans="1:2">
      <c r="A9208" s="59"/>
      <c r="B9208"/>
    </row>
    <row r="9209" spans="1:2">
      <c r="A9209" s="59"/>
      <c r="B9209"/>
    </row>
    <row r="9210" spans="1:2">
      <c r="A9210" s="59"/>
      <c r="B9210"/>
    </row>
    <row r="9211" spans="1:2">
      <c r="A9211" s="59"/>
      <c r="B9211"/>
    </row>
    <row r="9212" spans="1:2">
      <c r="A9212" s="59"/>
      <c r="B9212"/>
    </row>
    <row r="9213" spans="1:2">
      <c r="A9213" s="59"/>
      <c r="B9213"/>
    </row>
    <row r="9214" spans="1:2">
      <c r="A9214" s="59"/>
      <c r="B9214"/>
    </row>
    <row r="9215" spans="1:2">
      <c r="A9215" s="59"/>
      <c r="B9215"/>
    </row>
    <row r="9216" spans="1:2">
      <c r="A9216" s="59"/>
      <c r="B9216"/>
    </row>
    <row r="9217" spans="1:2">
      <c r="A9217" s="59"/>
      <c r="B9217"/>
    </row>
    <row r="9218" spans="1:2">
      <c r="A9218" s="59"/>
      <c r="B9218"/>
    </row>
    <row r="9219" spans="1:2">
      <c r="A9219" s="59"/>
      <c r="B9219"/>
    </row>
    <row r="9220" spans="1:2">
      <c r="A9220" s="59"/>
      <c r="B9220"/>
    </row>
    <row r="9221" spans="1:2">
      <c r="A9221" s="59"/>
      <c r="B9221"/>
    </row>
    <row r="9222" spans="1:2">
      <c r="A9222" s="59"/>
      <c r="B9222"/>
    </row>
    <row r="9223" spans="1:2">
      <c r="A9223" s="59"/>
      <c r="B9223"/>
    </row>
    <row r="9224" spans="1:2">
      <c r="A9224" s="59"/>
      <c r="B9224"/>
    </row>
    <row r="9225" spans="1:2">
      <c r="A9225" s="59"/>
      <c r="B9225"/>
    </row>
    <row r="9226" spans="1:2">
      <c r="A9226" s="59"/>
      <c r="B9226"/>
    </row>
    <row r="9227" spans="1:2">
      <c r="A9227" s="59"/>
      <c r="B9227"/>
    </row>
    <row r="9228" spans="1:2">
      <c r="A9228" s="59"/>
      <c r="B9228"/>
    </row>
    <row r="9229" spans="1:2">
      <c r="A9229" s="59"/>
      <c r="B9229"/>
    </row>
    <row r="9230" spans="1:2">
      <c r="A9230" s="59"/>
      <c r="B9230"/>
    </row>
    <row r="9231" spans="1:2">
      <c r="A9231" s="59"/>
      <c r="B9231"/>
    </row>
    <row r="9232" spans="1:2">
      <c r="A9232" s="59"/>
      <c r="B9232"/>
    </row>
    <row r="9233" spans="1:2">
      <c r="A9233" s="59"/>
      <c r="B9233"/>
    </row>
    <row r="9234" spans="1:2">
      <c r="A9234" s="59"/>
      <c r="B9234"/>
    </row>
    <row r="9235" spans="1:2">
      <c r="A9235" s="59"/>
      <c r="B9235"/>
    </row>
    <row r="9236" spans="1:2">
      <c r="A9236" s="59"/>
      <c r="B9236"/>
    </row>
    <row r="9237" spans="1:2">
      <c r="A9237" s="59"/>
      <c r="B9237"/>
    </row>
    <row r="9238" spans="1:2">
      <c r="A9238" s="59"/>
      <c r="B9238"/>
    </row>
    <row r="9239" spans="1:2">
      <c r="A9239" s="59"/>
      <c r="B9239"/>
    </row>
    <row r="9240" spans="1:2">
      <c r="A9240" s="59"/>
      <c r="B9240"/>
    </row>
    <row r="9241" spans="1:2">
      <c r="A9241" s="59"/>
      <c r="B9241"/>
    </row>
    <row r="9242" spans="1:2">
      <c r="A9242" s="59"/>
      <c r="B9242"/>
    </row>
    <row r="9243" spans="1:2">
      <c r="A9243" s="59"/>
      <c r="B9243"/>
    </row>
    <row r="9244" spans="1:2">
      <c r="A9244" s="59"/>
      <c r="B9244"/>
    </row>
    <row r="9245" spans="1:2">
      <c r="A9245" s="59"/>
      <c r="B9245"/>
    </row>
    <row r="9246" spans="1:2">
      <c r="A9246" s="59"/>
      <c r="B9246"/>
    </row>
    <row r="9247" spans="1:2">
      <c r="A9247" s="59"/>
      <c r="B9247"/>
    </row>
    <row r="9248" spans="1:2">
      <c r="A9248" s="59"/>
      <c r="B9248"/>
    </row>
    <row r="9249" spans="1:2">
      <c r="A9249" s="59"/>
      <c r="B9249"/>
    </row>
    <row r="9250" spans="1:2">
      <c r="A9250" s="59"/>
      <c r="B9250"/>
    </row>
    <row r="9251" spans="1:2">
      <c r="A9251" s="59"/>
      <c r="B9251"/>
    </row>
    <row r="9252" spans="1:2">
      <c r="A9252" s="59"/>
      <c r="B9252"/>
    </row>
    <row r="9253" spans="1:2">
      <c r="A9253" s="59"/>
      <c r="B9253"/>
    </row>
    <row r="9254" spans="1:2">
      <c r="A9254" s="59"/>
      <c r="B9254"/>
    </row>
    <row r="9255" spans="1:2">
      <c r="A9255" s="59"/>
      <c r="B9255"/>
    </row>
    <row r="9256" spans="1:2">
      <c r="A9256" s="59"/>
      <c r="B9256"/>
    </row>
    <row r="9257" spans="1:2">
      <c r="A9257" s="59"/>
      <c r="B9257"/>
    </row>
    <row r="9258" spans="1:2">
      <c r="A9258" s="59"/>
      <c r="B9258"/>
    </row>
    <row r="9259" spans="1:2">
      <c r="A9259" s="59"/>
      <c r="B9259"/>
    </row>
    <row r="9260" spans="1:2">
      <c r="A9260" s="59"/>
      <c r="B9260"/>
    </row>
    <row r="9261" spans="1:2">
      <c r="A9261" s="59"/>
      <c r="B9261"/>
    </row>
    <row r="9262" spans="1:2">
      <c r="A9262" s="59"/>
      <c r="B9262"/>
    </row>
    <row r="9263" spans="1:2">
      <c r="A9263" s="59"/>
      <c r="B9263"/>
    </row>
    <row r="9264" spans="1:2">
      <c r="A9264" s="59"/>
      <c r="B9264"/>
    </row>
    <row r="9265" spans="1:2">
      <c r="A9265" s="59"/>
      <c r="B9265"/>
    </row>
    <row r="9266" spans="1:2">
      <c r="A9266" s="59"/>
      <c r="B9266"/>
    </row>
    <row r="9267" spans="1:2">
      <c r="A9267" s="59"/>
      <c r="B9267"/>
    </row>
    <row r="9268" spans="1:2">
      <c r="A9268" s="59"/>
      <c r="B9268"/>
    </row>
    <row r="9269" spans="1:2">
      <c r="A9269" s="59"/>
      <c r="B9269"/>
    </row>
    <row r="9270" spans="1:2">
      <c r="A9270" s="59"/>
      <c r="B9270"/>
    </row>
    <row r="9271" spans="1:2">
      <c r="A9271" s="59"/>
      <c r="B9271"/>
    </row>
    <row r="9272" spans="1:2">
      <c r="A9272" s="59"/>
      <c r="B9272"/>
    </row>
    <row r="9273" spans="1:2">
      <c r="A9273" s="59"/>
      <c r="B9273"/>
    </row>
    <row r="9274" spans="1:2">
      <c r="A9274" s="59"/>
      <c r="B9274"/>
    </row>
    <row r="9275" spans="1:2">
      <c r="A9275" s="59"/>
      <c r="B9275"/>
    </row>
    <row r="9276" spans="1:2">
      <c r="A9276" s="59"/>
      <c r="B9276"/>
    </row>
    <row r="9277" spans="1:2">
      <c r="A9277" s="59"/>
      <c r="B9277"/>
    </row>
    <row r="9278" spans="1:2">
      <c r="A9278" s="59"/>
      <c r="B9278"/>
    </row>
    <row r="9279" spans="1:2">
      <c r="A9279" s="59"/>
      <c r="B9279"/>
    </row>
    <row r="9280" spans="1:2">
      <c r="A9280" s="59"/>
      <c r="B9280"/>
    </row>
    <row r="9281" spans="1:2">
      <c r="A9281" s="59"/>
      <c r="B9281"/>
    </row>
    <row r="9282" spans="1:2">
      <c r="A9282" s="59"/>
      <c r="B9282"/>
    </row>
    <row r="9283" spans="1:2">
      <c r="A9283" s="59"/>
      <c r="B9283"/>
    </row>
    <row r="9284" spans="1:2">
      <c r="A9284" s="59"/>
      <c r="B9284"/>
    </row>
    <row r="9285" spans="1:2">
      <c r="A9285" s="59"/>
      <c r="B9285"/>
    </row>
    <row r="9286" spans="1:2">
      <c r="A9286" s="59"/>
      <c r="B9286"/>
    </row>
    <row r="9287" spans="1:2">
      <c r="A9287" s="59"/>
      <c r="B9287"/>
    </row>
    <row r="9288" spans="1:2">
      <c r="A9288" s="59"/>
      <c r="B9288"/>
    </row>
    <row r="9289" spans="1:2">
      <c r="A9289" s="59"/>
      <c r="B9289"/>
    </row>
    <row r="9290" spans="1:2">
      <c r="A9290" s="59"/>
      <c r="B9290"/>
    </row>
    <row r="9291" spans="1:2">
      <c r="A9291" s="59"/>
      <c r="B9291"/>
    </row>
    <row r="9292" spans="1:2">
      <c r="A9292" s="59"/>
      <c r="B9292"/>
    </row>
    <row r="9293" spans="1:2">
      <c r="A9293" s="59"/>
      <c r="B9293"/>
    </row>
    <row r="9294" spans="1:2">
      <c r="A9294" s="59"/>
      <c r="B9294"/>
    </row>
    <row r="9295" spans="1:2">
      <c r="A9295" s="59"/>
      <c r="B9295"/>
    </row>
    <row r="9296" spans="1:2">
      <c r="A9296" s="59"/>
      <c r="B9296"/>
    </row>
    <row r="9297" spans="1:2">
      <c r="A9297" s="59"/>
      <c r="B9297"/>
    </row>
    <row r="9298" spans="1:2">
      <c r="A9298" s="59"/>
      <c r="B9298"/>
    </row>
    <row r="9299" spans="1:2">
      <c r="A9299" s="59"/>
      <c r="B9299"/>
    </row>
    <row r="9300" spans="1:2">
      <c r="A9300" s="59"/>
      <c r="B9300"/>
    </row>
    <row r="9301" spans="1:2">
      <c r="A9301" s="59"/>
      <c r="B9301"/>
    </row>
    <row r="9302" spans="1:2">
      <c r="A9302" s="59"/>
      <c r="B9302"/>
    </row>
    <row r="9303" spans="1:2">
      <c r="A9303" s="59"/>
      <c r="B9303"/>
    </row>
    <row r="9304" spans="1:2">
      <c r="A9304" s="59"/>
      <c r="B9304"/>
    </row>
    <row r="9305" spans="1:2">
      <c r="A9305" s="59"/>
      <c r="B9305"/>
    </row>
    <row r="9306" spans="1:2">
      <c r="A9306" s="59"/>
      <c r="B9306"/>
    </row>
    <row r="9307" spans="1:2">
      <c r="A9307" s="59"/>
      <c r="B9307"/>
    </row>
    <row r="9308" spans="1:2">
      <c r="A9308" s="59"/>
      <c r="B9308"/>
    </row>
    <row r="9309" spans="1:2">
      <c r="A9309" s="59"/>
      <c r="B9309"/>
    </row>
    <row r="9310" spans="1:2">
      <c r="A9310" s="59"/>
      <c r="B9310"/>
    </row>
    <row r="9311" spans="1:2">
      <c r="A9311" s="59"/>
      <c r="B9311"/>
    </row>
    <row r="9312" spans="1:2">
      <c r="A9312" s="59"/>
      <c r="B9312"/>
    </row>
    <row r="9313" spans="1:2">
      <c r="A9313" s="59"/>
      <c r="B9313"/>
    </row>
    <row r="9314" spans="1:2">
      <c r="A9314" s="59"/>
      <c r="B9314"/>
    </row>
    <row r="9315" spans="1:2">
      <c r="A9315" s="59"/>
      <c r="B9315"/>
    </row>
    <row r="9316" spans="1:2">
      <c r="A9316" s="59"/>
      <c r="B9316"/>
    </row>
    <row r="9317" spans="1:2">
      <c r="A9317" s="59"/>
      <c r="B9317"/>
    </row>
    <row r="9318" spans="1:2">
      <c r="A9318" s="59"/>
      <c r="B9318"/>
    </row>
    <row r="9319" spans="1:2">
      <c r="A9319" s="59"/>
      <c r="B9319"/>
    </row>
    <row r="9320" spans="1:2">
      <c r="A9320" s="59"/>
      <c r="B9320"/>
    </row>
    <row r="9321" spans="1:2">
      <c r="A9321" s="59"/>
      <c r="B9321"/>
    </row>
    <row r="9322" spans="1:2">
      <c r="A9322" s="59"/>
      <c r="B9322"/>
    </row>
    <row r="9323" spans="1:2">
      <c r="A9323" s="59"/>
      <c r="B9323"/>
    </row>
    <row r="9324" spans="1:2">
      <c r="A9324" s="59"/>
      <c r="B9324"/>
    </row>
    <row r="9325" spans="1:2">
      <c r="A9325" s="59"/>
      <c r="B9325"/>
    </row>
    <row r="9326" spans="1:2">
      <c r="A9326" s="59"/>
      <c r="B9326"/>
    </row>
    <row r="9327" spans="1:2">
      <c r="A9327" s="59"/>
      <c r="B9327"/>
    </row>
    <row r="9328" spans="1:2">
      <c r="A9328" s="59"/>
      <c r="B9328"/>
    </row>
    <row r="9329" spans="1:2">
      <c r="A9329" s="59"/>
      <c r="B9329"/>
    </row>
    <row r="9330" spans="1:2">
      <c r="A9330" s="59"/>
      <c r="B9330"/>
    </row>
    <row r="9331" spans="1:2">
      <c r="A9331" s="59"/>
      <c r="B9331"/>
    </row>
    <row r="9332" spans="1:2">
      <c r="A9332" s="59"/>
      <c r="B9332"/>
    </row>
    <row r="9333" spans="1:2">
      <c r="A9333" s="59"/>
      <c r="B9333"/>
    </row>
    <row r="9334" spans="1:2">
      <c r="A9334" s="59"/>
      <c r="B9334"/>
    </row>
    <row r="9335" spans="1:2">
      <c r="A9335" s="59"/>
      <c r="B9335"/>
    </row>
    <row r="9336" spans="1:2">
      <c r="A9336" s="59"/>
      <c r="B9336"/>
    </row>
    <row r="9337" spans="1:2">
      <c r="A9337" s="59"/>
      <c r="B9337"/>
    </row>
    <row r="9338" spans="1:2">
      <c r="A9338" s="59"/>
      <c r="B9338"/>
    </row>
    <row r="9339" spans="1:2">
      <c r="A9339" s="59"/>
      <c r="B9339"/>
    </row>
    <row r="9340" spans="1:2">
      <c r="A9340" s="59"/>
      <c r="B9340"/>
    </row>
    <row r="9341" spans="1:2">
      <c r="A9341" s="59"/>
      <c r="B9341"/>
    </row>
    <row r="9342" spans="1:2">
      <c r="A9342" s="59"/>
      <c r="B9342"/>
    </row>
    <row r="9343" spans="1:2">
      <c r="A9343" s="59"/>
      <c r="B9343"/>
    </row>
    <row r="9344" spans="1:2">
      <c r="A9344" s="59"/>
      <c r="B9344"/>
    </row>
    <row r="9345" spans="1:2">
      <c r="A9345" s="59"/>
      <c r="B9345"/>
    </row>
    <row r="9346" spans="1:2">
      <c r="A9346" s="59"/>
      <c r="B9346"/>
    </row>
    <row r="9347" spans="1:2">
      <c r="A9347" s="59"/>
      <c r="B9347"/>
    </row>
    <row r="9348" spans="1:2">
      <c r="A9348" s="59"/>
      <c r="B9348"/>
    </row>
    <row r="9349" spans="1:2">
      <c r="A9349" s="59"/>
      <c r="B9349"/>
    </row>
    <row r="9350" spans="1:2">
      <c r="A9350" s="59"/>
      <c r="B9350"/>
    </row>
    <row r="9351" spans="1:2">
      <c r="A9351" s="59"/>
      <c r="B9351"/>
    </row>
    <row r="9352" spans="1:2">
      <c r="A9352" s="59"/>
      <c r="B9352"/>
    </row>
    <row r="9353" spans="1:2">
      <c r="A9353" s="59"/>
      <c r="B9353"/>
    </row>
    <row r="9354" spans="1:2">
      <c r="A9354" s="59"/>
      <c r="B9354"/>
    </row>
    <row r="9355" spans="1:2">
      <c r="A9355" s="59"/>
      <c r="B9355"/>
    </row>
    <row r="9356" spans="1:2">
      <c r="A9356" s="59"/>
      <c r="B9356"/>
    </row>
    <row r="9357" spans="1:2">
      <c r="A9357" s="59"/>
      <c r="B9357"/>
    </row>
    <row r="9358" spans="1:2">
      <c r="A9358" s="59"/>
      <c r="B9358"/>
    </row>
    <row r="9359" spans="1:2">
      <c r="A9359" s="59"/>
      <c r="B9359"/>
    </row>
    <row r="9360" spans="1:2">
      <c r="A9360" s="59"/>
      <c r="B9360"/>
    </row>
    <row r="9361" spans="1:2">
      <c r="A9361" s="59"/>
      <c r="B9361"/>
    </row>
    <row r="9362" spans="1:2">
      <c r="A9362" s="59"/>
      <c r="B9362"/>
    </row>
    <row r="9363" spans="1:2">
      <c r="A9363" s="59"/>
      <c r="B9363"/>
    </row>
    <row r="9364" spans="1:2">
      <c r="A9364" s="59"/>
      <c r="B9364"/>
    </row>
    <row r="9365" spans="1:2">
      <c r="A9365" s="59"/>
      <c r="B9365"/>
    </row>
    <row r="9366" spans="1:2">
      <c r="A9366" s="59"/>
      <c r="B9366"/>
    </row>
    <row r="9367" spans="1:2">
      <c r="A9367" s="59"/>
      <c r="B9367"/>
    </row>
    <row r="9368" spans="1:2">
      <c r="A9368" s="59"/>
      <c r="B9368"/>
    </row>
    <row r="9369" spans="1:2">
      <c r="A9369" s="59"/>
      <c r="B9369"/>
    </row>
    <row r="9370" spans="1:2">
      <c r="A9370" s="59"/>
      <c r="B9370"/>
    </row>
    <row r="9371" spans="1:2">
      <c r="A9371" s="59"/>
      <c r="B9371"/>
    </row>
    <row r="9372" spans="1:2">
      <c r="A9372" s="59"/>
      <c r="B9372"/>
    </row>
    <row r="9373" spans="1:2">
      <c r="A9373" s="59"/>
      <c r="B9373"/>
    </row>
    <row r="9374" spans="1:2">
      <c r="A9374" s="59"/>
      <c r="B9374"/>
    </row>
    <row r="9375" spans="1:2">
      <c r="A9375" s="59"/>
      <c r="B9375"/>
    </row>
    <row r="9376" spans="1:2">
      <c r="A9376" s="59"/>
      <c r="B9376"/>
    </row>
    <row r="9377" spans="1:2">
      <c r="A9377" s="59"/>
      <c r="B9377"/>
    </row>
    <row r="9378" spans="1:2">
      <c r="A9378" s="59"/>
      <c r="B9378"/>
    </row>
    <row r="9379" spans="1:2">
      <c r="A9379" s="59"/>
      <c r="B9379"/>
    </row>
    <row r="9380" spans="1:2">
      <c r="A9380" s="59"/>
      <c r="B9380"/>
    </row>
    <row r="9381" spans="1:2">
      <c r="A9381" s="59"/>
      <c r="B9381"/>
    </row>
    <row r="9382" spans="1:2">
      <c r="A9382" s="59"/>
      <c r="B9382"/>
    </row>
    <row r="9383" spans="1:2">
      <c r="A9383" s="59"/>
      <c r="B9383"/>
    </row>
    <row r="9384" spans="1:2">
      <c r="A9384" s="59"/>
      <c r="B9384"/>
    </row>
    <row r="9385" spans="1:2">
      <c r="A9385" s="59"/>
      <c r="B9385"/>
    </row>
    <row r="9386" spans="1:2">
      <c r="A9386" s="59"/>
      <c r="B9386"/>
    </row>
    <row r="9387" spans="1:2">
      <c r="A9387" s="59"/>
      <c r="B9387"/>
    </row>
    <row r="9388" spans="1:2">
      <c r="A9388" s="59"/>
      <c r="B9388"/>
    </row>
    <row r="9389" spans="1:2">
      <c r="A9389" s="59"/>
      <c r="B9389"/>
    </row>
    <row r="9390" spans="1:2">
      <c r="A9390" s="59"/>
      <c r="B9390"/>
    </row>
    <row r="9391" spans="1:2">
      <c r="A9391" s="59"/>
      <c r="B9391"/>
    </row>
    <row r="9392" spans="1:2">
      <c r="A9392" s="59"/>
      <c r="B9392"/>
    </row>
    <row r="9393" spans="1:2">
      <c r="A9393" s="59"/>
      <c r="B9393"/>
    </row>
    <row r="9394" spans="1:2">
      <c r="A9394" s="59"/>
      <c r="B9394"/>
    </row>
    <row r="9395" spans="1:2">
      <c r="A9395" s="59"/>
      <c r="B9395"/>
    </row>
    <row r="9396" spans="1:2">
      <c r="A9396" s="59"/>
      <c r="B9396"/>
    </row>
    <row r="9397" spans="1:2">
      <c r="A9397" s="59"/>
      <c r="B9397"/>
    </row>
    <row r="9398" spans="1:2">
      <c r="A9398" s="59"/>
      <c r="B9398"/>
    </row>
    <row r="9399" spans="1:2">
      <c r="A9399" s="59"/>
      <c r="B9399"/>
    </row>
    <row r="9400" spans="1:2">
      <c r="A9400" s="59"/>
      <c r="B9400"/>
    </row>
    <row r="9401" spans="1:2">
      <c r="A9401" s="59"/>
      <c r="B9401"/>
    </row>
    <row r="9402" spans="1:2">
      <c r="A9402" s="59"/>
      <c r="B9402"/>
    </row>
    <row r="9403" spans="1:2">
      <c r="A9403" s="59"/>
      <c r="B9403"/>
    </row>
    <row r="9404" spans="1:2">
      <c r="A9404" s="59"/>
      <c r="B9404"/>
    </row>
    <row r="9405" spans="1:2">
      <c r="A9405" s="59"/>
      <c r="B9405"/>
    </row>
    <row r="9406" spans="1:2">
      <c r="A9406" s="59"/>
      <c r="B9406"/>
    </row>
    <row r="9407" spans="1:2">
      <c r="A9407" s="59"/>
      <c r="B9407"/>
    </row>
    <row r="9408" spans="1:2">
      <c r="A9408" s="59"/>
      <c r="B9408"/>
    </row>
    <row r="9409" spans="1:2">
      <c r="A9409" s="59"/>
      <c r="B9409"/>
    </row>
    <row r="9410" spans="1:2">
      <c r="A9410" s="59"/>
      <c r="B9410"/>
    </row>
    <row r="9411" spans="1:2">
      <c r="A9411" s="59"/>
      <c r="B9411"/>
    </row>
    <row r="9412" spans="1:2">
      <c r="A9412" s="59"/>
      <c r="B9412"/>
    </row>
    <row r="9413" spans="1:2">
      <c r="A9413" s="59"/>
      <c r="B9413"/>
    </row>
    <row r="9414" spans="1:2">
      <c r="A9414" s="59"/>
      <c r="B9414"/>
    </row>
    <row r="9415" spans="1:2">
      <c r="A9415" s="59"/>
      <c r="B9415"/>
    </row>
    <row r="9416" spans="1:2">
      <c r="A9416" s="59"/>
      <c r="B9416"/>
    </row>
    <row r="9417" spans="1:2">
      <c r="A9417" s="59"/>
      <c r="B9417"/>
    </row>
    <row r="9418" spans="1:2">
      <c r="A9418" s="59"/>
      <c r="B9418"/>
    </row>
    <row r="9419" spans="1:2">
      <c r="A9419" s="59"/>
      <c r="B9419"/>
    </row>
    <row r="9420" spans="1:2">
      <c r="A9420" s="59"/>
      <c r="B9420"/>
    </row>
    <row r="9421" spans="1:2">
      <c r="A9421" s="59"/>
      <c r="B9421"/>
    </row>
    <row r="9422" spans="1:2">
      <c r="A9422" s="59"/>
      <c r="B9422"/>
    </row>
    <row r="9423" spans="1:2">
      <c r="A9423" s="59"/>
      <c r="B9423"/>
    </row>
    <row r="9424" spans="1:2">
      <c r="A9424" s="59"/>
      <c r="B9424"/>
    </row>
    <row r="9425" spans="1:2">
      <c r="A9425" s="59"/>
      <c r="B9425"/>
    </row>
    <row r="9426" spans="1:2">
      <c r="A9426" s="59"/>
      <c r="B9426"/>
    </row>
    <row r="9427" spans="1:2">
      <c r="A9427" s="59"/>
      <c r="B9427"/>
    </row>
    <row r="9428" spans="1:2">
      <c r="A9428" s="59"/>
      <c r="B9428"/>
    </row>
    <row r="9429" spans="1:2">
      <c r="A9429" s="59"/>
      <c r="B9429"/>
    </row>
    <row r="9430" spans="1:2">
      <c r="A9430" s="59"/>
      <c r="B9430"/>
    </row>
    <row r="9431" spans="1:2">
      <c r="A9431" s="59"/>
      <c r="B9431"/>
    </row>
    <row r="9432" spans="1:2">
      <c r="A9432" s="59"/>
      <c r="B9432"/>
    </row>
    <row r="9433" spans="1:2">
      <c r="A9433" s="59"/>
      <c r="B9433"/>
    </row>
    <row r="9434" spans="1:2">
      <c r="A9434" s="59"/>
      <c r="B9434"/>
    </row>
    <row r="9435" spans="1:2">
      <c r="A9435" s="59"/>
      <c r="B9435"/>
    </row>
    <row r="9436" spans="1:2">
      <c r="A9436" s="59"/>
      <c r="B9436"/>
    </row>
    <row r="9437" spans="1:2">
      <c r="A9437" s="59"/>
      <c r="B9437"/>
    </row>
    <row r="9438" spans="1:2">
      <c r="A9438" s="59"/>
      <c r="B9438"/>
    </row>
    <row r="9439" spans="1:2">
      <c r="A9439" s="59"/>
      <c r="B9439"/>
    </row>
    <row r="9440" spans="1:2">
      <c r="A9440" s="59"/>
      <c r="B9440"/>
    </row>
    <row r="9441" spans="1:2">
      <c r="A9441" s="59"/>
      <c r="B9441"/>
    </row>
    <row r="9442" spans="1:2">
      <c r="A9442" s="59"/>
      <c r="B9442"/>
    </row>
    <row r="9443" spans="1:2">
      <c r="A9443" s="59"/>
      <c r="B9443"/>
    </row>
    <row r="9444" spans="1:2">
      <c r="A9444" s="59"/>
      <c r="B9444"/>
    </row>
    <row r="9445" spans="1:2">
      <c r="A9445" s="59"/>
      <c r="B9445"/>
    </row>
    <row r="9446" spans="1:2">
      <c r="A9446" s="59"/>
      <c r="B9446"/>
    </row>
    <row r="9447" spans="1:2">
      <c r="A9447" s="59"/>
      <c r="B9447"/>
    </row>
    <row r="9448" spans="1:2">
      <c r="A9448" s="59"/>
      <c r="B9448"/>
    </row>
    <row r="9449" spans="1:2">
      <c r="A9449" s="59"/>
      <c r="B9449"/>
    </row>
    <row r="9450" spans="1:2">
      <c r="A9450" s="59"/>
      <c r="B9450"/>
    </row>
    <row r="9451" spans="1:2">
      <c r="A9451" s="59"/>
      <c r="B9451"/>
    </row>
    <row r="9452" spans="1:2">
      <c r="A9452" s="59"/>
      <c r="B9452"/>
    </row>
    <row r="9453" spans="1:2">
      <c r="A9453" s="59"/>
      <c r="B9453"/>
    </row>
    <row r="9454" spans="1:2">
      <c r="A9454" s="59"/>
      <c r="B9454"/>
    </row>
    <row r="9455" spans="1:2">
      <c r="A9455" s="59"/>
      <c r="B9455"/>
    </row>
    <row r="9456" spans="1:2">
      <c r="A9456" s="59"/>
      <c r="B9456"/>
    </row>
    <row r="9457" spans="1:2">
      <c r="A9457" s="59"/>
      <c r="B9457"/>
    </row>
    <row r="9458" spans="1:2">
      <c r="A9458" s="59"/>
      <c r="B9458"/>
    </row>
    <row r="9459" spans="1:2">
      <c r="A9459" s="59"/>
      <c r="B9459"/>
    </row>
    <row r="9460" spans="1:2">
      <c r="A9460" s="59"/>
      <c r="B9460"/>
    </row>
    <row r="9461" spans="1:2">
      <c r="A9461" s="59"/>
      <c r="B9461"/>
    </row>
    <row r="9462" spans="1:2">
      <c r="A9462" s="59"/>
      <c r="B9462"/>
    </row>
    <row r="9463" spans="1:2">
      <c r="A9463" s="59"/>
      <c r="B9463"/>
    </row>
    <row r="9464" spans="1:2">
      <c r="A9464" s="59"/>
      <c r="B9464"/>
    </row>
    <row r="9465" spans="1:2">
      <c r="A9465" s="59"/>
      <c r="B9465"/>
    </row>
    <row r="9466" spans="1:2">
      <c r="A9466" s="59"/>
      <c r="B9466"/>
    </row>
    <row r="9467" spans="1:2">
      <c r="A9467" s="59"/>
      <c r="B9467"/>
    </row>
    <row r="9468" spans="1:2">
      <c r="A9468" s="59"/>
      <c r="B9468"/>
    </row>
    <row r="9469" spans="1:2">
      <c r="A9469" s="59"/>
      <c r="B9469"/>
    </row>
    <row r="9470" spans="1:2">
      <c r="A9470" s="59"/>
      <c r="B9470"/>
    </row>
    <row r="9471" spans="1:2">
      <c r="A9471" s="59"/>
      <c r="B9471"/>
    </row>
    <row r="9472" spans="1:2">
      <c r="A9472" s="59"/>
      <c r="B9472"/>
    </row>
    <row r="9473" spans="1:2">
      <c r="A9473" s="59"/>
      <c r="B9473"/>
    </row>
    <row r="9474" spans="1:2">
      <c r="A9474" s="59"/>
      <c r="B9474"/>
    </row>
    <row r="9475" spans="1:2">
      <c r="A9475" s="59"/>
      <c r="B9475"/>
    </row>
    <row r="9476" spans="1:2">
      <c r="A9476" s="59"/>
      <c r="B9476"/>
    </row>
    <row r="9477" spans="1:2">
      <c r="A9477" s="59"/>
      <c r="B9477"/>
    </row>
    <row r="9478" spans="1:2">
      <c r="A9478" s="59"/>
      <c r="B9478"/>
    </row>
    <row r="9479" spans="1:2">
      <c r="A9479" s="59"/>
      <c r="B9479"/>
    </row>
    <row r="9480" spans="1:2">
      <c r="A9480" s="59"/>
      <c r="B9480"/>
    </row>
    <row r="9481" spans="1:2">
      <c r="A9481" s="59"/>
      <c r="B9481"/>
    </row>
    <row r="9482" spans="1:2">
      <c r="A9482" s="59"/>
      <c r="B9482"/>
    </row>
    <row r="9483" spans="1:2">
      <c r="A9483" s="59"/>
      <c r="B9483"/>
    </row>
    <row r="9484" spans="1:2">
      <c r="A9484" s="59"/>
      <c r="B9484"/>
    </row>
    <row r="9485" spans="1:2">
      <c r="A9485" s="59"/>
      <c r="B9485"/>
    </row>
    <row r="9486" spans="1:2">
      <c r="A9486" s="59"/>
      <c r="B9486"/>
    </row>
    <row r="9487" spans="1:2">
      <c r="A9487" s="59"/>
      <c r="B9487"/>
    </row>
    <row r="9488" spans="1:2">
      <c r="A9488" s="59"/>
      <c r="B9488"/>
    </row>
    <row r="9489" spans="1:2">
      <c r="A9489" s="59"/>
      <c r="B9489"/>
    </row>
    <row r="9490" spans="1:2">
      <c r="A9490" s="59"/>
      <c r="B9490"/>
    </row>
    <row r="9491" spans="1:2">
      <c r="A9491" s="59"/>
      <c r="B9491"/>
    </row>
    <row r="9492" spans="1:2">
      <c r="A9492" s="59"/>
      <c r="B9492"/>
    </row>
    <row r="9493" spans="1:2">
      <c r="A9493" s="59"/>
      <c r="B9493"/>
    </row>
    <row r="9494" spans="1:2">
      <c r="A9494" s="59"/>
      <c r="B9494"/>
    </row>
    <row r="9495" spans="1:2">
      <c r="A9495" s="59"/>
      <c r="B9495"/>
    </row>
    <row r="9496" spans="1:2">
      <c r="A9496" s="59"/>
      <c r="B9496"/>
    </row>
    <row r="9497" spans="1:2">
      <c r="A9497" s="59"/>
      <c r="B9497"/>
    </row>
    <row r="9498" spans="1:2">
      <c r="A9498" s="59"/>
      <c r="B9498"/>
    </row>
    <row r="9499" spans="1:2">
      <c r="A9499" s="59"/>
      <c r="B9499"/>
    </row>
    <row r="9500" spans="1:2">
      <c r="A9500" s="59"/>
      <c r="B9500"/>
    </row>
    <row r="9501" spans="1:2">
      <c r="A9501" s="59"/>
      <c r="B9501"/>
    </row>
    <row r="9502" spans="1:2">
      <c r="A9502" s="59"/>
      <c r="B9502"/>
    </row>
    <row r="9503" spans="1:2">
      <c r="A9503" s="59"/>
      <c r="B9503"/>
    </row>
    <row r="9504" spans="1:2">
      <c r="A9504" s="59"/>
      <c r="B9504"/>
    </row>
    <row r="9505" spans="1:2">
      <c r="A9505" s="59"/>
      <c r="B9505"/>
    </row>
    <row r="9506" spans="1:2">
      <c r="A9506" s="59"/>
      <c r="B9506"/>
    </row>
    <row r="9507" spans="1:2">
      <c r="A9507" s="59"/>
      <c r="B9507"/>
    </row>
    <row r="9508" spans="1:2">
      <c r="A9508" s="59"/>
      <c r="B9508"/>
    </row>
    <row r="9509" spans="1:2">
      <c r="A9509" s="59"/>
      <c r="B9509"/>
    </row>
    <row r="9510" spans="1:2">
      <c r="A9510" s="59"/>
      <c r="B9510"/>
    </row>
    <row r="9511" spans="1:2">
      <c r="A9511" s="59"/>
      <c r="B9511"/>
    </row>
    <row r="9512" spans="1:2">
      <c r="A9512" s="59"/>
      <c r="B9512"/>
    </row>
    <row r="9513" spans="1:2">
      <c r="A9513" s="59"/>
      <c r="B9513"/>
    </row>
    <row r="9514" spans="1:2">
      <c r="A9514" s="59"/>
      <c r="B9514"/>
    </row>
    <row r="9515" spans="1:2">
      <c r="A9515" s="59"/>
      <c r="B9515"/>
    </row>
    <row r="9516" spans="1:2">
      <c r="A9516" s="59"/>
      <c r="B9516"/>
    </row>
    <row r="9517" spans="1:2">
      <c r="A9517" s="59"/>
      <c r="B9517"/>
    </row>
    <row r="9518" spans="1:2">
      <c r="A9518" s="59"/>
      <c r="B9518"/>
    </row>
    <row r="9519" spans="1:2">
      <c r="A9519" s="59"/>
      <c r="B9519"/>
    </row>
    <row r="9520" spans="1:2">
      <c r="A9520" s="59"/>
      <c r="B9520"/>
    </row>
    <row r="9521" spans="1:2">
      <c r="A9521" s="59"/>
      <c r="B9521"/>
    </row>
    <row r="9522" spans="1:2">
      <c r="A9522" s="59"/>
      <c r="B9522"/>
    </row>
    <row r="9523" spans="1:2">
      <c r="A9523" s="59"/>
      <c r="B9523"/>
    </row>
    <row r="9524" spans="1:2">
      <c r="A9524" s="59"/>
      <c r="B9524"/>
    </row>
    <row r="9525" spans="1:2">
      <c r="A9525" s="59"/>
      <c r="B9525"/>
    </row>
    <row r="9526" spans="1:2">
      <c r="A9526" s="59"/>
      <c r="B9526"/>
    </row>
    <row r="9527" spans="1:2">
      <c r="A9527" s="59"/>
      <c r="B9527"/>
    </row>
    <row r="9528" spans="1:2">
      <c r="A9528" s="59"/>
      <c r="B9528"/>
    </row>
    <row r="9529" spans="1:2">
      <c r="A9529" s="59"/>
      <c r="B9529"/>
    </row>
    <row r="9530" spans="1:2">
      <c r="A9530" s="59"/>
      <c r="B9530"/>
    </row>
    <row r="9531" spans="1:2">
      <c r="A9531" s="59"/>
      <c r="B9531"/>
    </row>
    <row r="9532" spans="1:2">
      <c r="A9532" s="59"/>
      <c r="B9532"/>
    </row>
    <row r="9533" spans="1:2">
      <c r="A9533" s="59"/>
      <c r="B9533"/>
    </row>
    <row r="9534" spans="1:2">
      <c r="A9534" s="59"/>
      <c r="B9534"/>
    </row>
    <row r="9535" spans="1:2">
      <c r="A9535" s="59"/>
      <c r="B9535"/>
    </row>
    <row r="9536" spans="1:2">
      <c r="A9536" s="59"/>
      <c r="B9536"/>
    </row>
    <row r="9537" spans="1:2">
      <c r="A9537" s="59"/>
      <c r="B9537"/>
    </row>
    <row r="9538" spans="1:2">
      <c r="A9538" s="59"/>
      <c r="B9538"/>
    </row>
    <row r="9539" spans="1:2">
      <c r="A9539" s="59"/>
      <c r="B9539"/>
    </row>
    <row r="9540" spans="1:2">
      <c r="A9540" s="59"/>
      <c r="B9540"/>
    </row>
    <row r="9541" spans="1:2">
      <c r="A9541" s="59"/>
      <c r="B9541"/>
    </row>
    <row r="9542" spans="1:2">
      <c r="A9542" s="59"/>
      <c r="B9542"/>
    </row>
    <row r="9543" spans="1:2">
      <c r="A9543" s="59"/>
      <c r="B9543"/>
    </row>
    <row r="9544" spans="1:2">
      <c r="A9544" s="59"/>
      <c r="B9544"/>
    </row>
    <row r="9545" spans="1:2">
      <c r="A9545" s="59"/>
      <c r="B9545"/>
    </row>
    <row r="9546" spans="1:2">
      <c r="A9546" s="59"/>
      <c r="B9546"/>
    </row>
    <row r="9547" spans="1:2">
      <c r="A9547" s="59"/>
      <c r="B9547"/>
    </row>
    <row r="9548" spans="1:2">
      <c r="A9548" s="59"/>
      <c r="B9548"/>
    </row>
    <row r="9549" spans="1:2">
      <c r="A9549" s="59"/>
      <c r="B9549"/>
    </row>
    <row r="9550" spans="1:2">
      <c r="A9550" s="59"/>
      <c r="B9550"/>
    </row>
    <row r="9551" spans="1:2">
      <c r="A9551" s="59"/>
      <c r="B9551"/>
    </row>
    <row r="9552" spans="1:2">
      <c r="A9552" s="59"/>
      <c r="B9552"/>
    </row>
    <row r="9553" spans="1:2">
      <c r="A9553" s="59"/>
      <c r="B9553"/>
    </row>
    <row r="9554" spans="1:2">
      <c r="A9554" s="59"/>
      <c r="B9554"/>
    </row>
    <row r="9555" spans="1:2">
      <c r="A9555" s="59"/>
      <c r="B9555"/>
    </row>
    <row r="9556" spans="1:2">
      <c r="A9556" s="59"/>
      <c r="B9556"/>
    </row>
    <row r="9557" spans="1:2">
      <c r="A9557" s="59"/>
      <c r="B9557"/>
    </row>
    <row r="9558" spans="1:2">
      <c r="A9558" s="59"/>
      <c r="B9558"/>
    </row>
    <row r="9559" spans="1:2">
      <c r="A9559" s="59"/>
      <c r="B9559"/>
    </row>
    <row r="9560" spans="1:2">
      <c r="A9560" s="59"/>
      <c r="B9560"/>
    </row>
    <row r="9561" spans="1:2">
      <c r="A9561" s="59"/>
      <c r="B9561"/>
    </row>
    <row r="9562" spans="1:2">
      <c r="A9562" s="59"/>
      <c r="B9562"/>
    </row>
    <row r="9563" spans="1:2">
      <c r="A9563" s="59"/>
      <c r="B9563"/>
    </row>
    <row r="9564" spans="1:2">
      <c r="A9564" s="59"/>
      <c r="B9564"/>
    </row>
    <row r="9565" spans="1:2">
      <c r="A9565" s="59"/>
      <c r="B9565"/>
    </row>
    <row r="9566" spans="1:2">
      <c r="A9566" s="59"/>
      <c r="B9566"/>
    </row>
    <row r="9567" spans="1:2">
      <c r="A9567" s="59"/>
      <c r="B9567"/>
    </row>
    <row r="9568" spans="1:2">
      <c r="A9568" s="59"/>
      <c r="B9568"/>
    </row>
    <row r="9569" spans="1:2">
      <c r="A9569" s="59"/>
      <c r="B9569"/>
    </row>
    <row r="9570" spans="1:2">
      <c r="A9570" s="59"/>
      <c r="B9570"/>
    </row>
    <row r="9571" spans="1:2">
      <c r="A9571" s="59"/>
      <c r="B9571"/>
    </row>
    <row r="9572" spans="1:2">
      <c r="A9572" s="59"/>
      <c r="B9572"/>
    </row>
    <row r="9573" spans="1:2">
      <c r="A9573" s="59"/>
      <c r="B9573"/>
    </row>
    <row r="9574" spans="1:2">
      <c r="A9574" s="59"/>
      <c r="B9574"/>
    </row>
    <row r="9575" spans="1:2">
      <c r="A9575" s="59"/>
      <c r="B9575"/>
    </row>
    <row r="9576" spans="1:2">
      <c r="A9576" s="59"/>
      <c r="B9576"/>
    </row>
    <row r="9577" spans="1:2">
      <c r="A9577" s="59"/>
      <c r="B9577"/>
    </row>
    <row r="9578" spans="1:2">
      <c r="A9578" s="59"/>
      <c r="B9578"/>
    </row>
    <row r="9579" spans="1:2">
      <c r="A9579" s="59"/>
      <c r="B9579"/>
    </row>
    <row r="9580" spans="1:2">
      <c r="A9580" s="59"/>
      <c r="B9580"/>
    </row>
    <row r="9581" spans="1:2">
      <c r="A9581" s="59"/>
      <c r="B9581"/>
    </row>
    <row r="9582" spans="1:2">
      <c r="A9582" s="59"/>
      <c r="B9582"/>
    </row>
    <row r="9583" spans="1:2">
      <c r="A9583" s="59"/>
      <c r="B9583"/>
    </row>
    <row r="9584" spans="1:2">
      <c r="A9584" s="59"/>
      <c r="B9584"/>
    </row>
    <row r="9585" spans="1:2">
      <c r="A9585" s="59"/>
      <c r="B9585"/>
    </row>
    <row r="9586" spans="1:2">
      <c r="A9586" s="59"/>
      <c r="B9586"/>
    </row>
    <row r="9587" spans="1:2">
      <c r="A9587" s="59"/>
      <c r="B9587"/>
    </row>
    <row r="9588" spans="1:2">
      <c r="A9588" s="59"/>
      <c r="B9588"/>
    </row>
    <row r="9589" spans="1:2">
      <c r="A9589" s="59"/>
      <c r="B9589"/>
    </row>
    <row r="9590" spans="1:2">
      <c r="A9590" s="59"/>
      <c r="B9590"/>
    </row>
    <row r="9591" spans="1:2">
      <c r="A9591" s="59"/>
      <c r="B9591"/>
    </row>
    <row r="9592" spans="1:2">
      <c r="A9592" s="59"/>
      <c r="B9592"/>
    </row>
    <row r="9593" spans="1:2">
      <c r="A9593" s="59"/>
      <c r="B9593"/>
    </row>
    <row r="9594" spans="1:2">
      <c r="A9594" s="59"/>
      <c r="B9594"/>
    </row>
    <row r="9595" spans="1:2">
      <c r="A9595" s="59"/>
      <c r="B9595"/>
    </row>
    <row r="9596" spans="1:2">
      <c r="A9596" s="59"/>
      <c r="B9596"/>
    </row>
    <row r="9597" spans="1:2">
      <c r="A9597" s="59"/>
      <c r="B9597"/>
    </row>
    <row r="9598" spans="1:2">
      <c r="A9598" s="59"/>
      <c r="B9598"/>
    </row>
    <row r="9599" spans="1:2">
      <c r="A9599" s="59"/>
      <c r="B9599"/>
    </row>
    <row r="9600" spans="1:2">
      <c r="A9600" s="59"/>
      <c r="B9600"/>
    </row>
    <row r="9601" spans="1:2">
      <c r="A9601" s="59"/>
      <c r="B9601"/>
    </row>
    <row r="9602" spans="1:2">
      <c r="A9602" s="59"/>
      <c r="B9602"/>
    </row>
    <row r="9603" spans="1:2">
      <c r="A9603" s="59"/>
      <c r="B9603"/>
    </row>
    <row r="9604" spans="1:2">
      <c r="A9604" s="59"/>
      <c r="B9604"/>
    </row>
    <row r="9605" spans="1:2">
      <c r="A9605" s="59"/>
      <c r="B9605"/>
    </row>
    <row r="9606" spans="1:2">
      <c r="A9606" s="59"/>
      <c r="B9606"/>
    </row>
    <row r="9607" spans="1:2">
      <c r="A9607" s="59"/>
      <c r="B9607"/>
    </row>
    <row r="9608" spans="1:2">
      <c r="A9608" s="59"/>
      <c r="B9608"/>
    </row>
    <row r="9609" spans="1:2">
      <c r="A9609" s="59"/>
      <c r="B9609"/>
    </row>
    <row r="9610" spans="1:2">
      <c r="A9610" s="59"/>
      <c r="B9610"/>
    </row>
    <row r="9611" spans="1:2">
      <c r="A9611" s="59"/>
      <c r="B9611"/>
    </row>
    <row r="9612" spans="1:2">
      <c r="A9612" s="59"/>
      <c r="B9612"/>
    </row>
    <row r="9613" spans="1:2">
      <c r="A9613" s="59"/>
      <c r="B9613"/>
    </row>
    <row r="9614" spans="1:2">
      <c r="A9614" s="59"/>
      <c r="B9614"/>
    </row>
    <row r="9615" spans="1:2">
      <c r="A9615" s="59"/>
      <c r="B9615"/>
    </row>
    <row r="9616" spans="1:2">
      <c r="A9616" s="59"/>
      <c r="B9616"/>
    </row>
    <row r="9617" spans="1:2">
      <c r="A9617" s="59"/>
      <c r="B9617"/>
    </row>
    <row r="9618" spans="1:2">
      <c r="A9618" s="59"/>
      <c r="B9618"/>
    </row>
    <row r="9619" spans="1:2">
      <c r="A9619" s="59"/>
      <c r="B9619"/>
    </row>
    <row r="9620" spans="1:2">
      <c r="A9620" s="59"/>
      <c r="B9620"/>
    </row>
    <row r="9621" spans="1:2">
      <c r="A9621" s="59"/>
      <c r="B9621"/>
    </row>
    <row r="9622" spans="1:2">
      <c r="A9622" s="59"/>
      <c r="B9622"/>
    </row>
    <row r="9623" spans="1:2">
      <c r="A9623" s="59"/>
      <c r="B9623"/>
    </row>
    <row r="9624" spans="1:2">
      <c r="A9624" s="59"/>
      <c r="B9624"/>
    </row>
    <row r="9625" spans="1:2">
      <c r="A9625" s="59"/>
      <c r="B9625"/>
    </row>
    <row r="9626" spans="1:2">
      <c r="A9626" s="59"/>
      <c r="B9626"/>
    </row>
    <row r="9627" spans="1:2">
      <c r="A9627" s="59"/>
      <c r="B9627"/>
    </row>
    <row r="9628" spans="1:2">
      <c r="A9628" s="59"/>
      <c r="B9628"/>
    </row>
    <row r="9629" spans="1:2">
      <c r="A9629" s="59"/>
      <c r="B9629"/>
    </row>
    <row r="9630" spans="1:2">
      <c r="A9630" s="59"/>
      <c r="B9630"/>
    </row>
    <row r="9631" spans="1:2">
      <c r="A9631" s="59"/>
      <c r="B9631"/>
    </row>
    <row r="9632" spans="1:2">
      <c r="A9632" s="59"/>
      <c r="B9632"/>
    </row>
    <row r="9633" spans="1:2">
      <c r="A9633" s="59"/>
      <c r="B9633"/>
    </row>
    <row r="9634" spans="1:2">
      <c r="A9634" s="59"/>
      <c r="B9634"/>
    </row>
    <row r="9635" spans="1:2">
      <c r="A9635" s="59"/>
      <c r="B9635"/>
    </row>
    <row r="9636" spans="1:2">
      <c r="A9636" s="59"/>
      <c r="B9636"/>
    </row>
    <row r="9637" spans="1:2">
      <c r="A9637" s="59"/>
      <c r="B9637"/>
    </row>
    <row r="9638" spans="1:2">
      <c r="A9638" s="59"/>
      <c r="B9638"/>
    </row>
    <row r="9639" spans="1:2">
      <c r="A9639" s="59"/>
      <c r="B9639"/>
    </row>
    <row r="9640" spans="1:2">
      <c r="A9640" s="59"/>
      <c r="B9640"/>
    </row>
    <row r="9641" spans="1:2">
      <c r="A9641" s="59"/>
      <c r="B9641"/>
    </row>
    <row r="9642" spans="1:2">
      <c r="A9642" s="59"/>
      <c r="B9642"/>
    </row>
    <row r="9643" spans="1:2">
      <c r="A9643" s="59"/>
      <c r="B9643"/>
    </row>
    <row r="9644" spans="1:2">
      <c r="A9644" s="59"/>
      <c r="B9644"/>
    </row>
    <row r="9645" spans="1:2">
      <c r="A9645" s="59"/>
      <c r="B9645"/>
    </row>
    <row r="9646" spans="1:2">
      <c r="A9646" s="59"/>
      <c r="B9646"/>
    </row>
    <row r="9647" spans="1:2">
      <c r="A9647" s="59"/>
      <c r="B9647"/>
    </row>
    <row r="9648" spans="1:2">
      <c r="A9648" s="59"/>
      <c r="B9648"/>
    </row>
    <row r="9649" spans="1:2">
      <c r="A9649" s="59"/>
      <c r="B9649"/>
    </row>
    <row r="9650" spans="1:2">
      <c r="A9650" s="59"/>
      <c r="B9650"/>
    </row>
    <row r="9651" spans="1:2">
      <c r="A9651" s="59"/>
      <c r="B9651"/>
    </row>
    <row r="9652" spans="1:2">
      <c r="A9652" s="59"/>
      <c r="B9652"/>
    </row>
    <row r="9653" spans="1:2">
      <c r="A9653" s="59"/>
      <c r="B9653"/>
    </row>
    <row r="9654" spans="1:2">
      <c r="A9654" s="59"/>
      <c r="B9654"/>
    </row>
    <row r="9655" spans="1:2">
      <c r="A9655" s="59"/>
      <c r="B9655"/>
    </row>
    <row r="9656" spans="1:2">
      <c r="A9656" s="59"/>
      <c r="B9656"/>
    </row>
    <row r="9657" spans="1:2">
      <c r="A9657" s="59"/>
      <c r="B9657"/>
    </row>
    <row r="9658" spans="1:2">
      <c r="A9658" s="59"/>
      <c r="B9658"/>
    </row>
    <row r="9659" spans="1:2">
      <c r="A9659" s="59"/>
      <c r="B9659"/>
    </row>
    <row r="9660" spans="1:2">
      <c r="A9660" s="59"/>
      <c r="B9660"/>
    </row>
    <row r="9661" spans="1:2">
      <c r="A9661" s="59"/>
      <c r="B9661"/>
    </row>
    <row r="9662" spans="1:2">
      <c r="A9662" s="59"/>
      <c r="B9662"/>
    </row>
    <row r="9663" spans="1:2">
      <c r="A9663" s="59"/>
      <c r="B9663"/>
    </row>
    <row r="9664" spans="1:2">
      <c r="A9664" s="59"/>
      <c r="B9664"/>
    </row>
    <row r="9665" spans="1:2">
      <c r="A9665" s="59"/>
      <c r="B9665"/>
    </row>
    <row r="9666" spans="1:2">
      <c r="A9666" s="59"/>
      <c r="B9666"/>
    </row>
    <row r="9667" spans="1:2">
      <c r="A9667" s="59"/>
      <c r="B9667"/>
    </row>
    <row r="9668" spans="1:2">
      <c r="A9668" s="59"/>
      <c r="B9668"/>
    </row>
    <row r="9669" spans="1:2">
      <c r="A9669" s="59"/>
      <c r="B9669"/>
    </row>
    <row r="9670" spans="1:2">
      <c r="A9670" s="59"/>
      <c r="B9670"/>
    </row>
    <row r="9671" spans="1:2">
      <c r="A9671" s="59"/>
      <c r="B9671"/>
    </row>
    <row r="9672" spans="1:2">
      <c r="A9672" s="59"/>
      <c r="B9672"/>
    </row>
    <row r="9673" spans="1:2">
      <c r="A9673" s="59"/>
      <c r="B9673"/>
    </row>
    <row r="9674" spans="1:2">
      <c r="A9674" s="59"/>
      <c r="B9674"/>
    </row>
    <row r="9675" spans="1:2">
      <c r="A9675" s="59"/>
      <c r="B9675"/>
    </row>
    <row r="9676" spans="1:2">
      <c r="A9676" s="59"/>
      <c r="B9676"/>
    </row>
    <row r="9677" spans="1:2">
      <c r="A9677" s="59"/>
      <c r="B9677"/>
    </row>
    <row r="9678" spans="1:2">
      <c r="A9678" s="59"/>
      <c r="B9678"/>
    </row>
    <row r="9679" spans="1:2">
      <c r="A9679" s="59"/>
      <c r="B9679"/>
    </row>
    <row r="9680" spans="1:2">
      <c r="A9680" s="59"/>
      <c r="B9680"/>
    </row>
    <row r="9681" spans="1:2">
      <c r="A9681" s="59"/>
      <c r="B9681"/>
    </row>
    <row r="9682" spans="1:2">
      <c r="A9682" s="59"/>
      <c r="B9682"/>
    </row>
    <row r="9683" spans="1:2">
      <c r="A9683" s="59"/>
      <c r="B9683"/>
    </row>
    <row r="9684" spans="1:2">
      <c r="A9684" s="59"/>
      <c r="B9684"/>
    </row>
    <row r="9685" spans="1:2">
      <c r="A9685" s="59"/>
      <c r="B9685"/>
    </row>
    <row r="9686" spans="1:2">
      <c r="A9686" s="59"/>
      <c r="B9686"/>
    </row>
    <row r="9687" spans="1:2">
      <c r="A9687" s="59"/>
      <c r="B9687"/>
    </row>
    <row r="9688" spans="1:2">
      <c r="A9688" s="59"/>
      <c r="B9688"/>
    </row>
    <row r="9689" spans="1:2">
      <c r="A9689" s="59"/>
      <c r="B9689"/>
    </row>
    <row r="9690" spans="1:2">
      <c r="A9690" s="59"/>
      <c r="B9690"/>
    </row>
    <row r="9691" spans="1:2">
      <c r="A9691" s="59"/>
      <c r="B9691"/>
    </row>
    <row r="9692" spans="1:2">
      <c r="A9692" s="59"/>
      <c r="B9692"/>
    </row>
    <row r="9693" spans="1:2">
      <c r="A9693" s="59"/>
      <c r="B9693"/>
    </row>
    <row r="9694" spans="1:2">
      <c r="A9694" s="59"/>
      <c r="B9694"/>
    </row>
    <row r="9695" spans="1:2">
      <c r="A9695" s="59"/>
      <c r="B9695"/>
    </row>
    <row r="9696" spans="1:2">
      <c r="A9696" s="59"/>
      <c r="B9696"/>
    </row>
    <row r="9697" spans="1:2">
      <c r="A9697" s="59"/>
      <c r="B9697"/>
    </row>
    <row r="9698" spans="1:2">
      <c r="A9698" s="59"/>
      <c r="B9698"/>
    </row>
    <row r="9699" spans="1:2">
      <c r="A9699" s="59"/>
      <c r="B9699"/>
    </row>
    <row r="9700" spans="1:2">
      <c r="A9700" s="59"/>
      <c r="B9700"/>
    </row>
    <row r="9701" spans="1:2">
      <c r="A9701" s="59"/>
      <c r="B9701"/>
    </row>
    <row r="9702" spans="1:2">
      <c r="A9702" s="59"/>
      <c r="B9702"/>
    </row>
    <row r="9703" spans="1:2">
      <c r="A9703" s="59"/>
      <c r="B9703"/>
    </row>
    <row r="9704" spans="1:2">
      <c r="A9704" s="59"/>
      <c r="B9704"/>
    </row>
    <row r="9705" spans="1:2">
      <c r="A9705" s="59"/>
      <c r="B9705"/>
    </row>
    <row r="9706" spans="1:2">
      <c r="A9706" s="59"/>
      <c r="B9706"/>
    </row>
    <row r="9707" spans="1:2">
      <c r="A9707" s="59"/>
      <c r="B9707"/>
    </row>
    <row r="9708" spans="1:2">
      <c r="A9708" s="59"/>
      <c r="B9708"/>
    </row>
    <row r="9709" spans="1:2">
      <c r="A9709" s="59"/>
      <c r="B9709"/>
    </row>
    <row r="9710" spans="1:2">
      <c r="A9710" s="59"/>
      <c r="B9710"/>
    </row>
    <row r="9711" spans="1:2">
      <c r="A9711" s="59"/>
      <c r="B9711"/>
    </row>
    <row r="9712" spans="1:2">
      <c r="A9712" s="59"/>
      <c r="B9712"/>
    </row>
    <row r="9713" spans="1:2">
      <c r="A9713" s="59"/>
      <c r="B9713"/>
    </row>
    <row r="9714" spans="1:2">
      <c r="A9714" s="59"/>
      <c r="B9714"/>
    </row>
    <row r="9715" spans="1:2">
      <c r="A9715" s="59"/>
      <c r="B9715"/>
    </row>
    <row r="9716" spans="1:2">
      <c r="A9716" s="59"/>
      <c r="B9716"/>
    </row>
    <row r="9717" spans="1:2">
      <c r="A9717" s="59"/>
      <c r="B9717"/>
    </row>
    <row r="9718" spans="1:2">
      <c r="A9718" s="59"/>
      <c r="B9718"/>
    </row>
    <row r="9719" spans="1:2">
      <c r="A9719" s="59"/>
      <c r="B9719"/>
    </row>
    <row r="9720" spans="1:2">
      <c r="A9720" s="59"/>
      <c r="B9720"/>
    </row>
    <row r="9721" spans="1:2">
      <c r="A9721" s="59"/>
      <c r="B9721"/>
    </row>
    <row r="9722" spans="1:2">
      <c r="A9722" s="59"/>
      <c r="B9722"/>
    </row>
    <row r="9723" spans="1:2">
      <c r="A9723" s="59"/>
      <c r="B9723"/>
    </row>
    <row r="9724" spans="1:2">
      <c r="A9724" s="59"/>
      <c r="B9724"/>
    </row>
    <row r="9725" spans="1:2">
      <c r="A9725" s="59"/>
      <c r="B9725"/>
    </row>
    <row r="9726" spans="1:2">
      <c r="A9726" s="59"/>
      <c r="B9726"/>
    </row>
    <row r="9727" spans="1:2">
      <c r="A9727" s="59"/>
      <c r="B9727"/>
    </row>
    <row r="9728" spans="1:2">
      <c r="A9728" s="59"/>
      <c r="B9728"/>
    </row>
    <row r="9729" spans="1:2">
      <c r="A9729" s="59"/>
      <c r="B9729"/>
    </row>
    <row r="9730" spans="1:2">
      <c r="A9730" s="59"/>
      <c r="B9730"/>
    </row>
    <row r="9731" spans="1:2">
      <c r="A9731" s="59"/>
      <c r="B9731"/>
    </row>
    <row r="9732" spans="1:2">
      <c r="A9732" s="59"/>
      <c r="B9732"/>
    </row>
    <row r="9733" spans="1:2">
      <c r="A9733" s="59"/>
      <c r="B9733"/>
    </row>
    <row r="9734" spans="1:2">
      <c r="A9734" s="59"/>
      <c r="B9734"/>
    </row>
    <row r="9735" spans="1:2">
      <c r="A9735" s="59"/>
      <c r="B9735"/>
    </row>
    <row r="9736" spans="1:2">
      <c r="A9736" s="59"/>
      <c r="B9736"/>
    </row>
    <row r="9737" spans="1:2">
      <c r="A9737" s="59"/>
      <c r="B9737"/>
    </row>
    <row r="9738" spans="1:2">
      <c r="A9738" s="59"/>
      <c r="B9738"/>
    </row>
    <row r="9739" spans="1:2">
      <c r="A9739" s="59"/>
      <c r="B9739"/>
    </row>
    <row r="9740" spans="1:2">
      <c r="A9740" s="59"/>
      <c r="B9740"/>
    </row>
    <row r="9741" spans="1:2">
      <c r="A9741" s="59"/>
      <c r="B9741"/>
    </row>
    <row r="9742" spans="1:2">
      <c r="A9742" s="59"/>
      <c r="B9742"/>
    </row>
    <row r="9743" spans="1:2">
      <c r="A9743" s="59"/>
      <c r="B9743"/>
    </row>
    <row r="9744" spans="1:2">
      <c r="A9744" s="59"/>
      <c r="B9744"/>
    </row>
    <row r="9745" spans="1:2">
      <c r="A9745" s="59"/>
      <c r="B9745"/>
    </row>
    <row r="9746" spans="1:2">
      <c r="A9746" s="59"/>
      <c r="B9746"/>
    </row>
    <row r="9747" spans="1:2">
      <c r="A9747" s="59"/>
      <c r="B9747"/>
    </row>
    <row r="9748" spans="1:2">
      <c r="A9748" s="59"/>
      <c r="B9748"/>
    </row>
    <row r="9749" spans="1:2">
      <c r="A9749" s="59"/>
      <c r="B9749"/>
    </row>
    <row r="9750" spans="1:2">
      <c r="A9750" s="59"/>
      <c r="B9750"/>
    </row>
    <row r="9751" spans="1:2">
      <c r="A9751" s="59"/>
      <c r="B9751"/>
    </row>
    <row r="9752" spans="1:2">
      <c r="A9752" s="59"/>
      <c r="B9752"/>
    </row>
    <row r="9753" spans="1:2">
      <c r="A9753" s="59"/>
      <c r="B9753"/>
    </row>
    <row r="9754" spans="1:2">
      <c r="A9754" s="59"/>
      <c r="B9754"/>
    </row>
    <row r="9755" spans="1:2">
      <c r="A9755" s="59"/>
      <c r="B9755"/>
    </row>
    <row r="9756" spans="1:2">
      <c r="A9756" s="59"/>
      <c r="B9756"/>
    </row>
    <row r="9757" spans="1:2">
      <c r="A9757" s="59"/>
      <c r="B9757"/>
    </row>
    <row r="9758" spans="1:2">
      <c r="A9758" s="59"/>
      <c r="B9758"/>
    </row>
    <row r="9759" spans="1:2">
      <c r="A9759" s="59"/>
      <c r="B9759"/>
    </row>
    <row r="9760" spans="1:2">
      <c r="A9760" s="59"/>
      <c r="B9760"/>
    </row>
    <row r="9761" spans="1:2">
      <c r="A9761" s="59"/>
      <c r="B9761"/>
    </row>
    <row r="9762" spans="1:2">
      <c r="A9762" s="59"/>
      <c r="B9762"/>
    </row>
    <row r="9763" spans="1:2">
      <c r="A9763" s="59"/>
      <c r="B9763"/>
    </row>
    <row r="9764" spans="1:2">
      <c r="A9764" s="59"/>
      <c r="B9764"/>
    </row>
    <row r="9765" spans="1:2">
      <c r="A9765" s="59"/>
      <c r="B9765"/>
    </row>
    <row r="9766" spans="1:2">
      <c r="A9766" s="59"/>
      <c r="B9766"/>
    </row>
    <row r="9767" spans="1:2">
      <c r="A9767" s="59"/>
      <c r="B9767"/>
    </row>
    <row r="9768" spans="1:2">
      <c r="A9768" s="59"/>
      <c r="B9768"/>
    </row>
    <row r="9769" spans="1:2">
      <c r="A9769" s="59"/>
      <c r="B9769"/>
    </row>
    <row r="9770" spans="1:2">
      <c r="A9770" s="59"/>
      <c r="B9770"/>
    </row>
    <row r="9771" spans="1:2">
      <c r="A9771" s="59"/>
      <c r="B9771"/>
    </row>
    <row r="9772" spans="1:2">
      <c r="A9772" s="59"/>
      <c r="B9772"/>
    </row>
    <row r="9773" spans="1:2">
      <c r="A9773" s="59"/>
      <c r="B9773"/>
    </row>
    <row r="9774" spans="1:2">
      <c r="A9774" s="59"/>
      <c r="B9774"/>
    </row>
    <row r="9775" spans="1:2">
      <c r="A9775" s="59"/>
      <c r="B9775"/>
    </row>
    <row r="9776" spans="1:2">
      <c r="A9776" s="59"/>
      <c r="B9776"/>
    </row>
    <row r="9777" spans="1:2">
      <c r="A9777" s="59"/>
      <c r="B9777"/>
    </row>
    <row r="9778" spans="1:2">
      <c r="A9778" s="59"/>
      <c r="B9778"/>
    </row>
    <row r="9779" spans="1:2">
      <c r="A9779" s="59"/>
      <c r="B9779"/>
    </row>
    <row r="9780" spans="1:2">
      <c r="A9780" s="59"/>
      <c r="B9780"/>
    </row>
    <row r="9781" spans="1:2">
      <c r="A9781" s="59"/>
      <c r="B9781"/>
    </row>
    <row r="9782" spans="1:2">
      <c r="A9782" s="59"/>
      <c r="B9782"/>
    </row>
    <row r="9783" spans="1:2">
      <c r="A9783" s="59"/>
      <c r="B9783"/>
    </row>
    <row r="9784" spans="1:2">
      <c r="A9784" s="59"/>
      <c r="B9784"/>
    </row>
    <row r="9785" spans="1:2">
      <c r="A9785" s="59"/>
      <c r="B9785"/>
    </row>
    <row r="9786" spans="1:2">
      <c r="A9786" s="59"/>
      <c r="B9786"/>
    </row>
    <row r="9787" spans="1:2">
      <c r="A9787" s="59"/>
      <c r="B9787"/>
    </row>
    <row r="9788" spans="1:2">
      <c r="A9788" s="59"/>
      <c r="B9788"/>
    </row>
    <row r="9789" spans="1:2">
      <c r="A9789" s="59"/>
      <c r="B9789"/>
    </row>
    <row r="9790" spans="1:2">
      <c r="A9790" s="59"/>
      <c r="B9790"/>
    </row>
    <row r="9791" spans="1:2">
      <c r="A9791" s="59"/>
      <c r="B9791"/>
    </row>
    <row r="9792" spans="1:2">
      <c r="A9792" s="59"/>
      <c r="B9792"/>
    </row>
    <row r="9793" spans="1:2">
      <c r="A9793" s="59"/>
      <c r="B9793"/>
    </row>
    <row r="9794" spans="1:2">
      <c r="A9794" s="59"/>
      <c r="B9794"/>
    </row>
    <row r="9795" spans="1:2">
      <c r="A9795" s="59"/>
      <c r="B9795"/>
    </row>
    <row r="9796" spans="1:2">
      <c r="A9796" s="59"/>
      <c r="B9796"/>
    </row>
    <row r="9797" spans="1:2">
      <c r="A9797" s="59"/>
      <c r="B9797"/>
    </row>
    <row r="9798" spans="1:2">
      <c r="A9798" s="59"/>
      <c r="B9798"/>
    </row>
    <row r="9799" spans="1:2">
      <c r="A9799" s="59"/>
      <c r="B9799"/>
    </row>
    <row r="9800" spans="1:2">
      <c r="A9800" s="59"/>
      <c r="B9800"/>
    </row>
    <row r="9801" spans="1:2">
      <c r="A9801" s="59"/>
      <c r="B9801"/>
    </row>
    <row r="9802" spans="1:2">
      <c r="A9802" s="59"/>
      <c r="B9802"/>
    </row>
    <row r="9803" spans="1:2">
      <c r="A9803" s="59"/>
      <c r="B9803"/>
    </row>
    <row r="9804" spans="1:2">
      <c r="A9804" s="59"/>
      <c r="B9804"/>
    </row>
    <row r="9805" spans="1:2">
      <c r="A9805" s="59"/>
      <c r="B9805"/>
    </row>
    <row r="9806" spans="1:2">
      <c r="A9806" s="59"/>
      <c r="B9806"/>
    </row>
    <row r="9807" spans="1:2">
      <c r="A9807" s="59"/>
      <c r="B9807"/>
    </row>
    <row r="9808" spans="1:2">
      <c r="A9808" s="59"/>
      <c r="B9808"/>
    </row>
    <row r="9809" spans="1:2">
      <c r="A9809" s="59"/>
      <c r="B9809"/>
    </row>
    <row r="9810" spans="1:2">
      <c r="A9810" s="59"/>
      <c r="B9810"/>
    </row>
    <row r="9811" spans="1:2">
      <c r="A9811" s="59"/>
      <c r="B9811"/>
    </row>
    <row r="9812" spans="1:2">
      <c r="A9812" s="59"/>
      <c r="B9812"/>
    </row>
    <row r="9813" spans="1:2">
      <c r="A9813" s="59"/>
      <c r="B9813"/>
    </row>
    <row r="9814" spans="1:2">
      <c r="A9814" s="59"/>
      <c r="B9814"/>
    </row>
    <row r="9815" spans="1:2">
      <c r="A9815" s="59"/>
      <c r="B9815"/>
    </row>
    <row r="9816" spans="1:2">
      <c r="A9816" s="59"/>
      <c r="B9816"/>
    </row>
    <row r="9817" spans="1:2">
      <c r="A9817" s="59"/>
      <c r="B9817"/>
    </row>
    <row r="9818" spans="1:2">
      <c r="A9818" s="59"/>
      <c r="B9818"/>
    </row>
    <row r="9819" spans="1:2">
      <c r="A9819" s="59"/>
      <c r="B9819"/>
    </row>
    <row r="9820" spans="1:2">
      <c r="A9820" s="59"/>
      <c r="B9820"/>
    </row>
    <row r="9821" spans="1:2">
      <c r="A9821" s="59"/>
      <c r="B9821"/>
    </row>
    <row r="9822" spans="1:2">
      <c r="A9822" s="59"/>
      <c r="B9822"/>
    </row>
    <row r="9823" spans="1:2">
      <c r="A9823" s="59"/>
      <c r="B9823"/>
    </row>
    <row r="9824" spans="1:2">
      <c r="A9824" s="59"/>
      <c r="B9824"/>
    </row>
    <row r="9825" spans="1:2">
      <c r="A9825" s="59"/>
      <c r="B9825"/>
    </row>
    <row r="9826" spans="1:2">
      <c r="A9826" s="59"/>
      <c r="B9826"/>
    </row>
    <row r="9827" spans="1:2">
      <c r="A9827" s="59"/>
      <c r="B9827"/>
    </row>
    <row r="9828" spans="1:2">
      <c r="A9828" s="59"/>
      <c r="B9828"/>
    </row>
    <row r="9829" spans="1:2">
      <c r="A9829" s="59"/>
      <c r="B9829"/>
    </row>
    <row r="9830" spans="1:2">
      <c r="A9830" s="59"/>
      <c r="B9830"/>
    </row>
    <row r="9831" spans="1:2">
      <c r="A9831" s="59"/>
      <c r="B9831"/>
    </row>
    <row r="9832" spans="1:2">
      <c r="A9832" s="59"/>
      <c r="B9832"/>
    </row>
    <row r="9833" spans="1:2">
      <c r="A9833" s="59"/>
      <c r="B9833"/>
    </row>
    <row r="9834" spans="1:2">
      <c r="A9834" s="59"/>
      <c r="B9834"/>
    </row>
    <row r="9835" spans="1:2">
      <c r="A9835" s="59"/>
      <c r="B9835"/>
    </row>
    <row r="9836" spans="1:2">
      <c r="A9836" s="59"/>
      <c r="B9836"/>
    </row>
    <row r="9837" spans="1:2">
      <c r="A9837" s="59"/>
      <c r="B9837"/>
    </row>
    <row r="9838" spans="1:2">
      <c r="A9838" s="59"/>
      <c r="B9838"/>
    </row>
    <row r="9839" spans="1:2">
      <c r="A9839" s="59"/>
      <c r="B9839"/>
    </row>
    <row r="9840" spans="1:2">
      <c r="A9840" s="59"/>
      <c r="B9840"/>
    </row>
    <row r="9841" spans="1:2">
      <c r="A9841" s="59"/>
      <c r="B9841"/>
    </row>
    <row r="9842" spans="1:2">
      <c r="A9842" s="59"/>
      <c r="B9842"/>
    </row>
    <row r="9843" spans="1:2">
      <c r="A9843" s="59"/>
      <c r="B9843"/>
    </row>
    <row r="9844" spans="1:2">
      <c r="A9844" s="59"/>
      <c r="B9844"/>
    </row>
    <row r="9845" spans="1:2">
      <c r="A9845" s="59"/>
      <c r="B9845"/>
    </row>
    <row r="9846" spans="1:2">
      <c r="A9846" s="59"/>
      <c r="B9846"/>
    </row>
    <row r="9847" spans="1:2">
      <c r="A9847" s="59"/>
      <c r="B9847"/>
    </row>
    <row r="9848" spans="1:2">
      <c r="A9848" s="59"/>
      <c r="B9848"/>
    </row>
    <row r="9849" spans="1:2">
      <c r="A9849" s="59"/>
      <c r="B9849"/>
    </row>
    <row r="9850" spans="1:2">
      <c r="A9850" s="59"/>
      <c r="B9850"/>
    </row>
    <row r="9851" spans="1:2">
      <c r="A9851" s="59"/>
      <c r="B9851"/>
    </row>
    <row r="9852" spans="1:2">
      <c r="A9852" s="59"/>
      <c r="B9852"/>
    </row>
    <row r="9853" spans="1:2">
      <c r="A9853" s="59"/>
      <c r="B9853"/>
    </row>
    <row r="9854" spans="1:2">
      <c r="A9854" s="59"/>
      <c r="B9854"/>
    </row>
    <row r="9855" spans="1:2">
      <c r="A9855" s="59"/>
      <c r="B9855"/>
    </row>
    <row r="9856" spans="1:2">
      <c r="A9856" s="59"/>
      <c r="B9856"/>
    </row>
    <row r="9857" spans="1:2">
      <c r="A9857" s="59"/>
      <c r="B9857"/>
    </row>
    <row r="9858" spans="1:2">
      <c r="A9858" s="59"/>
      <c r="B9858"/>
    </row>
    <row r="9859" spans="1:2">
      <c r="A9859" s="59"/>
      <c r="B9859"/>
    </row>
    <row r="9860" spans="1:2">
      <c r="A9860" s="59"/>
      <c r="B9860"/>
    </row>
    <row r="9861" spans="1:2">
      <c r="A9861" s="59"/>
      <c r="B9861"/>
    </row>
    <row r="9862" spans="1:2">
      <c r="A9862" s="59"/>
      <c r="B9862"/>
    </row>
    <row r="9863" spans="1:2">
      <c r="A9863" s="59"/>
      <c r="B9863"/>
    </row>
    <row r="9864" spans="1:2">
      <c r="A9864" s="59"/>
      <c r="B9864"/>
    </row>
    <row r="9865" spans="1:2">
      <c r="A9865" s="59"/>
      <c r="B9865"/>
    </row>
    <row r="9866" spans="1:2">
      <c r="A9866" s="59"/>
      <c r="B9866"/>
    </row>
    <row r="9867" spans="1:2">
      <c r="A9867" s="59"/>
      <c r="B9867"/>
    </row>
    <row r="9868" spans="1:2">
      <c r="A9868" s="59"/>
      <c r="B9868"/>
    </row>
    <row r="9869" spans="1:2">
      <c r="A9869" s="59"/>
      <c r="B9869"/>
    </row>
    <row r="9870" spans="1:2">
      <c r="A9870" s="59"/>
      <c r="B9870"/>
    </row>
    <row r="9871" spans="1:2">
      <c r="A9871" s="59"/>
      <c r="B9871"/>
    </row>
    <row r="9872" spans="1:2">
      <c r="A9872" s="59"/>
      <c r="B9872"/>
    </row>
    <row r="9873" spans="1:2">
      <c r="A9873" s="59"/>
      <c r="B9873"/>
    </row>
    <row r="9874" spans="1:2">
      <c r="A9874" s="59"/>
      <c r="B9874"/>
    </row>
    <row r="9875" spans="1:2">
      <c r="A9875" s="59"/>
      <c r="B9875"/>
    </row>
    <row r="9876" spans="1:2">
      <c r="A9876" s="59"/>
      <c r="B9876"/>
    </row>
    <row r="9877" spans="1:2">
      <c r="A9877" s="59"/>
      <c r="B9877"/>
    </row>
    <row r="9878" spans="1:2">
      <c r="A9878" s="59"/>
      <c r="B9878"/>
    </row>
    <row r="9879" spans="1:2">
      <c r="A9879" s="59"/>
      <c r="B9879"/>
    </row>
    <row r="9880" spans="1:2">
      <c r="A9880" s="59"/>
      <c r="B9880"/>
    </row>
    <row r="9881" spans="1:2">
      <c r="A9881" s="59"/>
      <c r="B9881"/>
    </row>
    <row r="9882" spans="1:2">
      <c r="A9882" s="59"/>
      <c r="B9882"/>
    </row>
    <row r="9883" spans="1:2">
      <c r="A9883" s="59"/>
      <c r="B9883"/>
    </row>
    <row r="9884" spans="1:2">
      <c r="A9884" s="59"/>
      <c r="B9884"/>
    </row>
    <row r="9885" spans="1:2">
      <c r="A9885" s="59"/>
      <c r="B9885"/>
    </row>
    <row r="9886" spans="1:2">
      <c r="A9886" s="59"/>
      <c r="B9886"/>
    </row>
    <row r="9887" spans="1:2">
      <c r="A9887" s="59"/>
      <c r="B9887"/>
    </row>
    <row r="9888" spans="1:2">
      <c r="A9888" s="59"/>
      <c r="B9888"/>
    </row>
    <row r="9889" spans="1:2">
      <c r="A9889" s="59"/>
      <c r="B9889"/>
    </row>
    <row r="9890" spans="1:2">
      <c r="A9890" s="59"/>
      <c r="B9890"/>
    </row>
    <row r="9891" spans="1:2">
      <c r="A9891" s="59"/>
      <c r="B9891"/>
    </row>
    <row r="9892" spans="1:2">
      <c r="A9892" s="59"/>
      <c r="B9892"/>
    </row>
    <row r="9893" spans="1:2">
      <c r="A9893" s="59"/>
      <c r="B9893"/>
    </row>
    <row r="9894" spans="1:2">
      <c r="A9894" s="59"/>
      <c r="B9894"/>
    </row>
    <row r="9895" spans="1:2">
      <c r="A9895" s="59"/>
      <c r="B9895"/>
    </row>
    <row r="9896" spans="1:2">
      <c r="A9896" s="59"/>
      <c r="B9896"/>
    </row>
    <row r="9897" spans="1:2">
      <c r="A9897" s="59"/>
      <c r="B9897"/>
    </row>
    <row r="9898" spans="1:2">
      <c r="A9898" s="59"/>
      <c r="B9898"/>
    </row>
    <row r="9899" spans="1:2">
      <c r="A9899" s="59"/>
      <c r="B9899"/>
    </row>
    <row r="9900" spans="1:2">
      <c r="A9900" s="59"/>
      <c r="B9900"/>
    </row>
    <row r="9901" spans="1:2">
      <c r="A9901" s="59"/>
      <c r="B9901"/>
    </row>
    <row r="9902" spans="1:2">
      <c r="A9902" s="59"/>
      <c r="B9902"/>
    </row>
    <row r="9903" spans="1:2">
      <c r="A9903" s="59"/>
      <c r="B9903"/>
    </row>
    <row r="9904" spans="1:2">
      <c r="A9904" s="59"/>
      <c r="B9904"/>
    </row>
    <row r="9905" spans="1:2">
      <c r="A9905" s="59"/>
      <c r="B9905"/>
    </row>
    <row r="9906" spans="1:2">
      <c r="A9906" s="59"/>
      <c r="B9906"/>
    </row>
    <row r="9907" spans="1:2">
      <c r="A9907" s="59"/>
      <c r="B9907"/>
    </row>
    <row r="9908" spans="1:2">
      <c r="A9908" s="59"/>
      <c r="B9908"/>
    </row>
    <row r="9909" spans="1:2">
      <c r="A9909" s="59"/>
      <c r="B9909"/>
    </row>
    <row r="9910" spans="1:2">
      <c r="A9910" s="59"/>
      <c r="B9910"/>
    </row>
    <row r="9911" spans="1:2">
      <c r="A9911" s="59"/>
      <c r="B9911"/>
    </row>
    <row r="9912" spans="1:2">
      <c r="A9912" s="59"/>
      <c r="B9912"/>
    </row>
    <row r="9913" spans="1:2">
      <c r="A9913" s="59"/>
      <c r="B9913"/>
    </row>
    <row r="9914" spans="1:2">
      <c r="A9914" s="59"/>
      <c r="B9914"/>
    </row>
    <row r="9915" spans="1:2">
      <c r="A9915" s="59"/>
      <c r="B9915"/>
    </row>
    <row r="9916" spans="1:2">
      <c r="A9916" s="59"/>
      <c r="B9916"/>
    </row>
    <row r="9917" spans="1:2">
      <c r="A9917" s="59"/>
      <c r="B9917"/>
    </row>
    <row r="9918" spans="1:2">
      <c r="A9918" s="59"/>
      <c r="B9918"/>
    </row>
    <row r="9919" spans="1:2">
      <c r="A9919" s="59"/>
      <c r="B9919"/>
    </row>
    <row r="9920" spans="1:2">
      <c r="A9920" s="59"/>
      <c r="B9920"/>
    </row>
    <row r="9921" spans="1:2">
      <c r="A9921" s="59"/>
      <c r="B9921"/>
    </row>
    <row r="9922" spans="1:2">
      <c r="A9922" s="59"/>
      <c r="B9922"/>
    </row>
    <row r="9923" spans="1:2">
      <c r="A9923" s="59"/>
      <c r="B9923"/>
    </row>
    <row r="9924" spans="1:2">
      <c r="A9924" s="59"/>
      <c r="B9924"/>
    </row>
    <row r="9925" spans="1:2">
      <c r="A9925" s="59"/>
      <c r="B9925"/>
    </row>
    <row r="9926" spans="1:2">
      <c r="A9926" s="59"/>
      <c r="B9926"/>
    </row>
    <row r="9927" spans="1:2">
      <c r="A9927" s="59"/>
      <c r="B9927"/>
    </row>
    <row r="9928" spans="1:2">
      <c r="A9928" s="59"/>
      <c r="B9928"/>
    </row>
    <row r="9929" spans="1:2">
      <c r="A9929" s="59"/>
      <c r="B9929"/>
    </row>
    <row r="9930" spans="1:2">
      <c r="A9930" s="59"/>
      <c r="B9930"/>
    </row>
    <row r="9931" spans="1:2">
      <c r="A9931" s="59"/>
      <c r="B9931"/>
    </row>
    <row r="9932" spans="1:2">
      <c r="A9932" s="59"/>
      <c r="B9932"/>
    </row>
    <row r="9933" spans="1:2">
      <c r="A9933" s="59"/>
      <c r="B9933"/>
    </row>
    <row r="9934" spans="1:2">
      <c r="A9934" s="59"/>
      <c r="B9934"/>
    </row>
    <row r="9935" spans="1:2">
      <c r="A9935" s="59"/>
      <c r="B9935"/>
    </row>
    <row r="9936" spans="1:2">
      <c r="A9936" s="59"/>
      <c r="B9936"/>
    </row>
    <row r="9937" spans="1:2">
      <c r="A9937" s="59"/>
      <c r="B9937"/>
    </row>
    <row r="9938" spans="1:2">
      <c r="A9938" s="59"/>
      <c r="B9938"/>
    </row>
    <row r="9939" spans="1:2">
      <c r="A9939" s="59"/>
      <c r="B9939"/>
    </row>
    <row r="9940" spans="1:2">
      <c r="A9940" s="59"/>
      <c r="B9940"/>
    </row>
    <row r="9941" spans="1:2">
      <c r="A9941" s="59"/>
      <c r="B9941"/>
    </row>
    <row r="9942" spans="1:2">
      <c r="A9942" s="59"/>
      <c r="B9942"/>
    </row>
    <row r="9943" spans="1:2">
      <c r="A9943" s="59"/>
      <c r="B9943"/>
    </row>
    <row r="9944" spans="1:2">
      <c r="A9944" s="59"/>
      <c r="B9944"/>
    </row>
    <row r="9945" spans="1:2">
      <c r="A9945" s="59"/>
      <c r="B9945"/>
    </row>
    <row r="9946" spans="1:2">
      <c r="A9946" s="59"/>
      <c r="B9946"/>
    </row>
    <row r="9947" spans="1:2">
      <c r="A9947" s="59"/>
      <c r="B9947"/>
    </row>
    <row r="9948" spans="1:2">
      <c r="A9948" s="59"/>
      <c r="B9948"/>
    </row>
    <row r="9949" spans="1:2">
      <c r="A9949" s="59"/>
      <c r="B9949"/>
    </row>
    <row r="9950" spans="1:2">
      <c r="A9950" s="59"/>
      <c r="B9950"/>
    </row>
    <row r="9951" spans="1:2">
      <c r="A9951" s="59"/>
      <c r="B9951"/>
    </row>
    <row r="9952" spans="1:2">
      <c r="A9952" s="59"/>
      <c r="B9952"/>
    </row>
    <row r="9953" spans="1:2">
      <c r="A9953" s="59"/>
      <c r="B9953"/>
    </row>
    <row r="9954" spans="1:2">
      <c r="A9954" s="59"/>
      <c r="B9954"/>
    </row>
    <row r="9955" spans="1:2">
      <c r="A9955" s="59"/>
      <c r="B9955"/>
    </row>
    <row r="9956" spans="1:2">
      <c r="A9956" s="59"/>
      <c r="B9956"/>
    </row>
    <row r="9957" spans="1:2">
      <c r="A9957" s="59"/>
      <c r="B9957"/>
    </row>
    <row r="9958" spans="1:2">
      <c r="A9958" s="59"/>
      <c r="B9958"/>
    </row>
    <row r="9959" spans="1:2">
      <c r="A9959" s="59"/>
      <c r="B9959"/>
    </row>
    <row r="9960" spans="1:2">
      <c r="A9960" s="59"/>
      <c r="B9960"/>
    </row>
    <row r="9961" spans="1:2">
      <c r="A9961" s="59"/>
      <c r="B9961"/>
    </row>
    <row r="9962" spans="1:2">
      <c r="A9962" s="59"/>
      <c r="B9962"/>
    </row>
    <row r="9963" spans="1:2">
      <c r="A9963" s="59"/>
      <c r="B9963"/>
    </row>
    <row r="9964" spans="1:2">
      <c r="A9964" s="59"/>
      <c r="B9964"/>
    </row>
    <row r="9965" spans="1:2">
      <c r="A9965" s="59"/>
      <c r="B9965"/>
    </row>
    <row r="9966" spans="1:2">
      <c r="A9966" s="59"/>
      <c r="B9966"/>
    </row>
    <row r="9967" spans="1:2">
      <c r="A9967" s="59"/>
      <c r="B9967"/>
    </row>
    <row r="9968" spans="1:2">
      <c r="A9968" s="59"/>
      <c r="B9968"/>
    </row>
    <row r="9969" spans="1:2">
      <c r="A9969" s="59"/>
      <c r="B9969"/>
    </row>
    <row r="9970" spans="1:2">
      <c r="A9970" s="59"/>
      <c r="B9970"/>
    </row>
    <row r="9971" spans="1:2">
      <c r="A9971" s="59"/>
      <c r="B9971"/>
    </row>
    <row r="9972" spans="1:2">
      <c r="A9972" s="59"/>
      <c r="B9972"/>
    </row>
    <row r="9973" spans="1:2">
      <c r="A9973" s="59"/>
      <c r="B9973"/>
    </row>
    <row r="9974" spans="1:2">
      <c r="A9974" s="59"/>
      <c r="B9974"/>
    </row>
    <row r="9975" spans="1:2">
      <c r="A9975" s="59"/>
      <c r="B9975"/>
    </row>
    <row r="9976" spans="1:2">
      <c r="A9976" s="59"/>
      <c r="B9976"/>
    </row>
    <row r="9977" spans="1:2">
      <c r="A9977" s="59"/>
      <c r="B9977"/>
    </row>
    <row r="9978" spans="1:2">
      <c r="A9978" s="59"/>
      <c r="B9978"/>
    </row>
    <row r="9979" spans="1:2">
      <c r="A9979" s="59"/>
      <c r="B9979"/>
    </row>
    <row r="9980" spans="1:2">
      <c r="A9980" s="59"/>
      <c r="B9980"/>
    </row>
    <row r="9981" spans="1:2">
      <c r="A9981" s="59"/>
      <c r="B9981"/>
    </row>
    <row r="9982" spans="1:2">
      <c r="A9982" s="59"/>
      <c r="B9982"/>
    </row>
    <row r="9983" spans="1:2">
      <c r="A9983" s="59"/>
      <c r="B9983"/>
    </row>
    <row r="9984" spans="1:2">
      <c r="A9984" s="59"/>
      <c r="B9984"/>
    </row>
    <row r="9985" spans="1:2">
      <c r="A9985" s="59"/>
      <c r="B9985"/>
    </row>
    <row r="9986" spans="1:2">
      <c r="A9986" s="59"/>
      <c r="B9986"/>
    </row>
    <row r="9987" spans="1:2">
      <c r="A9987" s="59"/>
      <c r="B9987"/>
    </row>
    <row r="9988" spans="1:2">
      <c r="A9988" s="59"/>
      <c r="B9988"/>
    </row>
    <row r="9989" spans="1:2">
      <c r="A9989" s="59"/>
      <c r="B9989"/>
    </row>
    <row r="9990" spans="1:2">
      <c r="A9990" s="59"/>
      <c r="B9990"/>
    </row>
    <row r="9991" spans="1:2">
      <c r="A9991" s="59"/>
      <c r="B9991"/>
    </row>
    <row r="9992" spans="1:2">
      <c r="A9992" s="59"/>
      <c r="B9992"/>
    </row>
    <row r="9993" spans="1:2">
      <c r="A9993" s="59"/>
      <c r="B9993"/>
    </row>
    <row r="9994" spans="1:2">
      <c r="A9994" s="59"/>
      <c r="B9994"/>
    </row>
    <row r="9995" spans="1:2">
      <c r="A9995" s="59"/>
      <c r="B9995"/>
    </row>
    <row r="9996" spans="1:2">
      <c r="A9996" s="59"/>
      <c r="B9996"/>
    </row>
    <row r="9997" spans="1:2">
      <c r="A9997" s="59"/>
      <c r="B9997"/>
    </row>
    <row r="9998" spans="1:2">
      <c r="A9998" s="59"/>
      <c r="B9998"/>
    </row>
    <row r="9999" spans="1:2">
      <c r="A9999" s="59"/>
      <c r="B9999"/>
    </row>
    <row r="10000" spans="1:2">
      <c r="A10000" s="59"/>
      <c r="B10000"/>
    </row>
    <row r="10001" spans="1:2">
      <c r="A10001" s="59"/>
      <c r="B10001"/>
    </row>
    <row r="10002" spans="1:2">
      <c r="A10002" s="59"/>
      <c r="B10002"/>
    </row>
    <row r="10003" spans="1:2">
      <c r="A10003" s="59"/>
      <c r="B10003"/>
    </row>
    <row r="10004" spans="1:2">
      <c r="A10004" s="59"/>
      <c r="B10004"/>
    </row>
    <row r="10005" spans="1:2">
      <c r="A10005" s="59"/>
      <c r="B10005"/>
    </row>
    <row r="10006" spans="1:2">
      <c r="A10006" s="59"/>
      <c r="B10006"/>
    </row>
    <row r="10007" spans="1:2">
      <c r="A10007" s="59"/>
      <c r="B10007"/>
    </row>
    <row r="10008" spans="1:2">
      <c r="A10008" s="59"/>
      <c r="B10008"/>
    </row>
    <row r="10009" spans="1:2">
      <c r="A10009" s="59"/>
      <c r="B10009"/>
    </row>
    <row r="10010" spans="1:2">
      <c r="A10010" s="59"/>
      <c r="B10010"/>
    </row>
    <row r="10011" spans="1:2">
      <c r="A10011" s="59"/>
      <c r="B10011"/>
    </row>
    <row r="10012" spans="1:2">
      <c r="A10012" s="59"/>
      <c r="B10012"/>
    </row>
    <row r="10013" spans="1:2">
      <c r="A10013" s="59"/>
      <c r="B10013"/>
    </row>
    <row r="10014" spans="1:2">
      <c r="A10014" s="59"/>
      <c r="B10014"/>
    </row>
    <row r="10015" spans="1:2">
      <c r="A10015" s="59"/>
      <c r="B10015"/>
    </row>
    <row r="10016" spans="1:2">
      <c r="A10016" s="59"/>
      <c r="B10016"/>
    </row>
    <row r="10017" spans="1:2">
      <c r="A10017" s="59"/>
      <c r="B10017"/>
    </row>
    <row r="10018" spans="1:2">
      <c r="A10018" s="59"/>
      <c r="B10018"/>
    </row>
    <row r="10019" spans="1:2">
      <c r="A10019" s="59"/>
      <c r="B10019"/>
    </row>
    <row r="10020" spans="1:2">
      <c r="A10020" s="59"/>
      <c r="B10020"/>
    </row>
    <row r="10021" spans="1:2">
      <c r="A10021" s="59"/>
      <c r="B10021"/>
    </row>
    <row r="10022" spans="1:2">
      <c r="A10022" s="59"/>
      <c r="B10022"/>
    </row>
    <row r="10023" spans="1:2">
      <c r="A10023" s="59"/>
      <c r="B10023"/>
    </row>
    <row r="10024" spans="1:2">
      <c r="A10024" s="59"/>
      <c r="B10024"/>
    </row>
    <row r="10025" spans="1:2">
      <c r="A10025" s="59"/>
      <c r="B10025"/>
    </row>
    <row r="10026" spans="1:2">
      <c r="A10026" s="59"/>
      <c r="B10026"/>
    </row>
    <row r="10027" spans="1:2">
      <c r="A10027" s="59"/>
      <c r="B10027"/>
    </row>
    <row r="10028" spans="1:2">
      <c r="A10028" s="59"/>
      <c r="B10028"/>
    </row>
    <row r="10029" spans="1:2">
      <c r="A10029" s="59"/>
      <c r="B10029"/>
    </row>
    <row r="10030" spans="1:2">
      <c r="A10030" s="59"/>
      <c r="B10030"/>
    </row>
    <row r="10031" spans="1:2">
      <c r="A10031" s="59"/>
      <c r="B10031"/>
    </row>
    <row r="10032" spans="1:2">
      <c r="A10032" s="59"/>
      <c r="B10032"/>
    </row>
    <row r="10033" spans="1:2">
      <c r="A10033" s="59"/>
      <c r="B10033"/>
    </row>
    <row r="10034" spans="1:2">
      <c r="A10034" s="59"/>
      <c r="B10034"/>
    </row>
    <row r="10035" spans="1:2">
      <c r="A10035" s="59"/>
      <c r="B10035"/>
    </row>
    <row r="10036" spans="1:2">
      <c r="A10036" s="59"/>
      <c r="B10036"/>
    </row>
    <row r="10037" spans="1:2">
      <c r="A10037" s="59"/>
      <c r="B10037"/>
    </row>
    <row r="10038" spans="1:2">
      <c r="A10038" s="59"/>
      <c r="B10038"/>
    </row>
    <row r="10039" spans="1:2">
      <c r="A10039" s="59"/>
      <c r="B10039"/>
    </row>
    <row r="10040" spans="1:2">
      <c r="A10040" s="59"/>
      <c r="B10040"/>
    </row>
    <row r="10041" spans="1:2">
      <c r="A10041" s="59"/>
      <c r="B10041"/>
    </row>
    <row r="10042" spans="1:2">
      <c r="A10042" s="59"/>
      <c r="B10042"/>
    </row>
    <row r="10043" spans="1:2">
      <c r="A10043" s="59"/>
      <c r="B10043"/>
    </row>
    <row r="10044" spans="1:2">
      <c r="A10044" s="59"/>
      <c r="B10044"/>
    </row>
    <row r="10045" spans="1:2">
      <c r="A10045" s="59"/>
      <c r="B10045"/>
    </row>
    <row r="10046" spans="1:2">
      <c r="A10046" s="59"/>
      <c r="B10046"/>
    </row>
    <row r="10047" spans="1:2">
      <c r="A10047" s="59"/>
      <c r="B10047"/>
    </row>
    <row r="10048" spans="1:2">
      <c r="A10048" s="59"/>
      <c r="B10048"/>
    </row>
    <row r="10049" spans="1:2">
      <c r="A10049" s="59"/>
      <c r="B10049"/>
    </row>
    <row r="10050" spans="1:2">
      <c r="A10050" s="59"/>
      <c r="B10050"/>
    </row>
    <row r="10051" spans="1:2">
      <c r="A10051" s="59"/>
      <c r="B10051"/>
    </row>
    <row r="10052" spans="1:2">
      <c r="A10052" s="59"/>
      <c r="B10052"/>
    </row>
    <row r="10053" spans="1:2">
      <c r="A10053" s="59"/>
      <c r="B10053"/>
    </row>
    <row r="10054" spans="1:2">
      <c r="A10054" s="59"/>
      <c r="B10054"/>
    </row>
    <row r="10055" spans="1:2">
      <c r="A10055" s="59"/>
      <c r="B10055"/>
    </row>
    <row r="10056" spans="1:2">
      <c r="A10056" s="59"/>
      <c r="B10056"/>
    </row>
    <row r="10057" spans="1:2">
      <c r="A10057" s="59"/>
      <c r="B10057"/>
    </row>
    <row r="10058" spans="1:2">
      <c r="A10058" s="59"/>
      <c r="B10058"/>
    </row>
    <row r="10059" spans="1:2">
      <c r="A10059" s="59"/>
      <c r="B10059"/>
    </row>
    <row r="10060" spans="1:2">
      <c r="A10060" s="59"/>
      <c r="B10060"/>
    </row>
    <row r="10061" spans="1:2">
      <c r="A10061" s="59"/>
      <c r="B10061"/>
    </row>
    <row r="10062" spans="1:2">
      <c r="A10062" s="59"/>
      <c r="B10062"/>
    </row>
    <row r="10063" spans="1:2">
      <c r="A10063" s="59"/>
      <c r="B10063"/>
    </row>
    <row r="10064" spans="1:2">
      <c r="A10064" s="59"/>
      <c r="B10064"/>
    </row>
    <row r="10065" spans="1:2">
      <c r="A10065" s="59"/>
      <c r="B10065"/>
    </row>
    <row r="10066" spans="1:2">
      <c r="A10066" s="59"/>
      <c r="B10066"/>
    </row>
    <row r="10067" spans="1:2">
      <c r="A10067" s="59"/>
      <c r="B10067"/>
    </row>
    <row r="10068" spans="1:2">
      <c r="A10068" s="59"/>
      <c r="B10068"/>
    </row>
    <row r="10069" spans="1:2">
      <c r="A10069" s="59"/>
      <c r="B10069"/>
    </row>
    <row r="10070" spans="1:2">
      <c r="A10070" s="59"/>
      <c r="B10070"/>
    </row>
    <row r="10071" spans="1:2">
      <c r="A10071" s="59"/>
      <c r="B10071"/>
    </row>
    <row r="10072" spans="1:2">
      <c r="A10072" s="59"/>
      <c r="B10072"/>
    </row>
    <row r="10073" spans="1:2">
      <c r="A10073" s="59"/>
      <c r="B10073"/>
    </row>
    <row r="10074" spans="1:2">
      <c r="A10074" s="59"/>
      <c r="B10074"/>
    </row>
    <row r="10075" spans="1:2">
      <c r="A10075" s="59"/>
      <c r="B10075"/>
    </row>
    <row r="10076" spans="1:2">
      <c r="A10076" s="59"/>
      <c r="B10076"/>
    </row>
    <row r="10077" spans="1:2">
      <c r="A10077" s="59"/>
      <c r="B10077"/>
    </row>
    <row r="10078" spans="1:2">
      <c r="A10078" s="59"/>
      <c r="B10078"/>
    </row>
    <row r="10079" spans="1:2">
      <c r="A10079" s="59"/>
      <c r="B10079"/>
    </row>
    <row r="10080" spans="1:2">
      <c r="A10080" s="59"/>
      <c r="B10080"/>
    </row>
    <row r="10081" spans="1:2">
      <c r="A10081" s="59"/>
      <c r="B10081"/>
    </row>
    <row r="10082" spans="1:2">
      <c r="A10082" s="59"/>
      <c r="B10082"/>
    </row>
    <row r="10083" spans="1:2">
      <c r="A10083" s="59"/>
      <c r="B10083"/>
    </row>
    <row r="10084" spans="1:2">
      <c r="A10084" s="59"/>
      <c r="B10084"/>
    </row>
    <row r="10085" spans="1:2">
      <c r="A10085" s="59"/>
      <c r="B10085"/>
    </row>
    <row r="10086" spans="1:2">
      <c r="A10086" s="59"/>
      <c r="B10086"/>
    </row>
    <row r="10087" spans="1:2">
      <c r="A10087" s="59"/>
      <c r="B10087"/>
    </row>
    <row r="10088" spans="1:2">
      <c r="A10088" s="59"/>
      <c r="B10088"/>
    </row>
    <row r="10089" spans="1:2">
      <c r="A10089" s="59"/>
      <c r="B10089"/>
    </row>
    <row r="10090" spans="1:2">
      <c r="A10090" s="59"/>
      <c r="B10090"/>
    </row>
    <row r="10091" spans="1:2">
      <c r="A10091" s="59"/>
      <c r="B10091"/>
    </row>
    <row r="10092" spans="1:2">
      <c r="A10092" s="59"/>
      <c r="B10092"/>
    </row>
    <row r="10093" spans="1:2">
      <c r="A10093" s="59"/>
      <c r="B10093"/>
    </row>
    <row r="10094" spans="1:2">
      <c r="A10094" s="59"/>
      <c r="B10094"/>
    </row>
    <row r="10095" spans="1:2">
      <c r="A10095" s="59"/>
      <c r="B10095"/>
    </row>
    <row r="10096" spans="1:2">
      <c r="A10096" s="59"/>
      <c r="B10096"/>
    </row>
    <row r="10097" spans="1:2">
      <c r="A10097" s="59"/>
      <c r="B10097"/>
    </row>
    <row r="10098" spans="1:2">
      <c r="A10098" s="59"/>
      <c r="B10098"/>
    </row>
    <row r="10099" spans="1:2">
      <c r="A10099" s="59"/>
      <c r="B10099"/>
    </row>
    <row r="10100" spans="1:2">
      <c r="A10100" s="59"/>
      <c r="B10100"/>
    </row>
    <row r="10101" spans="1:2">
      <c r="A10101" s="59"/>
      <c r="B10101"/>
    </row>
    <row r="10102" spans="1:2">
      <c r="A10102" s="59"/>
      <c r="B10102"/>
    </row>
    <row r="10103" spans="1:2">
      <c r="A10103" s="59"/>
      <c r="B10103"/>
    </row>
    <row r="10104" spans="1:2">
      <c r="A10104" s="59"/>
      <c r="B10104"/>
    </row>
    <row r="10105" spans="1:2">
      <c r="A10105" s="59"/>
      <c r="B10105"/>
    </row>
    <row r="10106" spans="1:2">
      <c r="A10106" s="59"/>
      <c r="B10106"/>
    </row>
    <row r="10107" spans="1:2">
      <c r="A10107" s="59"/>
      <c r="B10107"/>
    </row>
    <row r="10108" spans="1:2">
      <c r="A10108" s="59"/>
      <c r="B10108"/>
    </row>
    <row r="10109" spans="1:2">
      <c r="A10109" s="59"/>
      <c r="B10109"/>
    </row>
    <row r="10110" spans="1:2">
      <c r="A10110" s="59"/>
      <c r="B10110"/>
    </row>
    <row r="10111" spans="1:2">
      <c r="A10111" s="59"/>
      <c r="B10111"/>
    </row>
    <row r="10112" spans="1:2">
      <c r="A10112" s="59"/>
      <c r="B10112"/>
    </row>
    <row r="10113" spans="1:2">
      <c r="A10113" s="59"/>
      <c r="B10113"/>
    </row>
    <row r="10114" spans="1:2">
      <c r="A10114" s="59"/>
      <c r="B10114"/>
    </row>
    <row r="10115" spans="1:2">
      <c r="A10115" s="59"/>
      <c r="B10115"/>
    </row>
    <row r="10116" spans="1:2">
      <c r="A10116" s="59"/>
      <c r="B10116"/>
    </row>
    <row r="10117" spans="1:2">
      <c r="A10117" s="59"/>
      <c r="B10117"/>
    </row>
    <row r="10118" spans="1:2">
      <c r="A10118" s="59"/>
      <c r="B10118"/>
    </row>
    <row r="10119" spans="1:2">
      <c r="A10119" s="59"/>
      <c r="B10119"/>
    </row>
    <row r="10120" spans="1:2">
      <c r="A10120" s="59"/>
      <c r="B10120"/>
    </row>
    <row r="10121" spans="1:2">
      <c r="A10121" s="59"/>
      <c r="B10121"/>
    </row>
    <row r="10122" spans="1:2">
      <c r="A10122" s="59"/>
      <c r="B10122"/>
    </row>
    <row r="10123" spans="1:2">
      <c r="A10123" s="59"/>
      <c r="B10123"/>
    </row>
    <row r="10124" spans="1:2">
      <c r="A10124" s="59"/>
      <c r="B10124"/>
    </row>
    <row r="10125" spans="1:2">
      <c r="A10125" s="59"/>
      <c r="B10125"/>
    </row>
    <row r="10126" spans="1:2">
      <c r="A10126" s="59"/>
      <c r="B10126"/>
    </row>
    <row r="10127" spans="1:2">
      <c r="A10127" s="59"/>
      <c r="B10127"/>
    </row>
    <row r="10128" spans="1:2">
      <c r="A10128" s="59"/>
      <c r="B10128"/>
    </row>
    <row r="10129" spans="1:2">
      <c r="A10129" s="59"/>
      <c r="B10129"/>
    </row>
    <row r="10130" spans="1:2">
      <c r="A10130" s="59"/>
      <c r="B10130"/>
    </row>
    <row r="10131" spans="1:2">
      <c r="A10131" s="59"/>
      <c r="B10131"/>
    </row>
    <row r="10132" spans="1:2">
      <c r="A10132" s="59"/>
      <c r="B10132"/>
    </row>
    <row r="10133" spans="1:2">
      <c r="A10133" s="59"/>
      <c r="B10133"/>
    </row>
    <row r="10134" spans="1:2">
      <c r="A10134" s="59"/>
      <c r="B10134"/>
    </row>
    <row r="10135" spans="1:2">
      <c r="A10135" s="59"/>
      <c r="B10135"/>
    </row>
    <row r="10136" spans="1:2">
      <c r="A10136" s="59"/>
      <c r="B10136"/>
    </row>
    <row r="10137" spans="1:2">
      <c r="A10137" s="59"/>
      <c r="B10137"/>
    </row>
    <row r="10138" spans="1:2">
      <c r="A10138" s="59"/>
      <c r="B10138"/>
    </row>
    <row r="10139" spans="1:2">
      <c r="A10139" s="59"/>
      <c r="B10139"/>
    </row>
    <row r="10140" spans="1:2">
      <c r="A10140" s="59"/>
      <c r="B10140"/>
    </row>
    <row r="10141" spans="1:2">
      <c r="A10141" s="59"/>
      <c r="B10141"/>
    </row>
    <row r="10142" spans="1:2">
      <c r="A10142" s="59"/>
      <c r="B10142"/>
    </row>
    <row r="10143" spans="1:2">
      <c r="A10143" s="59"/>
      <c r="B10143"/>
    </row>
    <row r="10144" spans="1:2">
      <c r="A10144" s="59"/>
      <c r="B10144"/>
    </row>
    <row r="10145" spans="1:2">
      <c r="A10145" s="59"/>
      <c r="B10145"/>
    </row>
    <row r="10146" spans="1:2">
      <c r="A10146" s="59"/>
      <c r="B10146"/>
    </row>
    <row r="10147" spans="1:2">
      <c r="A10147" s="59"/>
      <c r="B10147"/>
    </row>
    <row r="10148" spans="1:2">
      <c r="A10148" s="59"/>
      <c r="B10148"/>
    </row>
    <row r="10149" spans="1:2">
      <c r="A10149" s="59"/>
      <c r="B10149"/>
    </row>
    <row r="10150" spans="1:2">
      <c r="A10150" s="59"/>
      <c r="B10150"/>
    </row>
    <row r="10151" spans="1:2">
      <c r="A10151" s="59"/>
      <c r="B10151"/>
    </row>
    <row r="10152" spans="1:2">
      <c r="A10152" s="59"/>
      <c r="B10152"/>
    </row>
    <row r="10153" spans="1:2">
      <c r="A10153" s="59"/>
      <c r="B10153"/>
    </row>
    <row r="10154" spans="1:2">
      <c r="A10154" s="59"/>
      <c r="B10154"/>
    </row>
    <row r="10155" spans="1:2">
      <c r="A10155" s="59"/>
      <c r="B10155"/>
    </row>
    <row r="10156" spans="1:2">
      <c r="A10156" s="59"/>
      <c r="B10156"/>
    </row>
    <row r="10157" spans="1:2">
      <c r="A10157" s="59"/>
      <c r="B10157"/>
    </row>
    <row r="10158" spans="1:2">
      <c r="A10158" s="59"/>
      <c r="B10158"/>
    </row>
    <row r="10159" spans="1:2">
      <c r="A10159" s="59"/>
      <c r="B10159"/>
    </row>
    <row r="10160" spans="1:2">
      <c r="A10160" s="59"/>
      <c r="B10160"/>
    </row>
    <row r="10161" spans="1:2">
      <c r="A10161" s="59"/>
      <c r="B10161"/>
    </row>
    <row r="10162" spans="1:2">
      <c r="A10162" s="59"/>
      <c r="B10162"/>
    </row>
    <row r="10163" spans="1:2">
      <c r="A10163" s="59"/>
      <c r="B10163"/>
    </row>
    <row r="10164" spans="1:2">
      <c r="A10164" s="59"/>
      <c r="B10164"/>
    </row>
    <row r="10165" spans="1:2">
      <c r="A10165" s="59"/>
      <c r="B10165"/>
    </row>
    <row r="10166" spans="1:2">
      <c r="A10166" s="59"/>
      <c r="B10166"/>
    </row>
    <row r="10167" spans="1:2">
      <c r="A10167" s="59"/>
      <c r="B10167"/>
    </row>
    <row r="10168" spans="1:2">
      <c r="A10168" s="59"/>
      <c r="B10168"/>
    </row>
    <row r="10169" spans="1:2">
      <c r="A10169" s="59"/>
      <c r="B10169"/>
    </row>
    <row r="10170" spans="1:2">
      <c r="A10170" s="59"/>
      <c r="B10170"/>
    </row>
    <row r="10171" spans="1:2">
      <c r="A10171" s="59"/>
      <c r="B10171"/>
    </row>
    <row r="10172" spans="1:2">
      <c r="A10172" s="59"/>
      <c r="B10172"/>
    </row>
    <row r="10173" spans="1:2">
      <c r="A10173" s="59"/>
      <c r="B10173"/>
    </row>
    <row r="10174" spans="1:2">
      <c r="A10174" s="59"/>
      <c r="B10174"/>
    </row>
    <row r="10175" spans="1:2">
      <c r="A10175" s="59"/>
      <c r="B10175"/>
    </row>
    <row r="10176" spans="1:2">
      <c r="A10176" s="59"/>
      <c r="B10176"/>
    </row>
    <row r="10177" spans="1:2">
      <c r="A10177" s="59"/>
      <c r="B10177"/>
    </row>
    <row r="10178" spans="1:2">
      <c r="A10178" s="59"/>
      <c r="B10178"/>
    </row>
    <row r="10179" spans="1:2">
      <c r="A10179" s="59"/>
      <c r="B10179"/>
    </row>
    <row r="10180" spans="1:2">
      <c r="A10180" s="59"/>
      <c r="B10180"/>
    </row>
    <row r="10181" spans="1:2">
      <c r="A10181" s="59"/>
      <c r="B10181"/>
    </row>
    <row r="10182" spans="1:2">
      <c r="A10182" s="59"/>
      <c r="B10182"/>
    </row>
    <row r="10183" spans="1:2">
      <c r="A10183" s="59"/>
      <c r="B10183"/>
    </row>
    <row r="10184" spans="1:2">
      <c r="A10184" s="59"/>
      <c r="B10184"/>
    </row>
    <row r="10185" spans="1:2">
      <c r="A10185" s="59"/>
      <c r="B10185"/>
    </row>
    <row r="10186" spans="1:2">
      <c r="A10186" s="59"/>
      <c r="B10186"/>
    </row>
    <row r="10187" spans="1:2">
      <c r="A10187" s="59"/>
      <c r="B10187"/>
    </row>
    <row r="10188" spans="1:2">
      <c r="A10188" s="59"/>
      <c r="B10188"/>
    </row>
    <row r="10189" spans="1:2">
      <c r="A10189" s="59"/>
      <c r="B10189"/>
    </row>
    <row r="10190" spans="1:2">
      <c r="A10190" s="59"/>
      <c r="B10190"/>
    </row>
    <row r="10191" spans="1:2">
      <c r="A10191" s="59"/>
      <c r="B10191"/>
    </row>
    <row r="10192" spans="1:2">
      <c r="A10192" s="59"/>
      <c r="B10192"/>
    </row>
    <row r="10193" spans="1:2">
      <c r="A10193" s="59"/>
      <c r="B10193"/>
    </row>
    <row r="10194" spans="1:2">
      <c r="A10194" s="59"/>
      <c r="B10194"/>
    </row>
    <row r="10195" spans="1:2">
      <c r="A10195" s="59"/>
      <c r="B10195"/>
    </row>
    <row r="10196" spans="1:2">
      <c r="A10196" s="59"/>
      <c r="B10196"/>
    </row>
    <row r="10197" spans="1:2">
      <c r="A10197" s="59"/>
      <c r="B10197"/>
    </row>
    <row r="10198" spans="1:2">
      <c r="A10198" s="59"/>
      <c r="B10198"/>
    </row>
    <row r="10199" spans="1:2">
      <c r="A10199" s="59"/>
      <c r="B10199"/>
    </row>
    <row r="10200" spans="1:2">
      <c r="A10200" s="59"/>
      <c r="B10200"/>
    </row>
    <row r="10201" spans="1:2">
      <c r="A10201" s="59"/>
      <c r="B10201"/>
    </row>
    <row r="10202" spans="1:2">
      <c r="A10202" s="59"/>
      <c r="B10202"/>
    </row>
    <row r="10203" spans="1:2">
      <c r="A10203" s="59"/>
      <c r="B10203"/>
    </row>
    <row r="10204" spans="1:2">
      <c r="A10204" s="59"/>
      <c r="B10204"/>
    </row>
    <row r="10205" spans="1:2">
      <c r="A10205" s="59"/>
      <c r="B10205"/>
    </row>
    <row r="10206" spans="1:2">
      <c r="A10206" s="59"/>
      <c r="B10206"/>
    </row>
    <row r="10207" spans="1:2">
      <c r="A10207" s="59"/>
      <c r="B10207"/>
    </row>
    <row r="10208" spans="1:2">
      <c r="A10208" s="59"/>
      <c r="B10208"/>
    </row>
    <row r="10209" spans="1:2">
      <c r="A10209" s="59"/>
      <c r="B10209"/>
    </row>
    <row r="10210" spans="1:2">
      <c r="A10210" s="59"/>
      <c r="B10210"/>
    </row>
    <row r="10211" spans="1:2">
      <c r="A10211" s="59"/>
      <c r="B10211"/>
    </row>
    <row r="10212" spans="1:2">
      <c r="A10212" s="59"/>
      <c r="B10212"/>
    </row>
    <row r="10213" spans="1:2">
      <c r="A10213" s="59"/>
      <c r="B10213"/>
    </row>
    <row r="10214" spans="1:2">
      <c r="A10214" s="59"/>
      <c r="B10214"/>
    </row>
    <row r="10215" spans="1:2">
      <c r="A10215" s="59"/>
      <c r="B10215"/>
    </row>
    <row r="10216" spans="1:2">
      <c r="A10216" s="59"/>
      <c r="B10216"/>
    </row>
    <row r="10217" spans="1:2">
      <c r="A10217" s="59"/>
      <c r="B10217"/>
    </row>
    <row r="10218" spans="1:2">
      <c r="A10218" s="59"/>
      <c r="B10218"/>
    </row>
    <row r="10219" spans="1:2">
      <c r="A10219" s="59"/>
      <c r="B10219"/>
    </row>
    <row r="10220" spans="1:2">
      <c r="A10220" s="59"/>
      <c r="B10220"/>
    </row>
    <row r="10221" spans="1:2">
      <c r="A10221" s="59"/>
      <c r="B10221"/>
    </row>
    <row r="10222" spans="1:2">
      <c r="A10222" s="59"/>
      <c r="B10222"/>
    </row>
    <row r="10223" spans="1:2">
      <c r="A10223" s="59"/>
      <c r="B10223"/>
    </row>
    <row r="10224" spans="1:2">
      <c r="A10224" s="59"/>
      <c r="B10224"/>
    </row>
    <row r="10225" spans="1:2">
      <c r="A10225" s="59"/>
      <c r="B10225"/>
    </row>
    <row r="10226" spans="1:2">
      <c r="A10226" s="59"/>
      <c r="B10226"/>
    </row>
    <row r="10227" spans="1:2">
      <c r="A10227" s="59"/>
      <c r="B10227"/>
    </row>
    <row r="10228" spans="1:2">
      <c r="A10228" s="59"/>
      <c r="B10228"/>
    </row>
    <row r="10229" spans="1:2">
      <c r="A10229" s="59"/>
      <c r="B10229"/>
    </row>
    <row r="10230" spans="1:2">
      <c r="A10230" s="59"/>
      <c r="B10230"/>
    </row>
    <row r="10231" spans="1:2">
      <c r="A10231" s="59"/>
      <c r="B10231"/>
    </row>
    <row r="10232" spans="1:2">
      <c r="A10232" s="59"/>
      <c r="B10232"/>
    </row>
    <row r="10233" spans="1:2">
      <c r="A10233" s="59"/>
      <c r="B10233"/>
    </row>
    <row r="10234" spans="1:2">
      <c r="A10234" s="59"/>
      <c r="B10234"/>
    </row>
    <row r="10235" spans="1:2">
      <c r="A10235" s="59"/>
      <c r="B10235"/>
    </row>
    <row r="10236" spans="1:2">
      <c r="A10236" s="59"/>
      <c r="B10236"/>
    </row>
    <row r="10237" spans="1:2">
      <c r="A10237" s="59"/>
      <c r="B10237"/>
    </row>
    <row r="10238" spans="1:2">
      <c r="A10238" s="59"/>
      <c r="B10238"/>
    </row>
    <row r="10239" spans="1:2">
      <c r="A10239" s="59"/>
      <c r="B10239"/>
    </row>
    <row r="10240" spans="1:2">
      <c r="A10240" s="59"/>
      <c r="B10240"/>
    </row>
    <row r="10241" spans="1:2">
      <c r="A10241" s="59"/>
      <c r="B10241"/>
    </row>
    <row r="10242" spans="1:2">
      <c r="A10242" s="59"/>
      <c r="B10242"/>
    </row>
    <row r="10243" spans="1:2">
      <c r="A10243" s="59"/>
      <c r="B10243"/>
    </row>
    <row r="10244" spans="1:2">
      <c r="A10244" s="59"/>
      <c r="B10244"/>
    </row>
    <row r="10245" spans="1:2">
      <c r="A10245" s="59"/>
      <c r="B10245"/>
    </row>
    <row r="10246" spans="1:2">
      <c r="A10246" s="59"/>
      <c r="B10246"/>
    </row>
    <row r="10247" spans="1:2">
      <c r="A10247" s="59"/>
      <c r="B10247"/>
    </row>
    <row r="10248" spans="1:2">
      <c r="A10248" s="59"/>
      <c r="B10248"/>
    </row>
    <row r="10249" spans="1:2">
      <c r="A10249" s="59"/>
      <c r="B10249"/>
    </row>
    <row r="10250" spans="1:2">
      <c r="A10250" s="59"/>
      <c r="B10250"/>
    </row>
    <row r="10251" spans="1:2">
      <c r="A10251" s="59"/>
      <c r="B10251"/>
    </row>
    <row r="10252" spans="1:2">
      <c r="A10252" s="59"/>
      <c r="B10252"/>
    </row>
    <row r="10253" spans="1:2">
      <c r="A10253" s="59"/>
      <c r="B10253"/>
    </row>
    <row r="10254" spans="1:2">
      <c r="A10254" s="59"/>
      <c r="B10254"/>
    </row>
    <row r="10255" spans="1:2">
      <c r="A10255" s="59"/>
      <c r="B10255"/>
    </row>
    <row r="10256" spans="1:2">
      <c r="A10256" s="59"/>
      <c r="B10256"/>
    </row>
    <row r="10257" spans="1:2">
      <c r="A10257" s="59"/>
      <c r="B10257"/>
    </row>
    <row r="10258" spans="1:2">
      <c r="A10258" s="59"/>
      <c r="B10258"/>
    </row>
    <row r="10259" spans="1:2">
      <c r="A10259" s="59"/>
      <c r="B10259"/>
    </row>
    <row r="10260" spans="1:2">
      <c r="A10260" s="59"/>
      <c r="B10260"/>
    </row>
    <row r="10261" spans="1:2">
      <c r="A10261" s="59"/>
      <c r="B10261"/>
    </row>
    <row r="10262" spans="1:2">
      <c r="A10262" s="59"/>
      <c r="B10262"/>
    </row>
    <row r="10263" spans="1:2">
      <c r="A10263" s="59"/>
      <c r="B10263"/>
    </row>
    <row r="10264" spans="1:2">
      <c r="A10264" s="59"/>
      <c r="B10264"/>
    </row>
    <row r="10265" spans="1:2">
      <c r="A10265" s="59"/>
      <c r="B10265"/>
    </row>
    <row r="10266" spans="1:2">
      <c r="A10266" s="59"/>
      <c r="B10266"/>
    </row>
    <row r="10267" spans="1:2">
      <c r="A10267" s="59"/>
      <c r="B10267"/>
    </row>
    <row r="10268" spans="1:2">
      <c r="A10268" s="59"/>
      <c r="B10268"/>
    </row>
    <row r="10269" spans="1:2">
      <c r="A10269" s="59"/>
      <c r="B10269"/>
    </row>
    <row r="10270" spans="1:2">
      <c r="A10270" s="59"/>
      <c r="B10270"/>
    </row>
    <row r="10271" spans="1:2">
      <c r="A10271" s="59"/>
      <c r="B10271"/>
    </row>
    <row r="10272" spans="1:2">
      <c r="A10272" s="59"/>
      <c r="B10272"/>
    </row>
    <row r="10273" spans="1:2">
      <c r="A10273" s="59"/>
      <c r="B10273"/>
    </row>
    <row r="10274" spans="1:2">
      <c r="A10274" s="59"/>
      <c r="B10274"/>
    </row>
    <row r="10275" spans="1:2">
      <c r="A10275" s="59"/>
      <c r="B10275"/>
    </row>
    <row r="10276" spans="1:2">
      <c r="A10276" s="59"/>
      <c r="B10276"/>
    </row>
    <row r="10277" spans="1:2">
      <c r="A10277" s="59"/>
      <c r="B10277"/>
    </row>
    <row r="10278" spans="1:2">
      <c r="A10278" s="59"/>
      <c r="B10278"/>
    </row>
    <row r="10279" spans="1:2">
      <c r="A10279" s="59"/>
      <c r="B10279"/>
    </row>
    <row r="10280" spans="1:2">
      <c r="A10280" s="59"/>
      <c r="B10280"/>
    </row>
    <row r="10281" spans="1:2">
      <c r="A10281" s="59"/>
      <c r="B10281"/>
    </row>
    <row r="10282" spans="1:2">
      <c r="A10282" s="59"/>
      <c r="B10282"/>
    </row>
    <row r="10283" spans="1:2">
      <c r="A10283" s="59"/>
      <c r="B10283"/>
    </row>
    <row r="10284" spans="1:2">
      <c r="A10284" s="59"/>
      <c r="B10284"/>
    </row>
    <row r="10285" spans="1:2">
      <c r="A10285" s="59"/>
      <c r="B10285"/>
    </row>
    <row r="10286" spans="1:2">
      <c r="A10286" s="59"/>
      <c r="B10286"/>
    </row>
    <row r="10287" spans="1:2">
      <c r="A10287" s="59"/>
      <c r="B10287"/>
    </row>
    <row r="10288" spans="1:2">
      <c r="A10288" s="59"/>
      <c r="B10288"/>
    </row>
    <row r="10289" spans="1:2">
      <c r="A10289" s="59"/>
      <c r="B10289"/>
    </row>
    <row r="10290" spans="1:2">
      <c r="A10290" s="59"/>
      <c r="B10290"/>
    </row>
    <row r="10291" spans="1:2">
      <c r="A10291" s="59"/>
      <c r="B10291"/>
    </row>
    <row r="10292" spans="1:2">
      <c r="A10292" s="59"/>
      <c r="B10292"/>
    </row>
    <row r="10293" spans="1:2">
      <c r="A10293" s="59"/>
      <c r="B10293"/>
    </row>
    <row r="10294" spans="1:2">
      <c r="A10294" s="59"/>
      <c r="B10294"/>
    </row>
    <row r="10295" spans="1:2">
      <c r="A10295" s="59"/>
      <c r="B10295"/>
    </row>
    <row r="10296" spans="1:2">
      <c r="A10296" s="59"/>
      <c r="B10296"/>
    </row>
    <row r="10297" spans="1:2">
      <c r="A10297" s="59"/>
      <c r="B10297"/>
    </row>
    <row r="10298" spans="1:2">
      <c r="A10298" s="59"/>
      <c r="B10298"/>
    </row>
    <row r="10299" spans="1:2">
      <c r="A10299" s="59"/>
      <c r="B10299"/>
    </row>
    <row r="10300" spans="1:2">
      <c r="A10300" s="59"/>
      <c r="B10300"/>
    </row>
    <row r="10301" spans="1:2">
      <c r="A10301" s="59"/>
      <c r="B10301"/>
    </row>
    <row r="10302" spans="1:2">
      <c r="A10302" s="59"/>
      <c r="B10302"/>
    </row>
    <row r="10303" spans="1:2">
      <c r="A10303" s="59"/>
      <c r="B10303"/>
    </row>
    <row r="10304" spans="1:2">
      <c r="A10304" s="59"/>
      <c r="B10304"/>
    </row>
    <row r="10305" spans="1:2">
      <c r="A10305" s="59"/>
      <c r="B10305"/>
    </row>
    <row r="10306" spans="1:2">
      <c r="A10306" s="59"/>
      <c r="B10306"/>
    </row>
    <row r="10307" spans="1:2">
      <c r="A10307" s="59"/>
      <c r="B10307"/>
    </row>
    <row r="10308" spans="1:2">
      <c r="A10308" s="59"/>
      <c r="B10308"/>
    </row>
    <row r="10309" spans="1:2">
      <c r="A10309" s="59"/>
      <c r="B10309"/>
    </row>
    <row r="10310" spans="1:2">
      <c r="A10310" s="59"/>
      <c r="B10310"/>
    </row>
    <row r="10311" spans="1:2">
      <c r="A10311" s="59"/>
      <c r="B10311"/>
    </row>
    <row r="10312" spans="1:2">
      <c r="A10312" s="59"/>
      <c r="B10312"/>
    </row>
    <row r="10313" spans="1:2">
      <c r="A10313" s="59"/>
      <c r="B10313"/>
    </row>
    <row r="10314" spans="1:2">
      <c r="A10314" s="59"/>
      <c r="B10314"/>
    </row>
    <row r="10315" spans="1:2">
      <c r="A10315" s="59"/>
      <c r="B10315"/>
    </row>
    <row r="10316" spans="1:2">
      <c r="A10316" s="59"/>
      <c r="B10316"/>
    </row>
    <row r="10317" spans="1:2">
      <c r="A10317" s="59"/>
      <c r="B10317"/>
    </row>
    <row r="10318" spans="1:2">
      <c r="A10318" s="59"/>
      <c r="B10318"/>
    </row>
    <row r="10319" spans="1:2">
      <c r="A10319" s="59"/>
      <c r="B10319"/>
    </row>
    <row r="10320" spans="1:2">
      <c r="A10320" s="59"/>
      <c r="B10320"/>
    </row>
    <row r="10321" spans="1:2">
      <c r="A10321" s="59"/>
      <c r="B10321"/>
    </row>
    <row r="10322" spans="1:2">
      <c r="A10322" s="59"/>
      <c r="B10322"/>
    </row>
    <row r="10323" spans="1:2">
      <c r="A10323" s="59"/>
      <c r="B10323"/>
    </row>
    <row r="10324" spans="1:2">
      <c r="A10324" s="59"/>
      <c r="B10324"/>
    </row>
    <row r="10325" spans="1:2">
      <c r="A10325" s="59"/>
      <c r="B10325"/>
    </row>
    <row r="10326" spans="1:2">
      <c r="A10326" s="59"/>
      <c r="B10326"/>
    </row>
    <row r="10327" spans="1:2">
      <c r="A10327" s="59"/>
      <c r="B10327"/>
    </row>
    <row r="10328" spans="1:2">
      <c r="A10328" s="59"/>
      <c r="B10328"/>
    </row>
    <row r="10329" spans="1:2">
      <c r="A10329" s="59"/>
      <c r="B10329"/>
    </row>
    <row r="10330" spans="1:2">
      <c r="A10330" s="59"/>
      <c r="B10330"/>
    </row>
    <row r="10331" spans="1:2">
      <c r="A10331" s="59"/>
      <c r="B10331"/>
    </row>
    <row r="10332" spans="1:2">
      <c r="A10332" s="59"/>
      <c r="B10332"/>
    </row>
    <row r="10333" spans="1:2">
      <c r="A10333" s="59"/>
      <c r="B10333"/>
    </row>
    <row r="10334" spans="1:2">
      <c r="A10334" s="59"/>
      <c r="B10334"/>
    </row>
    <row r="10335" spans="1:2">
      <c r="A10335" s="59"/>
      <c r="B10335"/>
    </row>
    <row r="10336" spans="1:2">
      <c r="A10336" s="59"/>
      <c r="B10336"/>
    </row>
    <row r="10337" spans="1:2">
      <c r="A10337" s="59"/>
      <c r="B10337"/>
    </row>
    <row r="10338" spans="1:2">
      <c r="A10338" s="59"/>
      <c r="B10338"/>
    </row>
    <row r="10339" spans="1:2">
      <c r="A10339" s="59"/>
      <c r="B10339"/>
    </row>
    <row r="10340" spans="1:2">
      <c r="A10340" s="59"/>
      <c r="B10340"/>
    </row>
    <row r="10341" spans="1:2">
      <c r="A10341" s="59"/>
      <c r="B10341"/>
    </row>
    <row r="10342" spans="1:2">
      <c r="A10342" s="59"/>
      <c r="B10342"/>
    </row>
    <row r="10343" spans="1:2">
      <c r="A10343" s="59"/>
      <c r="B10343"/>
    </row>
    <row r="10344" spans="1:2">
      <c r="A10344" s="59"/>
      <c r="B10344"/>
    </row>
    <row r="10345" spans="1:2">
      <c r="A10345" s="59"/>
      <c r="B10345"/>
    </row>
    <row r="10346" spans="1:2">
      <c r="A10346" s="59"/>
      <c r="B10346"/>
    </row>
    <row r="10347" spans="1:2">
      <c r="A10347" s="59"/>
      <c r="B10347"/>
    </row>
    <row r="10348" spans="1:2">
      <c r="A10348" s="59"/>
      <c r="B10348"/>
    </row>
    <row r="10349" spans="1:2">
      <c r="A10349" s="59"/>
      <c r="B10349"/>
    </row>
    <row r="10350" spans="1:2">
      <c r="A10350" s="59"/>
      <c r="B10350"/>
    </row>
    <row r="10351" spans="1:2">
      <c r="A10351" s="59"/>
      <c r="B10351"/>
    </row>
    <row r="10352" spans="1:2">
      <c r="A10352" s="59"/>
      <c r="B10352"/>
    </row>
    <row r="10353" spans="1:2">
      <c r="A10353" s="59"/>
      <c r="B10353"/>
    </row>
    <row r="10354" spans="1:2">
      <c r="A10354" s="59"/>
      <c r="B10354"/>
    </row>
    <row r="10355" spans="1:2">
      <c r="A10355" s="59"/>
      <c r="B10355"/>
    </row>
    <row r="10356" spans="1:2">
      <c r="A10356" s="59"/>
      <c r="B10356"/>
    </row>
    <row r="10357" spans="1:2">
      <c r="A10357" s="59"/>
      <c r="B10357"/>
    </row>
    <row r="10358" spans="1:2">
      <c r="A10358" s="59"/>
      <c r="B10358"/>
    </row>
    <row r="10359" spans="1:2">
      <c r="A10359" s="59"/>
      <c r="B10359"/>
    </row>
    <row r="10360" spans="1:2">
      <c r="A10360" s="59"/>
      <c r="B10360"/>
    </row>
    <row r="10361" spans="1:2">
      <c r="A10361" s="59"/>
      <c r="B10361"/>
    </row>
    <row r="10362" spans="1:2">
      <c r="A10362" s="59"/>
      <c r="B10362"/>
    </row>
    <row r="10363" spans="1:2">
      <c r="A10363" s="59"/>
      <c r="B10363"/>
    </row>
    <row r="10364" spans="1:2">
      <c r="A10364" s="59"/>
      <c r="B10364"/>
    </row>
    <row r="10365" spans="1:2">
      <c r="A10365" s="59"/>
      <c r="B10365"/>
    </row>
    <row r="10366" spans="1:2">
      <c r="A10366" s="59"/>
      <c r="B10366"/>
    </row>
    <row r="10367" spans="1:2">
      <c r="A10367" s="59"/>
      <c r="B10367"/>
    </row>
    <row r="10368" spans="1:2">
      <c r="A10368" s="59"/>
      <c r="B10368"/>
    </row>
    <row r="10369" spans="1:2">
      <c r="A10369" s="59"/>
      <c r="B10369"/>
    </row>
    <row r="10370" spans="1:2">
      <c r="A10370" s="59"/>
      <c r="B10370"/>
    </row>
    <row r="10371" spans="1:2">
      <c r="A10371" s="59"/>
      <c r="B10371"/>
    </row>
    <row r="10372" spans="1:2">
      <c r="A10372" s="59"/>
      <c r="B10372"/>
    </row>
    <row r="10373" spans="1:2">
      <c r="A10373" s="59"/>
      <c r="B10373"/>
    </row>
    <row r="10374" spans="1:2">
      <c r="A10374" s="59"/>
      <c r="B10374"/>
    </row>
    <row r="10375" spans="1:2">
      <c r="A10375" s="59"/>
      <c r="B10375"/>
    </row>
    <row r="10376" spans="1:2">
      <c r="A10376" s="59"/>
      <c r="B10376"/>
    </row>
    <row r="10377" spans="1:2">
      <c r="A10377" s="59"/>
      <c r="B10377"/>
    </row>
    <row r="10378" spans="1:2">
      <c r="A10378" s="59"/>
      <c r="B10378"/>
    </row>
    <row r="10379" spans="1:2">
      <c r="A10379" s="59"/>
      <c r="B10379"/>
    </row>
    <row r="10380" spans="1:2">
      <c r="A10380" s="59"/>
      <c r="B10380"/>
    </row>
    <row r="10381" spans="1:2">
      <c r="A10381" s="59"/>
      <c r="B10381"/>
    </row>
    <row r="10382" spans="1:2">
      <c r="A10382" s="59"/>
      <c r="B10382"/>
    </row>
    <row r="10383" spans="1:2">
      <c r="A10383" s="59"/>
      <c r="B10383"/>
    </row>
    <row r="10384" spans="1:2">
      <c r="A10384" s="59"/>
      <c r="B10384"/>
    </row>
    <row r="10385" spans="1:2">
      <c r="A10385" s="59"/>
      <c r="B10385"/>
    </row>
    <row r="10386" spans="1:2">
      <c r="A10386" s="59"/>
      <c r="B10386"/>
    </row>
    <row r="10387" spans="1:2">
      <c r="A10387" s="59"/>
      <c r="B10387"/>
    </row>
    <row r="10388" spans="1:2">
      <c r="A10388" s="59"/>
      <c r="B10388"/>
    </row>
    <row r="10389" spans="1:2">
      <c r="A10389" s="59"/>
      <c r="B10389"/>
    </row>
    <row r="10390" spans="1:2">
      <c r="A10390" s="59"/>
      <c r="B10390"/>
    </row>
    <row r="10391" spans="1:2">
      <c r="A10391" s="59"/>
      <c r="B10391"/>
    </row>
    <row r="10392" spans="1:2">
      <c r="A10392" s="59"/>
      <c r="B10392"/>
    </row>
    <row r="10393" spans="1:2">
      <c r="A10393" s="59"/>
      <c r="B10393"/>
    </row>
    <row r="10394" spans="1:2">
      <c r="A10394" s="59"/>
      <c r="B10394"/>
    </row>
    <row r="10395" spans="1:2">
      <c r="A10395" s="59"/>
      <c r="B10395"/>
    </row>
    <row r="10396" spans="1:2">
      <c r="A10396" s="59"/>
      <c r="B10396"/>
    </row>
    <row r="10397" spans="1:2">
      <c r="A10397" s="59"/>
      <c r="B10397"/>
    </row>
    <row r="10398" spans="1:2">
      <c r="A10398" s="59"/>
      <c r="B10398"/>
    </row>
    <row r="10399" spans="1:2">
      <c r="A10399" s="59"/>
      <c r="B10399"/>
    </row>
    <row r="10400" spans="1:2">
      <c r="A10400" s="59"/>
      <c r="B10400"/>
    </row>
    <row r="10401" spans="1:2">
      <c r="A10401" s="59"/>
      <c r="B10401"/>
    </row>
    <row r="10402" spans="1:2">
      <c r="A10402" s="59"/>
      <c r="B10402"/>
    </row>
    <row r="10403" spans="1:2">
      <c r="A10403" s="59"/>
      <c r="B10403"/>
    </row>
    <row r="10404" spans="1:2">
      <c r="A10404" s="59"/>
      <c r="B10404"/>
    </row>
    <row r="10405" spans="1:2">
      <c r="A10405" s="59"/>
      <c r="B10405"/>
    </row>
    <row r="10406" spans="1:2">
      <c r="A10406" s="59"/>
      <c r="B10406"/>
    </row>
    <row r="10407" spans="1:2">
      <c r="A10407" s="59"/>
      <c r="B10407"/>
    </row>
    <row r="10408" spans="1:2">
      <c r="A10408" s="59"/>
      <c r="B10408"/>
    </row>
    <row r="10409" spans="1:2">
      <c r="A10409" s="59"/>
      <c r="B10409"/>
    </row>
    <row r="10410" spans="1:2">
      <c r="A10410" s="59"/>
      <c r="B10410"/>
    </row>
    <row r="10411" spans="1:2">
      <c r="A10411" s="59"/>
      <c r="B10411"/>
    </row>
    <row r="10412" spans="1:2">
      <c r="A10412" s="59"/>
      <c r="B10412"/>
    </row>
    <row r="10413" spans="1:2">
      <c r="A10413" s="59"/>
      <c r="B10413"/>
    </row>
    <row r="10414" spans="1:2">
      <c r="A10414" s="59"/>
      <c r="B10414"/>
    </row>
    <row r="10415" spans="1:2">
      <c r="A10415" s="59"/>
      <c r="B10415"/>
    </row>
    <row r="10416" spans="1:2">
      <c r="A10416" s="59"/>
      <c r="B10416"/>
    </row>
    <row r="10417" spans="1:2">
      <c r="A10417" s="59"/>
      <c r="B10417"/>
    </row>
    <row r="10418" spans="1:2">
      <c r="A10418" s="59"/>
      <c r="B10418"/>
    </row>
    <row r="10419" spans="1:2">
      <c r="A10419" s="59"/>
      <c r="B10419"/>
    </row>
    <row r="10420" spans="1:2">
      <c r="A10420" s="59"/>
      <c r="B10420"/>
    </row>
    <row r="10421" spans="1:2">
      <c r="A10421" s="59"/>
      <c r="B10421"/>
    </row>
    <row r="10422" spans="1:2">
      <c r="A10422" s="59"/>
      <c r="B10422"/>
    </row>
    <row r="10423" spans="1:2">
      <c r="A10423" s="59"/>
      <c r="B10423"/>
    </row>
    <row r="10424" spans="1:2">
      <c r="A10424" s="59"/>
      <c r="B10424"/>
    </row>
    <row r="10425" spans="1:2">
      <c r="A10425" s="59"/>
      <c r="B10425"/>
    </row>
    <row r="10426" spans="1:2">
      <c r="A10426" s="59"/>
      <c r="B10426"/>
    </row>
    <row r="10427" spans="1:2">
      <c r="A10427" s="59"/>
      <c r="B10427"/>
    </row>
    <row r="10428" spans="1:2">
      <c r="A10428" s="59"/>
      <c r="B10428"/>
    </row>
    <row r="10429" spans="1:2">
      <c r="A10429" s="59"/>
      <c r="B10429"/>
    </row>
    <row r="10430" spans="1:2">
      <c r="A10430" s="59"/>
      <c r="B10430"/>
    </row>
    <row r="10431" spans="1:2">
      <c r="A10431" s="59"/>
      <c r="B10431"/>
    </row>
    <row r="10432" spans="1:2">
      <c r="A10432" s="59"/>
      <c r="B10432"/>
    </row>
    <row r="10433" spans="1:2">
      <c r="A10433" s="59"/>
      <c r="B10433"/>
    </row>
    <row r="10434" spans="1:2">
      <c r="A10434" s="59"/>
      <c r="B10434"/>
    </row>
    <row r="10435" spans="1:2">
      <c r="A10435" s="59"/>
      <c r="B10435"/>
    </row>
    <row r="10436" spans="1:2">
      <c r="A10436" s="59"/>
      <c r="B10436"/>
    </row>
    <row r="10437" spans="1:2">
      <c r="A10437" s="59"/>
      <c r="B10437"/>
    </row>
    <row r="10438" spans="1:2">
      <c r="A10438" s="59"/>
      <c r="B10438"/>
    </row>
    <row r="10439" spans="1:2">
      <c r="A10439" s="59"/>
      <c r="B10439"/>
    </row>
    <row r="10440" spans="1:2">
      <c r="A10440" s="59"/>
      <c r="B10440"/>
    </row>
    <row r="10441" spans="1:2">
      <c r="A10441" s="59"/>
      <c r="B10441"/>
    </row>
    <row r="10442" spans="1:2">
      <c r="A10442" s="59"/>
      <c r="B10442"/>
    </row>
    <row r="10443" spans="1:2">
      <c r="A10443" s="59"/>
      <c r="B10443"/>
    </row>
    <row r="10444" spans="1:2">
      <c r="A10444" s="59"/>
      <c r="B10444"/>
    </row>
    <row r="10445" spans="1:2">
      <c r="A10445" s="59"/>
      <c r="B10445"/>
    </row>
    <row r="10446" spans="1:2">
      <c r="A10446" s="59"/>
      <c r="B10446"/>
    </row>
    <row r="10447" spans="1:2">
      <c r="A10447" s="59"/>
      <c r="B10447"/>
    </row>
    <row r="10448" spans="1:2">
      <c r="A10448" s="59"/>
      <c r="B10448"/>
    </row>
    <row r="10449" spans="1:2">
      <c r="A10449" s="59"/>
      <c r="B10449"/>
    </row>
    <row r="10450" spans="1:2">
      <c r="A10450" s="59"/>
      <c r="B10450"/>
    </row>
    <row r="10451" spans="1:2">
      <c r="A10451" s="59"/>
      <c r="B10451"/>
    </row>
    <row r="10452" spans="1:2">
      <c r="A10452" s="59"/>
      <c r="B10452"/>
    </row>
    <row r="10453" spans="1:2">
      <c r="A10453" s="59"/>
      <c r="B10453"/>
    </row>
    <row r="10454" spans="1:2">
      <c r="A10454" s="59"/>
      <c r="B10454"/>
    </row>
    <row r="10455" spans="1:2">
      <c r="A10455" s="59"/>
      <c r="B10455"/>
    </row>
    <row r="10456" spans="1:2">
      <c r="A10456" s="59"/>
      <c r="B10456"/>
    </row>
    <row r="10457" spans="1:2">
      <c r="A10457" s="59"/>
      <c r="B10457"/>
    </row>
    <row r="10458" spans="1:2">
      <c r="A10458" s="59"/>
      <c r="B10458"/>
    </row>
    <row r="10459" spans="1:2">
      <c r="A10459" s="59"/>
      <c r="B10459"/>
    </row>
    <row r="10460" spans="1:2">
      <c r="A10460" s="59"/>
      <c r="B10460"/>
    </row>
    <row r="10461" spans="1:2">
      <c r="A10461" s="59"/>
      <c r="B10461"/>
    </row>
    <row r="10462" spans="1:2">
      <c r="A10462" s="59"/>
      <c r="B10462"/>
    </row>
    <row r="10463" spans="1:2">
      <c r="A10463" s="59"/>
      <c r="B10463"/>
    </row>
    <row r="10464" spans="1:2">
      <c r="A10464" s="59"/>
      <c r="B10464"/>
    </row>
    <row r="10465" spans="1:2">
      <c r="A10465" s="59"/>
      <c r="B10465"/>
    </row>
    <row r="10466" spans="1:2">
      <c r="A10466" s="59"/>
      <c r="B10466"/>
    </row>
    <row r="10467" spans="1:2">
      <c r="A10467" s="59"/>
      <c r="B10467"/>
    </row>
    <row r="10468" spans="1:2">
      <c r="A10468" s="59"/>
      <c r="B10468"/>
    </row>
    <row r="10469" spans="1:2">
      <c r="A10469" s="59"/>
      <c r="B10469"/>
    </row>
    <row r="10470" spans="1:2">
      <c r="A10470" s="59"/>
      <c r="B10470"/>
    </row>
    <row r="10471" spans="1:2">
      <c r="A10471" s="59"/>
      <c r="B10471"/>
    </row>
    <row r="10472" spans="1:2">
      <c r="A10472" s="59"/>
      <c r="B10472"/>
    </row>
    <row r="10473" spans="1:2">
      <c r="A10473" s="59"/>
      <c r="B10473"/>
    </row>
    <row r="10474" spans="1:2">
      <c r="A10474" s="59"/>
      <c r="B10474"/>
    </row>
    <row r="10475" spans="1:2">
      <c r="A10475" s="59"/>
      <c r="B10475"/>
    </row>
    <row r="10476" spans="1:2">
      <c r="A10476" s="59"/>
      <c r="B10476"/>
    </row>
    <row r="10477" spans="1:2">
      <c r="A10477" s="59"/>
      <c r="B10477"/>
    </row>
    <row r="10478" spans="1:2">
      <c r="A10478" s="59"/>
      <c r="B10478"/>
    </row>
    <row r="10479" spans="1:2">
      <c r="A10479" s="59"/>
      <c r="B10479"/>
    </row>
    <row r="10480" spans="1:2">
      <c r="A10480" s="59"/>
      <c r="B10480"/>
    </row>
    <row r="10481" spans="1:2">
      <c r="A10481" s="59"/>
      <c r="B10481"/>
    </row>
    <row r="10482" spans="1:2">
      <c r="A10482" s="59"/>
      <c r="B10482"/>
    </row>
    <row r="10483" spans="1:2">
      <c r="A10483" s="59"/>
      <c r="B10483"/>
    </row>
    <row r="10484" spans="1:2">
      <c r="A10484" s="59"/>
      <c r="B10484"/>
    </row>
    <row r="10485" spans="1:2">
      <c r="A10485" s="59"/>
      <c r="B10485"/>
    </row>
    <row r="10486" spans="1:2">
      <c r="A10486" s="59"/>
      <c r="B10486"/>
    </row>
    <row r="10487" spans="1:2">
      <c r="A10487" s="59"/>
      <c r="B10487"/>
    </row>
    <row r="10488" spans="1:2">
      <c r="A10488" s="59"/>
      <c r="B10488"/>
    </row>
    <row r="10489" spans="1:2">
      <c r="A10489" s="59"/>
      <c r="B10489"/>
    </row>
    <row r="10490" spans="1:2">
      <c r="A10490" s="59"/>
      <c r="B10490"/>
    </row>
    <row r="10491" spans="1:2">
      <c r="A10491" s="59"/>
      <c r="B10491"/>
    </row>
    <row r="10492" spans="1:2">
      <c r="A10492" s="59"/>
      <c r="B10492"/>
    </row>
    <row r="10493" spans="1:2">
      <c r="A10493" s="59"/>
      <c r="B10493"/>
    </row>
    <row r="10494" spans="1:2">
      <c r="A10494" s="59"/>
      <c r="B10494"/>
    </row>
    <row r="10495" spans="1:2">
      <c r="A10495" s="59"/>
      <c r="B10495"/>
    </row>
    <row r="10496" spans="1:2">
      <c r="A10496" s="59"/>
      <c r="B10496"/>
    </row>
    <row r="10497" spans="1:2">
      <c r="A10497" s="59"/>
      <c r="B10497"/>
    </row>
    <row r="10498" spans="1:2">
      <c r="A10498" s="59"/>
      <c r="B10498"/>
    </row>
    <row r="10499" spans="1:2">
      <c r="A10499" s="59"/>
      <c r="B10499"/>
    </row>
    <row r="10500" spans="1:2">
      <c r="A10500" s="59"/>
      <c r="B10500"/>
    </row>
    <row r="10501" spans="1:2">
      <c r="A10501" s="59"/>
      <c r="B10501"/>
    </row>
    <row r="10502" spans="1:2">
      <c r="A10502" s="59"/>
      <c r="B10502"/>
    </row>
    <row r="10503" spans="1:2">
      <c r="A10503" s="59"/>
      <c r="B10503"/>
    </row>
    <row r="10504" spans="1:2">
      <c r="A10504" s="59"/>
      <c r="B10504"/>
    </row>
    <row r="10505" spans="1:2">
      <c r="A10505" s="59"/>
      <c r="B10505"/>
    </row>
    <row r="10506" spans="1:2">
      <c r="A10506" s="59"/>
      <c r="B10506"/>
    </row>
    <row r="10507" spans="1:2">
      <c r="A10507" s="59"/>
      <c r="B10507"/>
    </row>
    <row r="10508" spans="1:2">
      <c r="A10508" s="59"/>
      <c r="B10508"/>
    </row>
    <row r="10509" spans="1:2">
      <c r="A10509" s="59"/>
      <c r="B10509"/>
    </row>
    <row r="10510" spans="1:2">
      <c r="A10510" s="59"/>
      <c r="B10510"/>
    </row>
    <row r="10511" spans="1:2">
      <c r="A10511" s="59"/>
      <c r="B10511"/>
    </row>
    <row r="10512" spans="1:2">
      <c r="A10512" s="59"/>
      <c r="B10512"/>
    </row>
    <row r="10513" spans="1:2">
      <c r="A10513" s="59"/>
      <c r="B10513"/>
    </row>
    <row r="10514" spans="1:2">
      <c r="A10514" s="59"/>
      <c r="B10514"/>
    </row>
    <row r="10515" spans="1:2">
      <c r="A10515" s="59"/>
      <c r="B10515"/>
    </row>
    <row r="10516" spans="1:2">
      <c r="A10516" s="59"/>
      <c r="B10516"/>
    </row>
    <row r="10517" spans="1:2">
      <c r="A10517" s="59"/>
      <c r="B10517"/>
    </row>
    <row r="10518" spans="1:2">
      <c r="A10518" s="59"/>
      <c r="B10518"/>
    </row>
    <row r="10519" spans="1:2">
      <c r="A10519" s="59"/>
      <c r="B10519"/>
    </row>
    <row r="10520" spans="1:2">
      <c r="A10520" s="59"/>
      <c r="B10520"/>
    </row>
    <row r="10521" spans="1:2">
      <c r="A10521" s="59"/>
      <c r="B10521"/>
    </row>
    <row r="10522" spans="1:2">
      <c r="A10522" s="59"/>
      <c r="B10522"/>
    </row>
    <row r="10523" spans="1:2">
      <c r="A10523" s="59"/>
      <c r="B10523"/>
    </row>
    <row r="10524" spans="1:2">
      <c r="A10524" s="59"/>
      <c r="B10524"/>
    </row>
    <row r="10525" spans="1:2">
      <c r="A10525" s="59"/>
      <c r="B10525"/>
    </row>
    <row r="10526" spans="1:2">
      <c r="A10526" s="59"/>
      <c r="B10526"/>
    </row>
    <row r="10527" spans="1:2">
      <c r="A10527" s="59"/>
      <c r="B10527"/>
    </row>
    <row r="10528" spans="1:2">
      <c r="A10528" s="59"/>
      <c r="B10528"/>
    </row>
    <row r="10529" spans="1:2">
      <c r="A10529" s="59"/>
      <c r="B10529"/>
    </row>
    <row r="10530" spans="1:2">
      <c r="A10530" s="59"/>
      <c r="B10530"/>
    </row>
    <row r="10531" spans="1:2">
      <c r="A10531" s="59"/>
      <c r="B10531"/>
    </row>
    <row r="10532" spans="1:2">
      <c r="A10532" s="59"/>
      <c r="B10532"/>
    </row>
    <row r="10533" spans="1:2">
      <c r="A10533" s="59"/>
      <c r="B10533"/>
    </row>
    <row r="10534" spans="1:2">
      <c r="A10534" s="59"/>
      <c r="B10534"/>
    </row>
    <row r="10535" spans="1:2">
      <c r="A10535" s="59"/>
      <c r="B10535"/>
    </row>
    <row r="10536" spans="1:2">
      <c r="A10536" s="59"/>
      <c r="B10536"/>
    </row>
    <row r="10537" spans="1:2">
      <c r="A10537" s="59"/>
      <c r="B10537"/>
    </row>
    <row r="10538" spans="1:2">
      <c r="A10538" s="59"/>
      <c r="B10538"/>
    </row>
    <row r="10539" spans="1:2">
      <c r="A10539" s="59"/>
      <c r="B10539"/>
    </row>
    <row r="10540" spans="1:2">
      <c r="A10540" s="59"/>
      <c r="B10540"/>
    </row>
    <row r="10541" spans="1:2">
      <c r="A10541" s="59"/>
      <c r="B10541"/>
    </row>
    <row r="10542" spans="1:2">
      <c r="A10542" s="59"/>
      <c r="B10542"/>
    </row>
    <row r="10543" spans="1:2">
      <c r="A10543" s="59"/>
      <c r="B10543"/>
    </row>
    <row r="10544" spans="1:2">
      <c r="A10544" s="59"/>
      <c r="B10544"/>
    </row>
    <row r="10545" spans="1:2">
      <c r="A10545" s="59"/>
      <c r="B10545"/>
    </row>
    <row r="10546" spans="1:2">
      <c r="A10546" s="59"/>
      <c r="B10546"/>
    </row>
    <row r="10547" spans="1:2">
      <c r="A10547" s="59"/>
      <c r="B10547"/>
    </row>
    <row r="10548" spans="1:2">
      <c r="A10548" s="59"/>
      <c r="B10548"/>
    </row>
    <row r="10549" spans="1:2">
      <c r="A10549" s="59"/>
      <c r="B10549"/>
    </row>
    <row r="10550" spans="1:2">
      <c r="A10550" s="59"/>
      <c r="B10550"/>
    </row>
    <row r="10551" spans="1:2">
      <c r="A10551" s="59"/>
      <c r="B10551"/>
    </row>
    <row r="10552" spans="1:2">
      <c r="A10552" s="59"/>
      <c r="B10552"/>
    </row>
    <row r="10553" spans="1:2">
      <c r="A10553" s="59"/>
      <c r="B10553"/>
    </row>
    <row r="10554" spans="1:2">
      <c r="A10554" s="59"/>
      <c r="B10554"/>
    </row>
    <row r="10555" spans="1:2">
      <c r="A10555" s="59"/>
      <c r="B10555"/>
    </row>
    <row r="10556" spans="1:2">
      <c r="A10556" s="59"/>
      <c r="B10556"/>
    </row>
    <row r="10557" spans="1:2">
      <c r="A10557" s="59"/>
      <c r="B10557"/>
    </row>
    <row r="10558" spans="1:2">
      <c r="A10558" s="59"/>
      <c r="B10558"/>
    </row>
    <row r="10559" spans="1:2">
      <c r="A10559" s="59"/>
      <c r="B10559"/>
    </row>
    <row r="10560" spans="1:2">
      <c r="A10560" s="59"/>
      <c r="B10560"/>
    </row>
    <row r="10561" spans="1:2">
      <c r="A10561" s="59"/>
      <c r="B10561"/>
    </row>
    <row r="10562" spans="1:2">
      <c r="A10562" s="59"/>
      <c r="B10562"/>
    </row>
    <row r="10563" spans="1:2">
      <c r="A10563" s="59"/>
      <c r="B10563"/>
    </row>
    <row r="10564" spans="1:2">
      <c r="A10564" s="59"/>
      <c r="B10564"/>
    </row>
    <row r="10565" spans="1:2">
      <c r="A10565" s="59"/>
      <c r="B10565"/>
    </row>
    <row r="10566" spans="1:2">
      <c r="A10566" s="59"/>
      <c r="B10566"/>
    </row>
    <row r="10567" spans="1:2">
      <c r="A10567" s="59"/>
      <c r="B10567"/>
    </row>
    <row r="10568" spans="1:2">
      <c r="A10568" s="59"/>
      <c r="B10568"/>
    </row>
    <row r="10569" spans="1:2">
      <c r="A10569" s="59"/>
      <c r="B10569"/>
    </row>
    <row r="10570" spans="1:2">
      <c r="A10570" s="59"/>
      <c r="B10570"/>
    </row>
    <row r="10571" spans="1:2">
      <c r="A10571" s="59"/>
      <c r="B10571"/>
    </row>
    <row r="10572" spans="1:2">
      <c r="A10572" s="59"/>
      <c r="B10572"/>
    </row>
    <row r="10573" spans="1:2">
      <c r="A10573" s="59"/>
      <c r="B10573"/>
    </row>
    <row r="10574" spans="1:2">
      <c r="A10574" s="59"/>
      <c r="B10574"/>
    </row>
    <row r="10575" spans="1:2">
      <c r="A10575" s="59"/>
      <c r="B10575"/>
    </row>
    <row r="10576" spans="1:2">
      <c r="A10576" s="59"/>
      <c r="B10576"/>
    </row>
    <row r="10577" spans="1:2">
      <c r="A10577" s="59"/>
      <c r="B10577"/>
    </row>
    <row r="10578" spans="1:2">
      <c r="A10578" s="59"/>
      <c r="B10578"/>
    </row>
    <row r="10579" spans="1:2">
      <c r="A10579" s="59"/>
      <c r="B10579"/>
    </row>
    <row r="10580" spans="1:2">
      <c r="A10580" s="59"/>
      <c r="B10580"/>
    </row>
    <row r="10581" spans="1:2">
      <c r="A10581" s="59"/>
      <c r="B10581"/>
    </row>
    <row r="10582" spans="1:2">
      <c r="A10582" s="59"/>
      <c r="B10582"/>
    </row>
    <row r="10583" spans="1:2">
      <c r="A10583" s="59"/>
      <c r="B10583"/>
    </row>
    <row r="10584" spans="1:2">
      <c r="A10584" s="59"/>
      <c r="B10584"/>
    </row>
    <row r="10585" spans="1:2">
      <c r="A10585" s="59"/>
      <c r="B10585"/>
    </row>
    <row r="10586" spans="1:2">
      <c r="A10586" s="59"/>
      <c r="B10586"/>
    </row>
    <row r="10587" spans="1:2">
      <c r="A10587" s="59"/>
      <c r="B10587"/>
    </row>
    <row r="10588" spans="1:2">
      <c r="A10588" s="59"/>
      <c r="B10588"/>
    </row>
    <row r="10589" spans="1:2">
      <c r="A10589" s="59"/>
      <c r="B10589"/>
    </row>
    <row r="10590" spans="1:2">
      <c r="A10590" s="59"/>
      <c r="B10590"/>
    </row>
    <row r="10591" spans="1:2">
      <c r="A10591" s="59"/>
      <c r="B10591"/>
    </row>
    <row r="10592" spans="1:2">
      <c r="A10592" s="59"/>
      <c r="B10592"/>
    </row>
    <row r="10593" spans="1:2">
      <c r="A10593" s="59"/>
      <c r="B10593"/>
    </row>
    <row r="10594" spans="1:2">
      <c r="A10594" s="59"/>
      <c r="B10594"/>
    </row>
    <row r="10595" spans="1:2">
      <c r="A10595" s="59"/>
      <c r="B10595"/>
    </row>
    <row r="10596" spans="1:2">
      <c r="A10596" s="59"/>
      <c r="B10596"/>
    </row>
    <row r="10597" spans="1:2">
      <c r="A10597" s="59"/>
      <c r="B10597"/>
    </row>
    <row r="10598" spans="1:2">
      <c r="A10598" s="59"/>
      <c r="B10598"/>
    </row>
    <row r="10599" spans="1:2">
      <c r="A10599" s="59"/>
      <c r="B10599"/>
    </row>
    <row r="10600" spans="1:2">
      <c r="A10600" s="59"/>
      <c r="B10600"/>
    </row>
    <row r="10601" spans="1:2">
      <c r="A10601" s="59"/>
      <c r="B10601"/>
    </row>
    <row r="10602" spans="1:2">
      <c r="A10602" s="59"/>
      <c r="B10602"/>
    </row>
    <row r="10603" spans="1:2">
      <c r="A10603" s="59"/>
      <c r="B10603"/>
    </row>
    <row r="10604" spans="1:2">
      <c r="A10604" s="59"/>
      <c r="B10604"/>
    </row>
    <row r="10605" spans="1:2">
      <c r="A10605" s="59"/>
      <c r="B10605"/>
    </row>
    <row r="10606" spans="1:2">
      <c r="A10606" s="59"/>
      <c r="B10606"/>
    </row>
    <row r="10607" spans="1:2">
      <c r="A10607" s="59"/>
      <c r="B10607"/>
    </row>
    <row r="10608" spans="1:2">
      <c r="A10608" s="59"/>
      <c r="B10608"/>
    </row>
    <row r="10609" spans="1:2">
      <c r="A10609" s="59"/>
      <c r="B10609"/>
    </row>
    <row r="10610" spans="1:2">
      <c r="A10610" s="59"/>
      <c r="B10610"/>
    </row>
    <row r="10611" spans="1:2">
      <c r="A10611" s="59"/>
      <c r="B10611"/>
    </row>
    <row r="10612" spans="1:2">
      <c r="A10612" s="59"/>
      <c r="B10612"/>
    </row>
    <row r="10613" spans="1:2">
      <c r="A10613" s="59"/>
      <c r="B10613"/>
    </row>
    <row r="10614" spans="1:2">
      <c r="A10614" s="59"/>
      <c r="B10614"/>
    </row>
    <row r="10615" spans="1:2">
      <c r="A10615" s="59"/>
      <c r="B10615"/>
    </row>
    <row r="10616" spans="1:2">
      <c r="A10616" s="59"/>
      <c r="B10616"/>
    </row>
    <row r="10617" spans="1:2">
      <c r="A10617" s="59"/>
      <c r="B10617"/>
    </row>
    <row r="10618" spans="1:2">
      <c r="A10618" s="59"/>
      <c r="B10618"/>
    </row>
    <row r="10619" spans="1:2">
      <c r="A10619" s="59"/>
      <c r="B10619"/>
    </row>
    <row r="10620" spans="1:2">
      <c r="A10620" s="59"/>
      <c r="B10620"/>
    </row>
    <row r="10621" spans="1:2">
      <c r="A10621" s="59"/>
      <c r="B10621"/>
    </row>
    <row r="10622" spans="1:2">
      <c r="A10622" s="59"/>
      <c r="B10622"/>
    </row>
    <row r="10623" spans="1:2">
      <c r="A10623" s="59"/>
      <c r="B10623"/>
    </row>
    <row r="10624" spans="1:2">
      <c r="A10624" s="59"/>
      <c r="B10624"/>
    </row>
    <row r="10625" spans="1:2">
      <c r="A10625" s="59"/>
      <c r="B10625"/>
    </row>
    <row r="10626" spans="1:2">
      <c r="A10626" s="59"/>
      <c r="B10626"/>
    </row>
    <row r="10627" spans="1:2">
      <c r="A10627" s="59"/>
      <c r="B10627"/>
    </row>
    <row r="10628" spans="1:2">
      <c r="A10628" s="59"/>
      <c r="B10628"/>
    </row>
    <row r="10629" spans="1:2">
      <c r="A10629" s="59"/>
      <c r="B10629"/>
    </row>
    <row r="10630" spans="1:2">
      <c r="A10630" s="59"/>
      <c r="B10630"/>
    </row>
    <row r="10631" spans="1:2">
      <c r="A10631" s="59"/>
      <c r="B10631"/>
    </row>
    <row r="10632" spans="1:2">
      <c r="A10632" s="59"/>
      <c r="B10632"/>
    </row>
    <row r="10633" spans="1:2">
      <c r="A10633" s="59"/>
      <c r="B10633"/>
    </row>
    <row r="10634" spans="1:2">
      <c r="A10634" s="59"/>
      <c r="B10634"/>
    </row>
    <row r="10635" spans="1:2">
      <c r="A10635" s="59"/>
      <c r="B10635"/>
    </row>
    <row r="10636" spans="1:2">
      <c r="A10636" s="59"/>
      <c r="B10636"/>
    </row>
    <row r="10637" spans="1:2">
      <c r="A10637" s="59"/>
      <c r="B10637"/>
    </row>
    <row r="10638" spans="1:2">
      <c r="A10638" s="59"/>
      <c r="B10638"/>
    </row>
    <row r="10639" spans="1:2">
      <c r="A10639" s="59"/>
      <c r="B10639"/>
    </row>
    <row r="10640" spans="1:2">
      <c r="A10640" s="59"/>
      <c r="B10640"/>
    </row>
    <row r="10641" spans="1:2">
      <c r="A10641" s="59"/>
      <c r="B10641"/>
    </row>
    <row r="10642" spans="1:2">
      <c r="A10642" s="59"/>
      <c r="B10642"/>
    </row>
    <row r="10643" spans="1:2">
      <c r="A10643" s="59"/>
      <c r="B10643"/>
    </row>
    <row r="10644" spans="1:2">
      <c r="A10644" s="59"/>
      <c r="B10644"/>
    </row>
    <row r="10645" spans="1:2">
      <c r="A10645" s="59"/>
      <c r="B10645"/>
    </row>
    <row r="10646" spans="1:2">
      <c r="A10646" s="59"/>
      <c r="B10646"/>
    </row>
    <row r="10647" spans="1:2">
      <c r="A10647" s="59"/>
      <c r="B10647"/>
    </row>
    <row r="10648" spans="1:2">
      <c r="A10648" s="59"/>
      <c r="B10648"/>
    </row>
    <row r="10649" spans="1:2">
      <c r="A10649" s="59"/>
      <c r="B10649"/>
    </row>
    <row r="10650" spans="1:2">
      <c r="A10650" s="59"/>
      <c r="B10650"/>
    </row>
    <row r="10651" spans="1:2">
      <c r="A10651" s="59"/>
      <c r="B10651"/>
    </row>
    <row r="10652" spans="1:2">
      <c r="A10652" s="59"/>
      <c r="B10652"/>
    </row>
    <row r="10653" spans="1:2">
      <c r="A10653" s="59"/>
      <c r="B10653"/>
    </row>
    <row r="10654" spans="1:2">
      <c r="A10654" s="59"/>
      <c r="B10654"/>
    </row>
    <row r="10655" spans="1:2">
      <c r="A10655" s="59"/>
      <c r="B10655"/>
    </row>
    <row r="10656" spans="1:2">
      <c r="A10656" s="59"/>
      <c r="B10656"/>
    </row>
    <row r="10657" spans="1:2">
      <c r="A10657" s="59"/>
      <c r="B10657"/>
    </row>
    <row r="10658" spans="1:2">
      <c r="A10658" s="59"/>
      <c r="B10658"/>
    </row>
    <row r="10659" spans="1:2">
      <c r="A10659" s="59"/>
      <c r="B10659"/>
    </row>
    <row r="10660" spans="1:2">
      <c r="A10660" s="59"/>
      <c r="B10660"/>
    </row>
    <row r="10661" spans="1:2">
      <c r="A10661" s="59"/>
      <c r="B10661"/>
    </row>
    <row r="10662" spans="1:2">
      <c r="A10662" s="59"/>
      <c r="B10662"/>
    </row>
    <row r="10663" spans="1:2">
      <c r="A10663" s="59"/>
      <c r="B10663"/>
    </row>
    <row r="10664" spans="1:2">
      <c r="A10664" s="59"/>
      <c r="B10664"/>
    </row>
    <row r="10665" spans="1:2">
      <c r="A10665" s="59"/>
      <c r="B10665"/>
    </row>
    <row r="10666" spans="1:2">
      <c r="A10666" s="59"/>
      <c r="B10666"/>
    </row>
    <row r="10667" spans="1:2">
      <c r="A10667" s="59"/>
      <c r="B10667"/>
    </row>
    <row r="10668" spans="1:2">
      <c r="A10668" s="59"/>
      <c r="B10668"/>
    </row>
    <row r="10669" spans="1:2">
      <c r="A10669" s="59"/>
      <c r="B10669"/>
    </row>
    <row r="10670" spans="1:2">
      <c r="A10670" s="59"/>
      <c r="B10670"/>
    </row>
    <row r="10671" spans="1:2">
      <c r="A10671" s="59"/>
      <c r="B10671"/>
    </row>
    <row r="10672" spans="1:2">
      <c r="A10672" s="59"/>
      <c r="B10672"/>
    </row>
    <row r="10673" spans="1:2">
      <c r="A10673" s="59"/>
      <c r="B10673"/>
    </row>
    <row r="10674" spans="1:2">
      <c r="A10674" s="59"/>
      <c r="B10674"/>
    </row>
    <row r="10675" spans="1:2">
      <c r="A10675" s="59"/>
      <c r="B10675"/>
    </row>
    <row r="10676" spans="1:2">
      <c r="A10676" s="59"/>
      <c r="B10676"/>
    </row>
    <row r="10677" spans="1:2">
      <c r="A10677" s="59"/>
      <c r="B10677"/>
    </row>
    <row r="10678" spans="1:2">
      <c r="A10678" s="59"/>
      <c r="B10678"/>
    </row>
    <row r="10679" spans="1:2">
      <c r="A10679" s="59"/>
      <c r="B10679"/>
    </row>
    <row r="10680" spans="1:2">
      <c r="A10680" s="59"/>
      <c r="B10680"/>
    </row>
    <row r="10681" spans="1:2">
      <c r="A10681" s="59"/>
      <c r="B10681"/>
    </row>
    <row r="10682" spans="1:2">
      <c r="A10682" s="59"/>
      <c r="B10682"/>
    </row>
    <row r="10683" spans="1:2">
      <c r="A10683" s="59"/>
      <c r="B10683"/>
    </row>
    <row r="10684" spans="1:2">
      <c r="A10684" s="59"/>
      <c r="B10684"/>
    </row>
    <row r="10685" spans="1:2">
      <c r="A10685" s="59"/>
      <c r="B10685"/>
    </row>
    <row r="10686" spans="1:2">
      <c r="A10686" s="59"/>
      <c r="B10686"/>
    </row>
    <row r="10687" spans="1:2">
      <c r="A10687" s="59"/>
      <c r="B10687"/>
    </row>
    <row r="10688" spans="1:2">
      <c r="A10688" s="59"/>
      <c r="B10688"/>
    </row>
    <row r="10689" spans="1:2">
      <c r="A10689" s="59"/>
      <c r="B10689"/>
    </row>
    <row r="10690" spans="1:2">
      <c r="A10690" s="59"/>
      <c r="B10690"/>
    </row>
    <row r="10691" spans="1:2">
      <c r="A10691" s="59"/>
      <c r="B10691"/>
    </row>
    <row r="10692" spans="1:2">
      <c r="A10692" s="59"/>
      <c r="B10692"/>
    </row>
    <row r="10693" spans="1:2">
      <c r="A10693" s="59"/>
      <c r="B10693"/>
    </row>
    <row r="10694" spans="1:2">
      <c r="A10694" s="59"/>
      <c r="B10694"/>
    </row>
    <row r="10695" spans="1:2">
      <c r="A10695" s="59"/>
      <c r="B10695"/>
    </row>
    <row r="10696" spans="1:2">
      <c r="A10696" s="59"/>
      <c r="B10696"/>
    </row>
    <row r="10697" spans="1:2">
      <c r="A10697" s="59"/>
      <c r="B10697"/>
    </row>
    <row r="10698" spans="1:2">
      <c r="A10698" s="59"/>
      <c r="B10698"/>
    </row>
    <row r="10699" spans="1:2">
      <c r="A10699" s="59"/>
      <c r="B10699"/>
    </row>
    <row r="10700" spans="1:2">
      <c r="A10700" s="59"/>
      <c r="B10700"/>
    </row>
    <row r="10701" spans="1:2">
      <c r="A10701" s="59"/>
      <c r="B10701"/>
    </row>
    <row r="10702" spans="1:2">
      <c r="A10702" s="59"/>
      <c r="B10702"/>
    </row>
    <row r="10703" spans="1:2">
      <c r="A10703" s="59"/>
      <c r="B10703"/>
    </row>
    <row r="10704" spans="1:2">
      <c r="A10704" s="59"/>
      <c r="B10704"/>
    </row>
    <row r="10705" spans="1:2">
      <c r="A10705" s="59"/>
      <c r="B10705"/>
    </row>
    <row r="10706" spans="1:2">
      <c r="A10706" s="59"/>
      <c r="B10706"/>
    </row>
    <row r="10707" spans="1:2">
      <c r="A10707" s="59"/>
      <c r="B10707"/>
    </row>
    <row r="10708" spans="1:2">
      <c r="A10708" s="59"/>
      <c r="B10708"/>
    </row>
    <row r="10709" spans="1:2">
      <c r="A10709" s="59"/>
      <c r="B10709"/>
    </row>
    <row r="10710" spans="1:2">
      <c r="A10710" s="59"/>
      <c r="B10710"/>
    </row>
    <row r="10711" spans="1:2">
      <c r="A10711" s="59"/>
      <c r="B10711"/>
    </row>
    <row r="10712" spans="1:2">
      <c r="A10712" s="59"/>
      <c r="B10712"/>
    </row>
    <row r="10713" spans="1:2">
      <c r="A10713" s="59"/>
      <c r="B10713"/>
    </row>
    <row r="10714" spans="1:2">
      <c r="A10714" s="59"/>
      <c r="B10714"/>
    </row>
    <row r="10715" spans="1:2">
      <c r="A10715" s="59"/>
      <c r="B10715"/>
    </row>
    <row r="10716" spans="1:2">
      <c r="A10716" s="59"/>
      <c r="B10716"/>
    </row>
    <row r="10717" spans="1:2">
      <c r="A10717" s="59"/>
      <c r="B10717"/>
    </row>
    <row r="10718" spans="1:2">
      <c r="A10718" s="59"/>
      <c r="B10718"/>
    </row>
    <row r="10719" spans="1:2">
      <c r="A10719" s="59"/>
      <c r="B10719"/>
    </row>
    <row r="10720" spans="1:2">
      <c r="A10720" s="59"/>
      <c r="B10720"/>
    </row>
    <row r="10721" spans="1:2">
      <c r="A10721" s="59"/>
      <c r="B10721"/>
    </row>
    <row r="10722" spans="1:2">
      <c r="A10722" s="59"/>
      <c r="B10722"/>
    </row>
    <row r="10723" spans="1:2">
      <c r="A10723" s="59"/>
      <c r="B10723"/>
    </row>
    <row r="10724" spans="1:2">
      <c r="A10724" s="59"/>
      <c r="B10724"/>
    </row>
    <row r="10725" spans="1:2">
      <c r="A10725" s="59"/>
      <c r="B10725"/>
    </row>
    <row r="10726" spans="1:2">
      <c r="A10726" s="59"/>
      <c r="B10726"/>
    </row>
    <row r="10727" spans="1:2">
      <c r="A10727" s="59"/>
      <c r="B10727"/>
    </row>
    <row r="10728" spans="1:2">
      <c r="A10728" s="59"/>
      <c r="B10728"/>
    </row>
    <row r="10729" spans="1:2">
      <c r="A10729" s="59"/>
      <c r="B10729"/>
    </row>
    <row r="10730" spans="1:2">
      <c r="A10730" s="59"/>
      <c r="B10730"/>
    </row>
    <row r="10731" spans="1:2">
      <c r="A10731" s="59"/>
      <c r="B10731"/>
    </row>
    <row r="10732" spans="1:2">
      <c r="A10732" s="59"/>
      <c r="B10732"/>
    </row>
    <row r="10733" spans="1:2">
      <c r="A10733" s="59"/>
      <c r="B10733"/>
    </row>
    <row r="10734" spans="1:2">
      <c r="A10734" s="59"/>
      <c r="B10734"/>
    </row>
    <row r="10735" spans="1:2">
      <c r="A10735" s="59"/>
      <c r="B10735"/>
    </row>
    <row r="10736" spans="1:2">
      <c r="A10736" s="59"/>
      <c r="B10736"/>
    </row>
    <row r="10737" spans="1:2">
      <c r="A10737" s="59"/>
      <c r="B10737"/>
    </row>
    <row r="10738" spans="1:2">
      <c r="A10738" s="59"/>
      <c r="B10738"/>
    </row>
    <row r="10739" spans="1:2">
      <c r="A10739" s="59"/>
      <c r="B10739"/>
    </row>
    <row r="10740" spans="1:2">
      <c r="A10740" s="59"/>
      <c r="B10740"/>
    </row>
    <row r="10741" spans="1:2">
      <c r="A10741" s="59"/>
      <c r="B10741"/>
    </row>
    <row r="10742" spans="1:2">
      <c r="A10742" s="59"/>
      <c r="B10742"/>
    </row>
    <row r="10743" spans="1:2">
      <c r="A10743" s="59"/>
      <c r="B10743"/>
    </row>
    <row r="10744" spans="1:2">
      <c r="A10744" s="59"/>
      <c r="B10744"/>
    </row>
    <row r="10745" spans="1:2">
      <c r="A10745" s="59"/>
      <c r="B10745"/>
    </row>
    <row r="10746" spans="1:2">
      <c r="A10746" s="59"/>
      <c r="B10746"/>
    </row>
    <row r="10747" spans="1:2">
      <c r="A10747" s="59"/>
      <c r="B10747"/>
    </row>
    <row r="10748" spans="1:2">
      <c r="A10748" s="59"/>
      <c r="B10748"/>
    </row>
    <row r="10749" spans="1:2">
      <c r="A10749" s="59"/>
      <c r="B10749"/>
    </row>
    <row r="10750" spans="1:2">
      <c r="A10750" s="59"/>
      <c r="B10750"/>
    </row>
    <row r="10751" spans="1:2">
      <c r="A10751" s="59"/>
      <c r="B10751"/>
    </row>
    <row r="10752" spans="1:2">
      <c r="A10752" s="59"/>
      <c r="B10752"/>
    </row>
    <row r="10753" spans="1:2">
      <c r="A10753" s="59"/>
      <c r="B10753"/>
    </row>
    <row r="10754" spans="1:2">
      <c r="A10754" s="59"/>
      <c r="B10754"/>
    </row>
    <row r="10755" spans="1:2">
      <c r="A10755" s="59"/>
      <c r="B10755"/>
    </row>
    <row r="10756" spans="1:2">
      <c r="A10756" s="59"/>
      <c r="B10756"/>
    </row>
    <row r="10757" spans="1:2">
      <c r="A10757" s="59"/>
      <c r="B10757"/>
    </row>
    <row r="10758" spans="1:2">
      <c r="A10758" s="59"/>
      <c r="B10758"/>
    </row>
    <row r="10759" spans="1:2">
      <c r="A10759" s="59"/>
      <c r="B10759"/>
    </row>
    <row r="10760" spans="1:2">
      <c r="A10760" s="59"/>
      <c r="B10760"/>
    </row>
    <row r="10761" spans="1:2">
      <c r="A10761" s="59"/>
      <c r="B10761"/>
    </row>
    <row r="10762" spans="1:2">
      <c r="A10762" s="59"/>
      <c r="B10762"/>
    </row>
    <row r="10763" spans="1:2">
      <c r="A10763" s="59"/>
      <c r="B10763"/>
    </row>
    <row r="10764" spans="1:2">
      <c r="A10764" s="59"/>
      <c r="B10764"/>
    </row>
    <row r="10765" spans="1:2">
      <c r="A10765" s="59"/>
      <c r="B10765"/>
    </row>
    <row r="10766" spans="1:2">
      <c r="A10766" s="59"/>
      <c r="B10766"/>
    </row>
    <row r="10767" spans="1:2">
      <c r="A10767" s="59"/>
      <c r="B10767"/>
    </row>
    <row r="10768" spans="1:2">
      <c r="A10768" s="59"/>
      <c r="B10768"/>
    </row>
    <row r="10769" spans="1:2">
      <c r="A10769" s="59"/>
      <c r="B10769"/>
    </row>
    <row r="10770" spans="1:2">
      <c r="A10770" s="59"/>
      <c r="B10770"/>
    </row>
    <row r="10771" spans="1:2">
      <c r="A10771" s="59"/>
      <c r="B10771"/>
    </row>
    <row r="10772" spans="1:2">
      <c r="A10772" s="59"/>
      <c r="B10772"/>
    </row>
    <row r="10773" spans="1:2">
      <c r="A10773" s="59"/>
      <c r="B10773"/>
    </row>
    <row r="10774" spans="1:2">
      <c r="A10774" s="59"/>
      <c r="B10774"/>
    </row>
    <row r="10775" spans="1:2">
      <c r="A10775" s="59"/>
      <c r="B10775"/>
    </row>
    <row r="10776" spans="1:2">
      <c r="A10776" s="59"/>
      <c r="B10776"/>
    </row>
    <row r="10777" spans="1:2">
      <c r="A10777" s="59"/>
      <c r="B10777"/>
    </row>
    <row r="10778" spans="1:2">
      <c r="A10778" s="59"/>
      <c r="B10778"/>
    </row>
    <row r="10779" spans="1:2">
      <c r="A10779" s="59"/>
      <c r="B10779"/>
    </row>
    <row r="10780" spans="1:2">
      <c r="A10780" s="59"/>
      <c r="B10780"/>
    </row>
    <row r="10781" spans="1:2">
      <c r="A10781" s="59"/>
      <c r="B10781"/>
    </row>
    <row r="10782" spans="1:2">
      <c r="A10782" s="59"/>
      <c r="B10782"/>
    </row>
    <row r="10783" spans="1:2">
      <c r="A10783" s="59"/>
      <c r="B10783"/>
    </row>
    <row r="10784" spans="1:2">
      <c r="A10784" s="59"/>
      <c r="B10784"/>
    </row>
    <row r="10785" spans="1:2">
      <c r="A10785" s="59"/>
      <c r="B10785"/>
    </row>
    <row r="10786" spans="1:2">
      <c r="A10786" s="59"/>
      <c r="B10786"/>
    </row>
    <row r="10787" spans="1:2">
      <c r="A10787" s="59"/>
      <c r="B10787"/>
    </row>
    <row r="10788" spans="1:2">
      <c r="A10788" s="59"/>
      <c r="B10788"/>
    </row>
    <row r="10789" spans="1:2">
      <c r="A10789" s="59"/>
      <c r="B10789"/>
    </row>
    <row r="10790" spans="1:2">
      <c r="A10790" s="59"/>
      <c r="B10790"/>
    </row>
    <row r="10791" spans="1:2">
      <c r="A10791" s="59"/>
      <c r="B10791"/>
    </row>
    <row r="10792" spans="1:2">
      <c r="A10792" s="59"/>
      <c r="B10792"/>
    </row>
    <row r="10793" spans="1:2">
      <c r="A10793" s="59"/>
      <c r="B10793"/>
    </row>
    <row r="10794" spans="1:2">
      <c r="A10794" s="59"/>
      <c r="B10794"/>
    </row>
    <row r="10795" spans="1:2">
      <c r="A10795" s="59"/>
      <c r="B10795"/>
    </row>
    <row r="10796" spans="1:2">
      <c r="A10796" s="59"/>
      <c r="B10796"/>
    </row>
    <row r="10797" spans="1:2">
      <c r="A10797" s="59"/>
      <c r="B10797"/>
    </row>
    <row r="10798" spans="1:2">
      <c r="A10798" s="59"/>
      <c r="B10798"/>
    </row>
    <row r="10799" spans="1:2">
      <c r="A10799" s="59"/>
      <c r="B10799"/>
    </row>
    <row r="10800" spans="1:2">
      <c r="A10800" s="59"/>
      <c r="B10800"/>
    </row>
    <row r="10801" spans="1:2">
      <c r="A10801" s="59"/>
      <c r="B10801"/>
    </row>
    <row r="10802" spans="1:2">
      <c r="A10802" s="59"/>
      <c r="B10802"/>
    </row>
    <row r="10803" spans="1:2">
      <c r="A10803" s="59"/>
      <c r="B10803"/>
    </row>
    <row r="10804" spans="1:2">
      <c r="A10804" s="59"/>
      <c r="B10804"/>
    </row>
    <row r="10805" spans="1:2">
      <c r="A10805" s="59"/>
      <c r="B10805"/>
    </row>
    <row r="10806" spans="1:2">
      <c r="A10806" s="59"/>
      <c r="B10806"/>
    </row>
    <row r="10807" spans="1:2">
      <c r="A10807" s="59"/>
      <c r="B10807"/>
    </row>
    <row r="10808" spans="1:2">
      <c r="A10808" s="59"/>
      <c r="B10808"/>
    </row>
    <row r="10809" spans="1:2">
      <c r="A10809" s="59"/>
      <c r="B10809"/>
    </row>
    <row r="10810" spans="1:2">
      <c r="A10810" s="59"/>
      <c r="B10810"/>
    </row>
    <row r="10811" spans="1:2">
      <c r="A10811" s="59"/>
      <c r="B10811"/>
    </row>
    <row r="10812" spans="1:2">
      <c r="A10812" s="59"/>
      <c r="B10812"/>
    </row>
    <row r="10813" spans="1:2">
      <c r="A10813" s="59"/>
      <c r="B10813"/>
    </row>
    <row r="10814" spans="1:2">
      <c r="A10814" s="59"/>
      <c r="B10814"/>
    </row>
    <row r="10815" spans="1:2">
      <c r="A10815" s="59"/>
      <c r="B10815"/>
    </row>
    <row r="10816" spans="1:2">
      <c r="A10816" s="59"/>
      <c r="B10816"/>
    </row>
    <row r="10817" spans="1:2">
      <c r="A10817" s="59"/>
      <c r="B10817"/>
    </row>
    <row r="10818" spans="1:2">
      <c r="A10818" s="59"/>
      <c r="B10818"/>
    </row>
    <row r="10819" spans="1:2">
      <c r="A10819" s="59"/>
      <c r="B10819"/>
    </row>
    <row r="10820" spans="1:2">
      <c r="A10820" s="59"/>
      <c r="B10820"/>
    </row>
    <row r="10821" spans="1:2">
      <c r="A10821" s="59"/>
      <c r="B10821"/>
    </row>
    <row r="10822" spans="1:2">
      <c r="A10822" s="59"/>
      <c r="B10822"/>
    </row>
    <row r="10823" spans="1:2">
      <c r="A10823" s="59"/>
      <c r="B10823"/>
    </row>
    <row r="10824" spans="1:2">
      <c r="A10824" s="59"/>
      <c r="B10824"/>
    </row>
    <row r="10825" spans="1:2">
      <c r="A10825" s="59"/>
      <c r="B10825"/>
    </row>
    <row r="10826" spans="1:2">
      <c r="A10826" s="59"/>
      <c r="B10826"/>
    </row>
    <row r="10827" spans="1:2">
      <c r="A10827" s="59"/>
      <c r="B10827"/>
    </row>
    <row r="10828" spans="1:2">
      <c r="A10828" s="59"/>
      <c r="B10828"/>
    </row>
    <row r="10829" spans="1:2">
      <c r="A10829" s="59"/>
      <c r="B10829"/>
    </row>
    <row r="10830" spans="1:2">
      <c r="A10830" s="59"/>
      <c r="B10830"/>
    </row>
    <row r="10831" spans="1:2">
      <c r="A10831" s="59"/>
      <c r="B10831"/>
    </row>
    <row r="10832" spans="1:2">
      <c r="A10832" s="59"/>
      <c r="B10832"/>
    </row>
    <row r="10833" spans="1:2">
      <c r="A10833" s="59"/>
      <c r="B10833"/>
    </row>
    <row r="10834" spans="1:2">
      <c r="A10834" s="59"/>
      <c r="B10834"/>
    </row>
    <row r="10835" spans="1:2">
      <c r="A10835" s="59"/>
      <c r="B10835"/>
    </row>
    <row r="10836" spans="1:2">
      <c r="A10836" s="59"/>
      <c r="B10836"/>
    </row>
    <row r="10837" spans="1:2">
      <c r="A10837" s="59"/>
      <c r="B10837"/>
    </row>
    <row r="10838" spans="1:2">
      <c r="A10838" s="59"/>
      <c r="B10838"/>
    </row>
    <row r="10839" spans="1:2">
      <c r="A10839" s="59"/>
      <c r="B10839"/>
    </row>
    <row r="10840" spans="1:2">
      <c r="A10840" s="59"/>
      <c r="B10840"/>
    </row>
    <row r="10841" spans="1:2">
      <c r="A10841" s="59"/>
      <c r="B10841"/>
    </row>
    <row r="10842" spans="1:2">
      <c r="A10842" s="59"/>
      <c r="B10842"/>
    </row>
    <row r="10843" spans="1:2">
      <c r="A10843" s="59"/>
      <c r="B10843"/>
    </row>
    <row r="10844" spans="1:2">
      <c r="A10844" s="59"/>
      <c r="B10844"/>
    </row>
    <row r="10845" spans="1:2">
      <c r="A10845" s="59"/>
      <c r="B10845"/>
    </row>
    <row r="10846" spans="1:2">
      <c r="A10846" s="59"/>
      <c r="B10846"/>
    </row>
    <row r="10847" spans="1:2">
      <c r="A10847" s="59"/>
      <c r="B10847"/>
    </row>
    <row r="10848" spans="1:2">
      <c r="A10848" s="59"/>
      <c r="B10848"/>
    </row>
    <row r="10849" spans="1:2">
      <c r="A10849" s="59"/>
      <c r="B10849"/>
    </row>
    <row r="10850" spans="1:2">
      <c r="A10850" s="59"/>
      <c r="B10850"/>
    </row>
    <row r="10851" spans="1:2">
      <c r="A10851" s="59"/>
      <c r="B10851"/>
    </row>
    <row r="10852" spans="1:2">
      <c r="A10852" s="59"/>
      <c r="B10852"/>
    </row>
    <row r="10853" spans="1:2">
      <c r="A10853" s="59"/>
      <c r="B10853"/>
    </row>
    <row r="10854" spans="1:2">
      <c r="A10854" s="59"/>
      <c r="B10854"/>
    </row>
    <row r="10855" spans="1:2">
      <c r="A10855" s="59"/>
      <c r="B10855"/>
    </row>
    <row r="10856" spans="1:2">
      <c r="A10856" s="59"/>
      <c r="B10856"/>
    </row>
    <row r="10857" spans="1:2">
      <c r="A10857" s="59"/>
      <c r="B10857"/>
    </row>
    <row r="10858" spans="1:2">
      <c r="A10858" s="59"/>
      <c r="B10858"/>
    </row>
    <row r="10859" spans="1:2">
      <c r="A10859" s="59"/>
      <c r="B10859"/>
    </row>
    <row r="10860" spans="1:2">
      <c r="A10860" s="59"/>
      <c r="B10860"/>
    </row>
    <row r="10861" spans="1:2">
      <c r="A10861" s="59"/>
      <c r="B10861"/>
    </row>
    <row r="10862" spans="1:2">
      <c r="A10862" s="59"/>
      <c r="B10862"/>
    </row>
    <row r="10863" spans="1:2">
      <c r="A10863" s="59"/>
      <c r="B10863"/>
    </row>
    <row r="10864" spans="1:2">
      <c r="A10864" s="59"/>
      <c r="B10864"/>
    </row>
    <row r="10865" spans="1:2">
      <c r="A10865" s="59"/>
      <c r="B10865"/>
    </row>
    <row r="10866" spans="1:2">
      <c r="A10866" s="59"/>
      <c r="B10866"/>
    </row>
    <row r="10867" spans="1:2">
      <c r="A10867" s="59"/>
      <c r="B10867"/>
    </row>
    <row r="10868" spans="1:2">
      <c r="A10868" s="59"/>
      <c r="B10868"/>
    </row>
    <row r="10869" spans="1:2">
      <c r="A10869" s="59"/>
      <c r="B10869"/>
    </row>
    <row r="10870" spans="1:2">
      <c r="A10870" s="59"/>
      <c r="B10870"/>
    </row>
    <row r="10871" spans="1:2">
      <c r="A10871" s="59"/>
      <c r="B10871"/>
    </row>
    <row r="10872" spans="1:2">
      <c r="A10872" s="59"/>
      <c r="B10872"/>
    </row>
    <row r="10873" spans="1:2">
      <c r="A10873" s="59"/>
      <c r="B10873"/>
    </row>
    <row r="10874" spans="1:2">
      <c r="A10874" s="59"/>
      <c r="B10874"/>
    </row>
    <row r="10875" spans="1:2">
      <c r="A10875" s="59"/>
      <c r="B10875"/>
    </row>
    <row r="10876" spans="1:2">
      <c r="A10876" s="59"/>
      <c r="B10876"/>
    </row>
    <row r="10877" spans="1:2">
      <c r="A10877" s="59"/>
      <c r="B10877"/>
    </row>
    <row r="10878" spans="1:2">
      <c r="A10878" s="59"/>
      <c r="B10878"/>
    </row>
    <row r="10879" spans="1:2">
      <c r="A10879" s="59"/>
      <c r="B10879"/>
    </row>
    <row r="10880" spans="1:2">
      <c r="A10880" s="59"/>
      <c r="B10880"/>
    </row>
    <row r="10881" spans="1:2">
      <c r="A10881" s="59"/>
      <c r="B10881"/>
    </row>
    <row r="10882" spans="1:2">
      <c r="A10882" s="59"/>
      <c r="B10882"/>
    </row>
    <row r="10883" spans="1:2">
      <c r="A10883" s="59"/>
      <c r="B10883"/>
    </row>
    <row r="10884" spans="1:2">
      <c r="A10884" s="59"/>
      <c r="B10884"/>
    </row>
    <row r="10885" spans="1:2">
      <c r="A10885" s="59"/>
      <c r="B10885"/>
    </row>
    <row r="10886" spans="1:2">
      <c r="A10886" s="59"/>
      <c r="B10886"/>
    </row>
    <row r="10887" spans="1:2">
      <c r="A10887" s="59"/>
      <c r="B10887"/>
    </row>
    <row r="10888" spans="1:2">
      <c r="A10888" s="59"/>
      <c r="B10888"/>
    </row>
    <row r="10889" spans="1:2">
      <c r="A10889" s="59"/>
      <c r="B10889"/>
    </row>
    <row r="10890" spans="1:2">
      <c r="A10890" s="59"/>
      <c r="B10890"/>
    </row>
    <row r="10891" spans="1:2">
      <c r="A10891" s="59"/>
      <c r="B10891"/>
    </row>
    <row r="10892" spans="1:2">
      <c r="A10892" s="59"/>
      <c r="B10892"/>
    </row>
    <row r="10893" spans="1:2">
      <c r="A10893" s="59"/>
      <c r="B10893"/>
    </row>
    <row r="10894" spans="1:2">
      <c r="A10894" s="59"/>
      <c r="B10894"/>
    </row>
    <row r="10895" spans="1:2">
      <c r="A10895" s="59"/>
      <c r="B10895"/>
    </row>
    <row r="10896" spans="1:2">
      <c r="A10896" s="59"/>
      <c r="B10896"/>
    </row>
    <row r="10897" spans="1:2">
      <c r="A10897" s="59"/>
      <c r="B10897"/>
    </row>
    <row r="10898" spans="1:2">
      <c r="A10898" s="59"/>
      <c r="B10898"/>
    </row>
    <row r="10899" spans="1:2">
      <c r="A10899" s="59"/>
      <c r="B10899"/>
    </row>
    <row r="10900" spans="1:2">
      <c r="A10900" s="59"/>
      <c r="B10900"/>
    </row>
    <row r="10901" spans="1:2">
      <c r="A10901" s="59"/>
      <c r="B10901"/>
    </row>
    <row r="10902" spans="1:2">
      <c r="A10902" s="59"/>
      <c r="B10902"/>
    </row>
    <row r="10903" spans="1:2">
      <c r="A10903" s="59"/>
      <c r="B10903"/>
    </row>
    <row r="10904" spans="1:2">
      <c r="A10904" s="59"/>
      <c r="B10904"/>
    </row>
    <row r="10905" spans="1:2">
      <c r="A10905" s="59"/>
      <c r="B10905"/>
    </row>
    <row r="10906" spans="1:2">
      <c r="A10906" s="59"/>
      <c r="B10906"/>
    </row>
    <row r="10907" spans="1:2">
      <c r="A10907" s="59"/>
      <c r="B10907"/>
    </row>
    <row r="10908" spans="1:2">
      <c r="A10908" s="59"/>
      <c r="B10908"/>
    </row>
    <row r="10909" spans="1:2">
      <c r="A10909" s="59"/>
      <c r="B10909"/>
    </row>
    <row r="10910" spans="1:2">
      <c r="A10910" s="59"/>
      <c r="B10910"/>
    </row>
    <row r="10911" spans="1:2">
      <c r="A10911" s="59"/>
      <c r="B10911"/>
    </row>
    <row r="10912" spans="1:2">
      <c r="A10912" s="59"/>
      <c r="B10912"/>
    </row>
    <row r="10913" spans="1:2">
      <c r="A10913" s="59"/>
      <c r="B10913"/>
    </row>
    <row r="10914" spans="1:2">
      <c r="A10914" s="59"/>
      <c r="B10914"/>
    </row>
    <row r="10915" spans="1:2">
      <c r="A10915" s="59"/>
      <c r="B10915"/>
    </row>
    <row r="10916" spans="1:2">
      <c r="A10916" s="59"/>
      <c r="B10916"/>
    </row>
    <row r="10917" spans="1:2">
      <c r="A10917" s="59"/>
      <c r="B10917"/>
    </row>
    <row r="10918" spans="1:2">
      <c r="A10918" s="59"/>
      <c r="B10918"/>
    </row>
    <row r="10919" spans="1:2">
      <c r="A10919" s="59"/>
      <c r="B10919"/>
    </row>
    <row r="10920" spans="1:2">
      <c r="A10920" s="59"/>
      <c r="B10920"/>
    </row>
    <row r="10921" spans="1:2">
      <c r="A10921" s="59"/>
      <c r="B10921"/>
    </row>
    <row r="10922" spans="1:2">
      <c r="A10922" s="59"/>
      <c r="B10922"/>
    </row>
    <row r="10923" spans="1:2">
      <c r="A10923" s="59"/>
      <c r="B10923"/>
    </row>
    <row r="10924" spans="1:2">
      <c r="A10924" s="59"/>
      <c r="B10924"/>
    </row>
    <row r="10925" spans="1:2">
      <c r="A10925" s="59"/>
      <c r="B10925"/>
    </row>
    <row r="10926" spans="1:2">
      <c r="A10926" s="59"/>
      <c r="B10926"/>
    </row>
    <row r="10927" spans="1:2">
      <c r="A10927" s="59"/>
      <c r="B10927"/>
    </row>
    <row r="10928" spans="1:2">
      <c r="A10928" s="59"/>
      <c r="B10928"/>
    </row>
    <row r="10929" spans="1:2">
      <c r="A10929" s="59"/>
      <c r="B10929"/>
    </row>
    <row r="10930" spans="1:2">
      <c r="A10930" s="59"/>
      <c r="B10930"/>
    </row>
    <row r="10931" spans="1:2">
      <c r="A10931" s="59"/>
      <c r="B10931"/>
    </row>
    <row r="10932" spans="1:2">
      <c r="A10932" s="59"/>
      <c r="B10932"/>
    </row>
    <row r="10933" spans="1:2">
      <c r="A10933" s="59"/>
      <c r="B10933"/>
    </row>
    <row r="10934" spans="1:2">
      <c r="A10934" s="59"/>
      <c r="B10934"/>
    </row>
    <row r="10935" spans="1:2">
      <c r="A10935" s="59"/>
      <c r="B10935"/>
    </row>
    <row r="10936" spans="1:2">
      <c r="A10936" s="59"/>
      <c r="B10936"/>
    </row>
    <row r="10937" spans="1:2">
      <c r="A10937" s="59"/>
      <c r="B10937"/>
    </row>
    <row r="10938" spans="1:2">
      <c r="A10938" s="59"/>
      <c r="B10938"/>
    </row>
    <row r="10939" spans="1:2">
      <c r="A10939" s="59"/>
      <c r="B10939"/>
    </row>
    <row r="10940" spans="1:2">
      <c r="A10940" s="59"/>
      <c r="B10940"/>
    </row>
    <row r="10941" spans="1:2">
      <c r="A10941" s="59"/>
      <c r="B10941"/>
    </row>
    <row r="10942" spans="1:2">
      <c r="A10942" s="59"/>
      <c r="B10942"/>
    </row>
    <row r="10943" spans="1:2">
      <c r="A10943" s="59"/>
      <c r="B10943"/>
    </row>
    <row r="10944" spans="1:2">
      <c r="A10944" s="59"/>
      <c r="B10944"/>
    </row>
    <row r="10945" spans="1:2">
      <c r="A10945" s="59"/>
      <c r="B10945"/>
    </row>
    <row r="10946" spans="1:2">
      <c r="A10946" s="59"/>
      <c r="B10946"/>
    </row>
    <row r="10947" spans="1:2">
      <c r="A10947" s="59"/>
      <c r="B10947"/>
    </row>
    <row r="10948" spans="1:2">
      <c r="A10948" s="59"/>
      <c r="B10948"/>
    </row>
    <row r="10949" spans="1:2">
      <c r="A10949" s="59"/>
      <c r="B10949"/>
    </row>
    <row r="10950" spans="1:2">
      <c r="A10950" s="59"/>
      <c r="B10950"/>
    </row>
    <row r="10951" spans="1:2">
      <c r="A10951" s="59"/>
      <c r="B10951"/>
    </row>
    <row r="10952" spans="1:2">
      <c r="A10952" s="59"/>
      <c r="B10952"/>
    </row>
    <row r="10953" spans="1:2">
      <c r="A10953" s="59"/>
      <c r="B10953"/>
    </row>
    <row r="10954" spans="1:2">
      <c r="A10954" s="59"/>
      <c r="B10954"/>
    </row>
    <row r="10955" spans="1:2">
      <c r="A10955" s="59"/>
      <c r="B10955"/>
    </row>
    <row r="10956" spans="1:2">
      <c r="A10956" s="59"/>
      <c r="B10956"/>
    </row>
    <row r="10957" spans="1:2">
      <c r="A10957" s="59"/>
      <c r="B10957"/>
    </row>
    <row r="10958" spans="1:2">
      <c r="A10958" s="59"/>
      <c r="B10958"/>
    </row>
    <row r="10959" spans="1:2">
      <c r="A10959" s="59"/>
      <c r="B10959"/>
    </row>
    <row r="10960" spans="1:2">
      <c r="A10960" s="59"/>
      <c r="B10960"/>
    </row>
    <row r="10961" spans="1:2">
      <c r="A10961" s="59"/>
      <c r="B10961"/>
    </row>
    <row r="10962" spans="1:2">
      <c r="A10962" s="59"/>
      <c r="B10962"/>
    </row>
    <row r="10963" spans="1:2">
      <c r="A10963" s="59"/>
      <c r="B10963"/>
    </row>
    <row r="10964" spans="1:2">
      <c r="A10964" s="59"/>
      <c r="B10964"/>
    </row>
    <row r="10965" spans="1:2">
      <c r="A10965" s="59"/>
      <c r="B10965"/>
    </row>
    <row r="10966" spans="1:2">
      <c r="A10966" s="59"/>
      <c r="B10966"/>
    </row>
    <row r="10967" spans="1:2">
      <c r="A10967" s="59"/>
      <c r="B10967"/>
    </row>
    <row r="10968" spans="1:2">
      <c r="A10968" s="59"/>
      <c r="B10968"/>
    </row>
    <row r="10969" spans="1:2">
      <c r="A10969" s="59"/>
      <c r="B10969"/>
    </row>
    <row r="10970" spans="1:2">
      <c r="A10970" s="59"/>
      <c r="B10970"/>
    </row>
    <row r="10971" spans="1:2">
      <c r="A10971" s="59"/>
      <c r="B10971"/>
    </row>
    <row r="10972" spans="1:2">
      <c r="A10972" s="59"/>
      <c r="B10972"/>
    </row>
    <row r="10973" spans="1:2">
      <c r="A10973" s="59"/>
      <c r="B10973"/>
    </row>
    <row r="10974" spans="1:2">
      <c r="A10974" s="59"/>
      <c r="B10974"/>
    </row>
    <row r="10975" spans="1:2">
      <c r="A10975" s="59"/>
      <c r="B10975"/>
    </row>
    <row r="10976" spans="1:2">
      <c r="A10976" s="59"/>
      <c r="B10976"/>
    </row>
    <row r="10977" spans="1:2">
      <c r="A10977" s="59"/>
      <c r="B10977"/>
    </row>
    <row r="10978" spans="1:2">
      <c r="A10978" s="59"/>
      <c r="B10978"/>
    </row>
    <row r="10979" spans="1:2">
      <c r="A10979" s="59"/>
      <c r="B10979"/>
    </row>
    <row r="10980" spans="1:2">
      <c r="A10980" s="59"/>
      <c r="B10980"/>
    </row>
    <row r="10981" spans="1:2">
      <c r="A10981" s="59"/>
      <c r="B10981"/>
    </row>
    <row r="10982" spans="1:2">
      <c r="A10982" s="59"/>
      <c r="B10982"/>
    </row>
    <row r="10983" spans="1:2">
      <c r="A10983" s="59"/>
      <c r="B10983"/>
    </row>
    <row r="10984" spans="1:2">
      <c r="A10984" s="59"/>
      <c r="B10984"/>
    </row>
    <row r="10985" spans="1:2">
      <c r="A10985" s="59"/>
      <c r="B10985"/>
    </row>
    <row r="10986" spans="1:2">
      <c r="A10986" s="59"/>
      <c r="B10986"/>
    </row>
    <row r="10987" spans="1:2">
      <c r="A10987" s="59"/>
      <c r="B10987"/>
    </row>
    <row r="10988" spans="1:2">
      <c r="A10988" s="59"/>
      <c r="B10988"/>
    </row>
    <row r="10989" spans="1:2">
      <c r="A10989" s="59"/>
      <c r="B10989"/>
    </row>
    <row r="10990" spans="1:2">
      <c r="A10990" s="59"/>
      <c r="B10990"/>
    </row>
    <row r="10991" spans="1:2">
      <c r="A10991" s="59"/>
      <c r="B10991"/>
    </row>
    <row r="10992" spans="1:2">
      <c r="A10992" s="59"/>
      <c r="B10992"/>
    </row>
    <row r="10993" spans="1:2">
      <c r="A10993" s="59"/>
      <c r="B10993"/>
    </row>
    <row r="10994" spans="1:2">
      <c r="A10994" s="59"/>
      <c r="B10994"/>
    </row>
    <row r="10995" spans="1:2">
      <c r="A10995" s="59"/>
      <c r="B10995"/>
    </row>
    <row r="10996" spans="1:2">
      <c r="A10996" s="59"/>
      <c r="B10996"/>
    </row>
    <row r="10997" spans="1:2">
      <c r="A10997" s="59"/>
      <c r="B10997"/>
    </row>
    <row r="10998" spans="1:2">
      <c r="A10998" s="59"/>
      <c r="B10998"/>
    </row>
    <row r="10999" spans="1:2">
      <c r="A10999" s="59"/>
      <c r="B10999"/>
    </row>
    <row r="11000" spans="1:2">
      <c r="A11000" s="59"/>
      <c r="B11000"/>
    </row>
    <row r="11001" spans="1:2">
      <c r="A11001" s="59"/>
      <c r="B11001"/>
    </row>
    <row r="11002" spans="1:2">
      <c r="A11002" s="59"/>
      <c r="B11002"/>
    </row>
    <row r="11003" spans="1:2">
      <c r="A11003" s="59"/>
      <c r="B11003"/>
    </row>
    <row r="11004" spans="1:2">
      <c r="A11004" s="59"/>
      <c r="B11004"/>
    </row>
    <row r="11005" spans="1:2">
      <c r="A11005" s="59"/>
      <c r="B11005"/>
    </row>
    <row r="11006" spans="1:2">
      <c r="A11006" s="59"/>
      <c r="B11006"/>
    </row>
    <row r="11007" spans="1:2">
      <c r="A11007" s="59"/>
      <c r="B11007"/>
    </row>
    <row r="11008" spans="1:2">
      <c r="A11008" s="59"/>
      <c r="B11008"/>
    </row>
    <row r="11009" spans="1:2">
      <c r="A11009" s="59"/>
      <c r="B11009"/>
    </row>
    <row r="11010" spans="1:2">
      <c r="A11010" s="59"/>
      <c r="B11010"/>
    </row>
    <row r="11011" spans="1:2">
      <c r="A11011" s="59"/>
      <c r="B11011"/>
    </row>
    <row r="11012" spans="1:2">
      <c r="A11012" s="59"/>
      <c r="B11012"/>
    </row>
    <row r="11013" spans="1:2">
      <c r="A11013" s="59"/>
      <c r="B11013"/>
    </row>
    <row r="11014" spans="1:2">
      <c r="A11014" s="59"/>
      <c r="B11014"/>
    </row>
    <row r="11015" spans="1:2">
      <c r="A11015" s="59"/>
      <c r="B11015"/>
    </row>
    <row r="11016" spans="1:2">
      <c r="A11016" s="59"/>
      <c r="B11016"/>
    </row>
    <row r="11017" spans="1:2">
      <c r="A11017" s="59"/>
      <c r="B11017"/>
    </row>
    <row r="11018" spans="1:2">
      <c r="A11018" s="59"/>
      <c r="B11018"/>
    </row>
    <row r="11019" spans="1:2">
      <c r="A11019" s="59"/>
      <c r="B11019"/>
    </row>
    <row r="11020" spans="1:2">
      <c r="A11020" s="59"/>
      <c r="B11020"/>
    </row>
    <row r="11021" spans="1:2">
      <c r="A11021" s="59"/>
      <c r="B11021"/>
    </row>
    <row r="11022" spans="1:2">
      <c r="A11022" s="59"/>
      <c r="B11022"/>
    </row>
    <row r="11023" spans="1:2">
      <c r="A11023" s="59"/>
      <c r="B11023"/>
    </row>
    <row r="11024" spans="1:2">
      <c r="A11024" s="59"/>
      <c r="B11024"/>
    </row>
    <row r="11025" spans="1:2">
      <c r="A11025" s="59"/>
      <c r="B11025"/>
    </row>
    <row r="11026" spans="1:2">
      <c r="A11026" s="59"/>
      <c r="B11026"/>
    </row>
    <row r="11027" spans="1:2">
      <c r="A11027" s="59"/>
      <c r="B11027"/>
    </row>
    <row r="11028" spans="1:2">
      <c r="A11028" s="59"/>
      <c r="B11028"/>
    </row>
    <row r="11029" spans="1:2">
      <c r="A11029" s="59"/>
      <c r="B11029"/>
    </row>
    <row r="11030" spans="1:2">
      <c r="A11030" s="59"/>
      <c r="B11030"/>
    </row>
    <row r="11031" spans="1:2">
      <c r="A11031" s="59"/>
      <c r="B11031"/>
    </row>
    <row r="11032" spans="1:2">
      <c r="A11032" s="59"/>
      <c r="B11032"/>
    </row>
    <row r="11033" spans="1:2">
      <c r="A11033" s="59"/>
      <c r="B11033"/>
    </row>
    <row r="11034" spans="1:2">
      <c r="A11034" s="59"/>
      <c r="B11034"/>
    </row>
    <row r="11035" spans="1:2">
      <c r="A11035" s="59"/>
      <c r="B11035"/>
    </row>
    <row r="11036" spans="1:2">
      <c r="A11036" s="59"/>
      <c r="B11036"/>
    </row>
    <row r="11037" spans="1:2">
      <c r="A11037" s="59"/>
      <c r="B11037"/>
    </row>
    <row r="11038" spans="1:2">
      <c r="A11038" s="59"/>
      <c r="B11038"/>
    </row>
    <row r="11039" spans="1:2">
      <c r="A11039" s="59"/>
      <c r="B11039"/>
    </row>
    <row r="11040" spans="1:2">
      <c r="A11040" s="59"/>
      <c r="B11040"/>
    </row>
    <row r="11041" spans="1:2">
      <c r="A11041" s="59"/>
      <c r="B11041"/>
    </row>
    <row r="11042" spans="1:2">
      <c r="A11042" s="59"/>
      <c r="B11042"/>
    </row>
    <row r="11043" spans="1:2">
      <c r="A11043" s="59"/>
      <c r="B11043"/>
    </row>
    <row r="11044" spans="1:2">
      <c r="A11044" s="59"/>
      <c r="B11044"/>
    </row>
    <row r="11045" spans="1:2">
      <c r="A11045" s="59"/>
      <c r="B11045"/>
    </row>
    <row r="11046" spans="1:2">
      <c r="A11046" s="59"/>
      <c r="B11046"/>
    </row>
    <row r="11047" spans="1:2">
      <c r="A11047" s="59"/>
      <c r="B11047"/>
    </row>
    <row r="11048" spans="1:2">
      <c r="A11048" s="59"/>
      <c r="B11048"/>
    </row>
    <row r="11049" spans="1:2">
      <c r="A11049" s="59"/>
      <c r="B11049"/>
    </row>
    <row r="11050" spans="1:2">
      <c r="A11050" s="59"/>
      <c r="B11050"/>
    </row>
    <row r="11051" spans="1:2">
      <c r="A11051" s="59"/>
      <c r="B11051"/>
    </row>
    <row r="11052" spans="1:2">
      <c r="A11052" s="59"/>
      <c r="B11052"/>
    </row>
    <row r="11053" spans="1:2">
      <c r="A11053" s="59"/>
      <c r="B11053"/>
    </row>
    <row r="11054" spans="1:2">
      <c r="A11054" s="59"/>
      <c r="B11054"/>
    </row>
    <row r="11055" spans="1:2">
      <c r="A11055" s="59"/>
      <c r="B11055"/>
    </row>
    <row r="11056" spans="1:2">
      <c r="A11056" s="59"/>
      <c r="B11056"/>
    </row>
    <row r="11057" spans="1:2">
      <c r="A11057" s="59"/>
      <c r="B11057"/>
    </row>
    <row r="11058" spans="1:2">
      <c r="A11058" s="59"/>
      <c r="B11058"/>
    </row>
    <row r="11059" spans="1:2">
      <c r="A11059" s="59"/>
      <c r="B11059"/>
    </row>
    <row r="11060" spans="1:2">
      <c r="A11060" s="59"/>
      <c r="B11060"/>
    </row>
    <row r="11061" spans="1:2">
      <c r="A11061" s="59"/>
      <c r="B11061"/>
    </row>
    <row r="11062" spans="1:2">
      <c r="A11062" s="59"/>
      <c r="B11062"/>
    </row>
    <row r="11063" spans="1:2">
      <c r="A11063" s="59"/>
      <c r="B11063"/>
    </row>
    <row r="11064" spans="1:2">
      <c r="A11064" s="59"/>
      <c r="B11064"/>
    </row>
    <row r="11065" spans="1:2">
      <c r="A11065" s="59"/>
      <c r="B11065"/>
    </row>
    <row r="11066" spans="1:2">
      <c r="A11066" s="59"/>
      <c r="B11066"/>
    </row>
    <row r="11067" spans="1:2">
      <c r="A11067" s="59"/>
      <c r="B11067"/>
    </row>
    <row r="11068" spans="1:2">
      <c r="A11068" s="59"/>
      <c r="B11068"/>
    </row>
    <row r="11069" spans="1:2">
      <c r="A11069" s="59"/>
      <c r="B11069"/>
    </row>
    <row r="11070" spans="1:2">
      <c r="A11070" s="59"/>
      <c r="B11070"/>
    </row>
    <row r="11071" spans="1:2">
      <c r="A11071" s="59"/>
      <c r="B11071"/>
    </row>
    <row r="11072" spans="1:2">
      <c r="A11072" s="59"/>
      <c r="B11072"/>
    </row>
    <row r="11073" spans="1:2">
      <c r="A11073" s="59"/>
      <c r="B11073"/>
    </row>
    <row r="11074" spans="1:2">
      <c r="A11074" s="59"/>
      <c r="B11074"/>
    </row>
    <row r="11075" spans="1:2">
      <c r="A11075" s="59"/>
      <c r="B11075"/>
    </row>
    <row r="11076" spans="1:2">
      <c r="A11076" s="59"/>
      <c r="B11076"/>
    </row>
    <row r="11077" spans="1:2">
      <c r="A11077" s="59"/>
      <c r="B11077"/>
    </row>
    <row r="11078" spans="1:2">
      <c r="A11078" s="59"/>
      <c r="B11078"/>
    </row>
    <row r="11079" spans="1:2">
      <c r="A11079" s="59"/>
      <c r="B11079"/>
    </row>
    <row r="11080" spans="1:2">
      <c r="A11080" s="59"/>
      <c r="B11080"/>
    </row>
    <row r="11081" spans="1:2">
      <c r="A11081" s="59"/>
      <c r="B11081"/>
    </row>
    <row r="11082" spans="1:2">
      <c r="A11082" s="59"/>
      <c r="B11082"/>
    </row>
    <row r="11083" spans="1:2">
      <c r="A11083" s="59"/>
      <c r="B11083"/>
    </row>
    <row r="11084" spans="1:2">
      <c r="A11084" s="59"/>
      <c r="B11084"/>
    </row>
    <row r="11085" spans="1:2">
      <c r="A11085" s="59"/>
      <c r="B11085"/>
    </row>
    <row r="11086" spans="1:2">
      <c r="A11086" s="59"/>
      <c r="B11086"/>
    </row>
    <row r="11087" spans="1:2">
      <c r="A11087" s="59"/>
      <c r="B11087"/>
    </row>
    <row r="11088" spans="1:2">
      <c r="A11088" s="59"/>
      <c r="B11088"/>
    </row>
    <row r="11089" spans="1:2">
      <c r="A11089" s="59"/>
      <c r="B11089"/>
    </row>
    <row r="11090" spans="1:2">
      <c r="A11090" s="59"/>
      <c r="B11090"/>
    </row>
    <row r="11091" spans="1:2">
      <c r="A11091" s="59"/>
      <c r="B11091"/>
    </row>
    <row r="11092" spans="1:2">
      <c r="A11092" s="59"/>
      <c r="B11092"/>
    </row>
    <row r="11093" spans="1:2">
      <c r="A11093" s="59"/>
      <c r="B11093"/>
    </row>
    <row r="11094" spans="1:2">
      <c r="A11094" s="59"/>
      <c r="B11094"/>
    </row>
    <row r="11095" spans="1:2">
      <c r="A11095" s="59"/>
      <c r="B11095"/>
    </row>
    <row r="11096" spans="1:2">
      <c r="A11096" s="59"/>
      <c r="B11096"/>
    </row>
    <row r="11097" spans="1:2">
      <c r="A11097" s="59"/>
      <c r="B11097"/>
    </row>
    <row r="11098" spans="1:2">
      <c r="A11098" s="59"/>
      <c r="B11098"/>
    </row>
    <row r="11099" spans="1:2">
      <c r="A11099" s="59"/>
      <c r="B11099"/>
    </row>
    <row r="11100" spans="1:2">
      <c r="A11100" s="59"/>
      <c r="B11100"/>
    </row>
    <row r="11101" spans="1:2">
      <c r="A11101" s="59"/>
      <c r="B11101"/>
    </row>
    <row r="11102" spans="1:2">
      <c r="A11102" s="59"/>
      <c r="B11102"/>
    </row>
    <row r="11103" spans="1:2">
      <c r="A11103" s="59"/>
      <c r="B11103"/>
    </row>
    <row r="11104" spans="1:2">
      <c r="A11104" s="59"/>
      <c r="B11104"/>
    </row>
    <row r="11105" spans="1:2">
      <c r="A11105" s="59"/>
      <c r="B11105"/>
    </row>
    <row r="11106" spans="1:2">
      <c r="A11106" s="59"/>
      <c r="B11106"/>
    </row>
    <row r="11107" spans="1:2">
      <c r="A11107" s="59"/>
      <c r="B11107"/>
    </row>
    <row r="11108" spans="1:2">
      <c r="A11108" s="59"/>
      <c r="B11108"/>
    </row>
    <row r="11109" spans="1:2">
      <c r="A11109" s="59"/>
      <c r="B11109"/>
    </row>
    <row r="11110" spans="1:2">
      <c r="A11110" s="59"/>
      <c r="B11110"/>
    </row>
    <row r="11111" spans="1:2">
      <c r="A11111" s="59"/>
      <c r="B11111"/>
    </row>
    <row r="11112" spans="1:2">
      <c r="A11112" s="59"/>
      <c r="B11112"/>
    </row>
    <row r="11113" spans="1:2">
      <c r="A11113" s="59"/>
      <c r="B11113"/>
    </row>
    <row r="11114" spans="1:2">
      <c r="A11114" s="59"/>
      <c r="B11114"/>
    </row>
    <row r="11115" spans="1:2">
      <c r="A11115" s="59"/>
      <c r="B11115"/>
    </row>
    <row r="11116" spans="1:2">
      <c r="A11116" s="59"/>
      <c r="B11116"/>
    </row>
    <row r="11117" spans="1:2">
      <c r="A11117" s="59"/>
      <c r="B11117"/>
    </row>
    <row r="11118" spans="1:2">
      <c r="A11118" s="59"/>
      <c r="B11118"/>
    </row>
    <row r="11119" spans="1:2">
      <c r="A11119" s="59"/>
      <c r="B11119"/>
    </row>
    <row r="11120" spans="1:2">
      <c r="A11120" s="59"/>
      <c r="B11120"/>
    </row>
    <row r="11121" spans="1:2">
      <c r="A11121" s="59"/>
      <c r="B11121"/>
    </row>
    <row r="11122" spans="1:2">
      <c r="A11122" s="59"/>
      <c r="B11122"/>
    </row>
    <row r="11123" spans="1:2">
      <c r="A11123" s="59"/>
      <c r="B11123"/>
    </row>
    <row r="11124" spans="1:2">
      <c r="A11124" s="59"/>
      <c r="B11124"/>
    </row>
    <row r="11125" spans="1:2">
      <c r="A11125" s="59"/>
      <c r="B11125"/>
    </row>
    <row r="11126" spans="1:2">
      <c r="A11126" s="59"/>
      <c r="B11126"/>
    </row>
    <row r="11127" spans="1:2">
      <c r="A11127" s="59"/>
      <c r="B11127"/>
    </row>
    <row r="11128" spans="1:2">
      <c r="A11128" s="59"/>
      <c r="B11128"/>
    </row>
    <row r="11129" spans="1:2">
      <c r="A11129" s="59"/>
      <c r="B11129"/>
    </row>
    <row r="11130" spans="1:2">
      <c r="A11130" s="59"/>
      <c r="B11130"/>
    </row>
    <row r="11131" spans="1:2">
      <c r="A11131" s="59"/>
      <c r="B11131"/>
    </row>
    <row r="11132" spans="1:2">
      <c r="A11132" s="59"/>
      <c r="B11132"/>
    </row>
    <row r="11133" spans="1:2">
      <c r="A11133" s="59"/>
      <c r="B11133"/>
    </row>
    <row r="11134" spans="1:2">
      <c r="A11134" s="59"/>
      <c r="B11134"/>
    </row>
    <row r="11135" spans="1:2">
      <c r="A11135" s="59"/>
      <c r="B11135"/>
    </row>
    <row r="11136" spans="1:2">
      <c r="A11136" s="59"/>
      <c r="B11136"/>
    </row>
    <row r="11137" spans="1:2">
      <c r="A11137" s="59"/>
      <c r="B11137"/>
    </row>
    <row r="11138" spans="1:2">
      <c r="A11138" s="59"/>
      <c r="B11138"/>
    </row>
    <row r="11139" spans="1:2">
      <c r="A11139" s="59"/>
      <c r="B11139"/>
    </row>
    <row r="11140" spans="1:2">
      <c r="A11140" s="59"/>
      <c r="B11140"/>
    </row>
    <row r="11141" spans="1:2">
      <c r="A11141" s="59"/>
      <c r="B11141"/>
    </row>
    <row r="11142" spans="1:2">
      <c r="A11142" s="59"/>
      <c r="B11142"/>
    </row>
    <row r="11143" spans="1:2">
      <c r="A11143" s="59"/>
      <c r="B11143"/>
    </row>
    <row r="11144" spans="1:2">
      <c r="A11144" s="59"/>
      <c r="B11144"/>
    </row>
    <row r="11145" spans="1:2">
      <c r="A11145" s="59"/>
      <c r="B11145"/>
    </row>
    <row r="11146" spans="1:2">
      <c r="A11146" s="59"/>
      <c r="B11146"/>
    </row>
    <row r="11147" spans="1:2">
      <c r="A11147" s="59"/>
      <c r="B11147"/>
    </row>
    <row r="11148" spans="1:2">
      <c r="A11148" s="59"/>
      <c r="B11148"/>
    </row>
    <row r="11149" spans="1:2">
      <c r="A11149" s="59"/>
      <c r="B11149"/>
    </row>
    <row r="11150" spans="1:2">
      <c r="A11150" s="59"/>
      <c r="B11150"/>
    </row>
    <row r="11151" spans="1:2">
      <c r="A11151" s="59"/>
      <c r="B11151"/>
    </row>
    <row r="11152" spans="1:2">
      <c r="A11152" s="59"/>
      <c r="B11152"/>
    </row>
    <row r="11153" spans="1:2">
      <c r="A11153" s="59"/>
      <c r="B11153"/>
    </row>
    <row r="11154" spans="1:2">
      <c r="A11154" s="59"/>
      <c r="B11154"/>
    </row>
    <row r="11155" spans="1:2">
      <c r="A11155" s="59"/>
      <c r="B11155"/>
    </row>
    <row r="11156" spans="1:2">
      <c r="A11156" s="59"/>
      <c r="B11156"/>
    </row>
    <row r="11157" spans="1:2">
      <c r="A11157" s="59"/>
      <c r="B11157"/>
    </row>
    <row r="11158" spans="1:2">
      <c r="A11158" s="59"/>
      <c r="B11158"/>
    </row>
    <row r="11159" spans="1:2">
      <c r="A11159" s="59"/>
      <c r="B11159"/>
    </row>
    <row r="11160" spans="1:2">
      <c r="A11160" s="59"/>
      <c r="B11160"/>
    </row>
    <row r="11161" spans="1:2">
      <c r="A11161" s="59"/>
      <c r="B11161"/>
    </row>
    <row r="11162" spans="1:2">
      <c r="A11162" s="59"/>
      <c r="B11162"/>
    </row>
    <row r="11163" spans="1:2">
      <c r="A11163" s="59"/>
      <c r="B11163"/>
    </row>
    <row r="11164" spans="1:2">
      <c r="A11164" s="59"/>
      <c r="B11164"/>
    </row>
    <row r="11165" spans="1:2">
      <c r="A11165" s="59"/>
      <c r="B11165"/>
    </row>
    <row r="11166" spans="1:2">
      <c r="A11166" s="59"/>
      <c r="B11166"/>
    </row>
    <row r="11167" spans="1:2">
      <c r="A11167" s="59"/>
      <c r="B11167"/>
    </row>
    <row r="11168" spans="1:2">
      <c r="A11168" s="59"/>
      <c r="B11168"/>
    </row>
    <row r="11169" spans="1:2">
      <c r="A11169" s="59"/>
      <c r="B11169"/>
    </row>
    <row r="11170" spans="1:2">
      <c r="A11170" s="59"/>
      <c r="B11170"/>
    </row>
    <row r="11171" spans="1:2">
      <c r="A11171" s="59"/>
      <c r="B11171"/>
    </row>
    <row r="11172" spans="1:2">
      <c r="A11172" s="59"/>
      <c r="B11172"/>
    </row>
    <row r="11173" spans="1:2">
      <c r="A11173" s="59"/>
      <c r="B11173"/>
    </row>
    <row r="11174" spans="1:2">
      <c r="A11174" s="59"/>
      <c r="B11174"/>
    </row>
    <row r="11175" spans="1:2">
      <c r="A11175" s="59"/>
      <c r="B11175"/>
    </row>
    <row r="11176" spans="1:2">
      <c r="A11176" s="59"/>
      <c r="B11176"/>
    </row>
    <row r="11177" spans="1:2">
      <c r="A11177" s="59"/>
      <c r="B11177"/>
    </row>
    <row r="11178" spans="1:2">
      <c r="A11178" s="59"/>
      <c r="B11178"/>
    </row>
    <row r="11179" spans="1:2">
      <c r="A11179" s="59"/>
      <c r="B11179"/>
    </row>
    <row r="11180" spans="1:2">
      <c r="A11180" s="59"/>
      <c r="B11180"/>
    </row>
    <row r="11181" spans="1:2">
      <c r="A11181" s="59"/>
      <c r="B11181"/>
    </row>
    <row r="11182" spans="1:2">
      <c r="A11182" s="59"/>
      <c r="B11182"/>
    </row>
    <row r="11183" spans="1:2">
      <c r="A11183" s="59"/>
      <c r="B11183"/>
    </row>
    <row r="11184" spans="1:2">
      <c r="A11184" s="59"/>
      <c r="B11184"/>
    </row>
    <row r="11185" spans="1:2">
      <c r="A11185" s="59"/>
      <c r="B11185"/>
    </row>
    <row r="11186" spans="1:2">
      <c r="A11186" s="59"/>
      <c r="B11186"/>
    </row>
    <row r="11187" spans="1:2">
      <c r="A11187" s="59"/>
      <c r="B11187"/>
    </row>
    <row r="11188" spans="1:2">
      <c r="A11188" s="59"/>
      <c r="B11188"/>
    </row>
    <row r="11189" spans="1:2">
      <c r="A11189" s="59"/>
      <c r="B11189"/>
    </row>
    <row r="11190" spans="1:2">
      <c r="A11190" s="59"/>
      <c r="B11190"/>
    </row>
    <row r="11191" spans="1:2">
      <c r="A11191" s="59"/>
      <c r="B11191"/>
    </row>
    <row r="11192" spans="1:2">
      <c r="A11192" s="59"/>
      <c r="B11192"/>
    </row>
    <row r="11193" spans="1:2">
      <c r="A11193" s="59"/>
      <c r="B11193"/>
    </row>
    <row r="11194" spans="1:2">
      <c r="A11194" s="59"/>
      <c r="B11194"/>
    </row>
    <row r="11195" spans="1:2">
      <c r="A11195" s="59"/>
      <c r="B11195"/>
    </row>
    <row r="11196" spans="1:2">
      <c r="A11196" s="59"/>
      <c r="B11196"/>
    </row>
    <row r="11197" spans="1:2">
      <c r="A11197" s="59"/>
      <c r="B11197"/>
    </row>
    <row r="11198" spans="1:2">
      <c r="A11198" s="59"/>
      <c r="B11198"/>
    </row>
    <row r="11199" spans="1:2">
      <c r="A11199" s="59"/>
      <c r="B11199"/>
    </row>
    <row r="11200" spans="1:2">
      <c r="A11200" s="59"/>
      <c r="B11200"/>
    </row>
    <row r="11201" spans="1:2">
      <c r="A11201" s="59"/>
      <c r="B11201"/>
    </row>
    <row r="11202" spans="1:2">
      <c r="A11202" s="59"/>
      <c r="B11202"/>
    </row>
    <row r="11203" spans="1:2">
      <c r="A11203" s="59"/>
      <c r="B11203"/>
    </row>
    <row r="11204" spans="1:2">
      <c r="A11204" s="59"/>
      <c r="B11204"/>
    </row>
    <row r="11205" spans="1:2">
      <c r="A11205" s="59"/>
      <c r="B11205"/>
    </row>
    <row r="11206" spans="1:2">
      <c r="A11206" s="59"/>
      <c r="B11206"/>
    </row>
    <row r="11207" spans="1:2">
      <c r="A11207" s="59"/>
      <c r="B11207"/>
    </row>
    <row r="11208" spans="1:2">
      <c r="A11208" s="59"/>
      <c r="B11208"/>
    </row>
    <row r="11209" spans="1:2">
      <c r="A11209" s="59"/>
      <c r="B11209"/>
    </row>
    <row r="11210" spans="1:2">
      <c r="A11210" s="59"/>
      <c r="B11210"/>
    </row>
    <row r="11211" spans="1:2">
      <c r="A11211" s="59"/>
      <c r="B11211"/>
    </row>
    <row r="11212" spans="1:2">
      <c r="A11212" s="59"/>
      <c r="B11212"/>
    </row>
    <row r="11213" spans="1:2">
      <c r="A11213" s="59"/>
      <c r="B11213"/>
    </row>
    <row r="11214" spans="1:2">
      <c r="A11214" s="59"/>
      <c r="B11214"/>
    </row>
    <row r="11215" spans="1:2">
      <c r="A11215" s="59"/>
      <c r="B11215"/>
    </row>
    <row r="11216" spans="1:2">
      <c r="A11216" s="59"/>
      <c r="B11216"/>
    </row>
    <row r="11217" spans="1:2">
      <c r="A11217" s="59"/>
      <c r="B11217"/>
    </row>
    <row r="11218" spans="1:2">
      <c r="A11218" s="59"/>
      <c r="B11218"/>
    </row>
    <row r="11219" spans="1:2">
      <c r="A11219" s="59"/>
      <c r="B11219"/>
    </row>
    <row r="11220" spans="1:2">
      <c r="A11220" s="59"/>
      <c r="B11220"/>
    </row>
    <row r="11221" spans="1:2">
      <c r="A11221" s="59"/>
      <c r="B11221"/>
    </row>
    <row r="11222" spans="1:2">
      <c r="A11222" s="59"/>
      <c r="B11222"/>
    </row>
    <row r="11223" spans="1:2">
      <c r="A11223" s="59"/>
      <c r="B11223"/>
    </row>
    <row r="11224" spans="1:2">
      <c r="A11224" s="59"/>
      <c r="B11224"/>
    </row>
    <row r="11225" spans="1:2">
      <c r="A11225" s="59"/>
      <c r="B11225"/>
    </row>
    <row r="11226" spans="1:2">
      <c r="A11226" s="59"/>
      <c r="B11226"/>
    </row>
    <row r="11227" spans="1:2">
      <c r="A11227" s="59"/>
      <c r="B11227"/>
    </row>
    <row r="11228" spans="1:2">
      <c r="A11228" s="59"/>
      <c r="B11228"/>
    </row>
    <row r="11229" spans="1:2">
      <c r="A11229" s="59"/>
      <c r="B11229"/>
    </row>
    <row r="11230" spans="1:2">
      <c r="A11230" s="59"/>
      <c r="B11230"/>
    </row>
    <row r="11231" spans="1:2">
      <c r="A11231" s="59"/>
      <c r="B11231"/>
    </row>
    <row r="11232" spans="1:2">
      <c r="A11232" s="59"/>
      <c r="B11232"/>
    </row>
    <row r="11233" spans="1:2">
      <c r="A11233" s="59"/>
      <c r="B11233"/>
    </row>
    <row r="11234" spans="1:2">
      <c r="A11234" s="59"/>
      <c r="B11234"/>
    </row>
    <row r="11235" spans="1:2">
      <c r="A11235" s="59"/>
      <c r="B11235"/>
    </row>
    <row r="11236" spans="1:2">
      <c r="A11236" s="59"/>
      <c r="B11236"/>
    </row>
    <row r="11237" spans="1:2">
      <c r="A11237" s="59"/>
      <c r="B11237"/>
    </row>
    <row r="11238" spans="1:2">
      <c r="A11238" s="59"/>
      <c r="B11238"/>
    </row>
    <row r="11239" spans="1:2">
      <c r="A11239" s="59"/>
      <c r="B11239"/>
    </row>
    <row r="11240" spans="1:2">
      <c r="A11240" s="59"/>
      <c r="B11240"/>
    </row>
    <row r="11241" spans="1:2">
      <c r="A11241" s="59"/>
      <c r="B11241"/>
    </row>
    <row r="11242" spans="1:2">
      <c r="A11242" s="59"/>
      <c r="B11242"/>
    </row>
    <row r="11243" spans="1:2">
      <c r="A11243" s="59"/>
      <c r="B11243"/>
    </row>
    <row r="11244" spans="1:2">
      <c r="A11244" s="59"/>
      <c r="B11244"/>
    </row>
    <row r="11245" spans="1:2">
      <c r="A11245" s="59"/>
      <c r="B11245"/>
    </row>
    <row r="11246" spans="1:2">
      <c r="A11246" s="59"/>
      <c r="B11246"/>
    </row>
    <row r="11247" spans="1:2">
      <c r="A11247" s="59"/>
      <c r="B11247"/>
    </row>
    <row r="11248" spans="1:2">
      <c r="A11248" s="59"/>
      <c r="B11248"/>
    </row>
    <row r="11249" spans="1:2">
      <c r="A11249" s="59"/>
      <c r="B11249"/>
    </row>
    <row r="11250" spans="1:2">
      <c r="A11250" s="59"/>
      <c r="B11250"/>
    </row>
    <row r="11251" spans="1:2">
      <c r="A11251" s="59"/>
      <c r="B11251"/>
    </row>
    <row r="11252" spans="1:2">
      <c r="A11252" s="59"/>
      <c r="B11252"/>
    </row>
    <row r="11253" spans="1:2">
      <c r="A11253" s="59"/>
      <c r="B11253"/>
    </row>
    <row r="11254" spans="1:2">
      <c r="A11254" s="59"/>
      <c r="B11254"/>
    </row>
    <row r="11255" spans="1:2">
      <c r="A11255" s="59"/>
      <c r="B11255"/>
    </row>
    <row r="11256" spans="1:2">
      <c r="A11256" s="59"/>
      <c r="B11256"/>
    </row>
    <row r="11257" spans="1:2">
      <c r="A11257" s="59"/>
      <c r="B11257"/>
    </row>
    <row r="11258" spans="1:2">
      <c r="A11258" s="59"/>
      <c r="B11258"/>
    </row>
    <row r="11259" spans="1:2">
      <c r="A11259" s="59"/>
      <c r="B11259"/>
    </row>
    <row r="11260" spans="1:2">
      <c r="A11260" s="59"/>
      <c r="B11260"/>
    </row>
    <row r="11261" spans="1:2">
      <c r="A11261" s="59"/>
      <c r="B11261"/>
    </row>
    <row r="11262" spans="1:2">
      <c r="A11262" s="59"/>
      <c r="B11262"/>
    </row>
    <row r="11263" spans="1:2">
      <c r="A11263" s="59"/>
      <c r="B11263"/>
    </row>
    <row r="11264" spans="1:2">
      <c r="A11264" s="59"/>
      <c r="B11264"/>
    </row>
    <row r="11265" spans="1:2">
      <c r="A11265" s="59"/>
      <c r="B11265"/>
    </row>
    <row r="11266" spans="1:2">
      <c r="A11266" s="59"/>
      <c r="B11266"/>
    </row>
    <row r="11267" spans="1:2">
      <c r="A11267" s="59"/>
      <c r="B11267"/>
    </row>
    <row r="11268" spans="1:2">
      <c r="A11268" s="59"/>
      <c r="B11268"/>
    </row>
    <row r="11269" spans="1:2">
      <c r="A11269" s="59"/>
      <c r="B11269"/>
    </row>
    <row r="11270" spans="1:2">
      <c r="A11270" s="59"/>
      <c r="B11270"/>
    </row>
    <row r="11271" spans="1:2">
      <c r="A11271" s="59"/>
      <c r="B11271"/>
    </row>
    <row r="11272" spans="1:2">
      <c r="A11272" s="59"/>
      <c r="B11272"/>
    </row>
    <row r="11273" spans="1:2">
      <c r="A11273" s="59"/>
      <c r="B11273"/>
    </row>
    <row r="11274" spans="1:2">
      <c r="A11274" s="59"/>
      <c r="B11274"/>
    </row>
    <row r="11275" spans="1:2">
      <c r="A11275" s="59"/>
      <c r="B11275"/>
    </row>
    <row r="11276" spans="1:2">
      <c r="A11276" s="59"/>
      <c r="B11276"/>
    </row>
    <row r="11277" spans="1:2">
      <c r="A11277" s="59"/>
      <c r="B11277"/>
    </row>
    <row r="11278" spans="1:2">
      <c r="A11278" s="59"/>
      <c r="B11278"/>
    </row>
    <row r="11279" spans="1:2">
      <c r="A11279" s="59"/>
      <c r="B11279"/>
    </row>
    <row r="11280" spans="1:2">
      <c r="A11280" s="59"/>
      <c r="B11280"/>
    </row>
    <row r="11281" spans="1:2">
      <c r="A11281" s="59"/>
      <c r="B11281"/>
    </row>
    <row r="11282" spans="1:2">
      <c r="A11282" s="59"/>
      <c r="B11282"/>
    </row>
    <row r="11283" spans="1:2">
      <c r="A11283" s="59"/>
      <c r="B11283"/>
    </row>
    <row r="11284" spans="1:2">
      <c r="A11284" s="59"/>
      <c r="B11284"/>
    </row>
    <row r="11285" spans="1:2">
      <c r="A11285" s="59"/>
      <c r="B11285"/>
    </row>
    <row r="11286" spans="1:2">
      <c r="A11286" s="59"/>
      <c r="B11286"/>
    </row>
    <row r="11287" spans="1:2">
      <c r="A11287" s="59"/>
      <c r="B11287"/>
    </row>
    <row r="11288" spans="1:2">
      <c r="A11288" s="59"/>
      <c r="B11288"/>
    </row>
    <row r="11289" spans="1:2">
      <c r="A11289" s="59"/>
      <c r="B11289"/>
    </row>
    <row r="11290" spans="1:2">
      <c r="A11290" s="59"/>
      <c r="B11290"/>
    </row>
    <row r="11291" spans="1:2">
      <c r="A11291" s="59"/>
      <c r="B11291"/>
    </row>
    <row r="11292" spans="1:2">
      <c r="A11292" s="59"/>
      <c r="B11292"/>
    </row>
    <row r="11293" spans="1:2">
      <c r="A11293" s="59"/>
      <c r="B11293"/>
    </row>
    <row r="11294" spans="1:2">
      <c r="A11294" s="59"/>
      <c r="B11294"/>
    </row>
    <row r="11295" spans="1:2">
      <c r="A11295" s="59"/>
      <c r="B11295"/>
    </row>
    <row r="11296" spans="1:2">
      <c r="A11296" s="59"/>
      <c r="B11296"/>
    </row>
    <row r="11297" spans="1:2">
      <c r="A11297" s="59"/>
      <c r="B11297"/>
    </row>
    <row r="11298" spans="1:2">
      <c r="A11298" s="59"/>
      <c r="B11298"/>
    </row>
    <row r="11299" spans="1:2">
      <c r="A11299" s="59"/>
      <c r="B11299"/>
    </row>
    <row r="11300" spans="1:2">
      <c r="A11300" s="59"/>
      <c r="B11300"/>
    </row>
    <row r="11301" spans="1:2">
      <c r="A11301" s="59"/>
      <c r="B11301"/>
    </row>
    <row r="11302" spans="1:2">
      <c r="A11302" s="59"/>
      <c r="B11302"/>
    </row>
    <row r="11303" spans="1:2">
      <c r="A11303" s="59"/>
      <c r="B11303"/>
    </row>
    <row r="11304" spans="1:2">
      <c r="A11304" s="59"/>
      <c r="B11304"/>
    </row>
    <row r="11305" spans="1:2">
      <c r="A11305" s="59"/>
      <c r="B11305"/>
    </row>
    <row r="11306" spans="1:2">
      <c r="A11306" s="59"/>
      <c r="B11306"/>
    </row>
    <row r="11307" spans="1:2">
      <c r="A11307" s="59"/>
      <c r="B11307"/>
    </row>
    <row r="11308" spans="1:2">
      <c r="A11308" s="59"/>
      <c r="B11308"/>
    </row>
    <row r="11309" spans="1:2">
      <c r="A11309" s="59"/>
      <c r="B11309"/>
    </row>
    <row r="11310" spans="1:2">
      <c r="A11310" s="59"/>
      <c r="B11310"/>
    </row>
    <row r="11311" spans="1:2">
      <c r="A11311" s="59"/>
      <c r="B11311"/>
    </row>
    <row r="11312" spans="1:2">
      <c r="A11312" s="59"/>
      <c r="B11312"/>
    </row>
    <row r="11313" spans="1:2">
      <c r="A11313" s="59"/>
      <c r="B11313"/>
    </row>
    <row r="11314" spans="1:2">
      <c r="A11314" s="59"/>
      <c r="B11314"/>
    </row>
    <row r="11315" spans="1:2">
      <c r="A11315" s="59"/>
      <c r="B11315"/>
    </row>
    <row r="11316" spans="1:2">
      <c r="A11316" s="59"/>
      <c r="B11316"/>
    </row>
    <row r="11317" spans="1:2">
      <c r="A11317" s="59"/>
      <c r="B11317"/>
    </row>
    <row r="11318" spans="1:2">
      <c r="A11318" s="59"/>
      <c r="B11318"/>
    </row>
    <row r="11319" spans="1:2">
      <c r="A11319" s="59"/>
      <c r="B11319"/>
    </row>
    <row r="11320" spans="1:2">
      <c r="A11320" s="59"/>
      <c r="B11320"/>
    </row>
    <row r="11321" spans="1:2">
      <c r="A11321" s="59"/>
      <c r="B11321"/>
    </row>
    <row r="11322" spans="1:2">
      <c r="A11322" s="59"/>
      <c r="B11322"/>
    </row>
    <row r="11323" spans="1:2">
      <c r="A11323" s="59"/>
      <c r="B11323"/>
    </row>
    <row r="11324" spans="1:2">
      <c r="A11324" s="59"/>
      <c r="B11324"/>
    </row>
    <row r="11325" spans="1:2">
      <c r="A11325" s="59"/>
      <c r="B11325"/>
    </row>
    <row r="11326" spans="1:2">
      <c r="A11326" s="59"/>
      <c r="B11326"/>
    </row>
    <row r="11327" spans="1:2">
      <c r="A11327" s="59"/>
      <c r="B11327"/>
    </row>
    <row r="11328" spans="1:2">
      <c r="A11328" s="59"/>
      <c r="B11328"/>
    </row>
    <row r="11329" spans="1:2">
      <c r="A11329" s="59"/>
      <c r="B11329"/>
    </row>
    <row r="11330" spans="1:2">
      <c r="A11330" s="59"/>
      <c r="B11330"/>
    </row>
    <row r="11331" spans="1:2">
      <c r="A11331" s="59"/>
      <c r="B11331"/>
    </row>
    <row r="11332" spans="1:2">
      <c r="A11332" s="59"/>
      <c r="B11332"/>
    </row>
    <row r="11333" spans="1:2">
      <c r="A11333" s="59"/>
      <c r="B11333"/>
    </row>
    <row r="11334" spans="1:2">
      <c r="A11334" s="59"/>
      <c r="B11334"/>
    </row>
    <row r="11335" spans="1:2">
      <c r="A11335" s="59"/>
      <c r="B11335"/>
    </row>
    <row r="11336" spans="1:2">
      <c r="A11336" s="59"/>
      <c r="B11336"/>
    </row>
    <row r="11337" spans="1:2">
      <c r="A11337" s="59"/>
      <c r="B11337"/>
    </row>
    <row r="11338" spans="1:2">
      <c r="A11338" s="59"/>
      <c r="B11338"/>
    </row>
    <row r="11339" spans="1:2">
      <c r="A11339" s="59"/>
      <c r="B11339"/>
    </row>
    <row r="11340" spans="1:2">
      <c r="A11340" s="59"/>
      <c r="B11340"/>
    </row>
    <row r="11341" spans="1:2">
      <c r="A11341" s="59"/>
      <c r="B11341"/>
    </row>
    <row r="11342" spans="1:2">
      <c r="A11342" s="59"/>
      <c r="B11342"/>
    </row>
    <row r="11343" spans="1:2">
      <c r="A11343" s="59"/>
      <c r="B11343"/>
    </row>
    <row r="11344" spans="1:2">
      <c r="A11344" s="59"/>
      <c r="B11344"/>
    </row>
    <row r="11345" spans="1:2">
      <c r="A11345" s="59"/>
      <c r="B11345"/>
    </row>
    <row r="11346" spans="1:2">
      <c r="A11346" s="59"/>
      <c r="B11346"/>
    </row>
    <row r="11347" spans="1:2">
      <c r="A11347" s="59"/>
      <c r="B11347"/>
    </row>
    <row r="11348" spans="1:2">
      <c r="A11348" s="59"/>
      <c r="B11348"/>
    </row>
    <row r="11349" spans="1:2">
      <c r="A11349" s="59"/>
      <c r="B11349"/>
    </row>
    <row r="11350" spans="1:2">
      <c r="A11350" s="59"/>
      <c r="B11350"/>
    </row>
    <row r="11351" spans="1:2">
      <c r="A11351" s="59"/>
      <c r="B11351"/>
    </row>
    <row r="11352" spans="1:2">
      <c r="A11352" s="59"/>
      <c r="B11352"/>
    </row>
    <row r="11353" spans="1:2">
      <c r="A11353" s="59"/>
      <c r="B11353"/>
    </row>
    <row r="11354" spans="1:2">
      <c r="A11354" s="59"/>
      <c r="B11354"/>
    </row>
    <row r="11355" spans="1:2">
      <c r="A11355" s="59"/>
      <c r="B11355"/>
    </row>
    <row r="11356" spans="1:2">
      <c r="A11356" s="59"/>
      <c r="B11356"/>
    </row>
    <row r="11357" spans="1:2">
      <c r="A11357" s="59"/>
      <c r="B11357"/>
    </row>
    <row r="11358" spans="1:2">
      <c r="A11358" s="59"/>
      <c r="B11358"/>
    </row>
    <row r="11359" spans="1:2">
      <c r="A11359" s="59"/>
      <c r="B11359"/>
    </row>
    <row r="11360" spans="1:2">
      <c r="A11360" s="59"/>
      <c r="B11360"/>
    </row>
    <row r="11361" spans="1:2">
      <c r="A11361" s="59"/>
      <c r="B11361"/>
    </row>
    <row r="11362" spans="1:2">
      <c r="A11362" s="59"/>
      <c r="B11362"/>
    </row>
    <row r="11363" spans="1:2">
      <c r="A11363" s="59"/>
      <c r="B11363"/>
    </row>
    <row r="11364" spans="1:2">
      <c r="A11364" s="59"/>
      <c r="B11364"/>
    </row>
    <row r="11365" spans="1:2">
      <c r="A11365" s="59"/>
      <c r="B11365"/>
    </row>
    <row r="11366" spans="1:2">
      <c r="A11366" s="59"/>
      <c r="B11366"/>
    </row>
    <row r="11367" spans="1:2">
      <c r="A11367" s="59"/>
      <c r="B11367"/>
    </row>
    <row r="11368" spans="1:2">
      <c r="A11368" s="59"/>
      <c r="B11368"/>
    </row>
    <row r="11369" spans="1:2">
      <c r="A11369" s="59"/>
      <c r="B11369"/>
    </row>
    <row r="11370" spans="1:2">
      <c r="A11370" s="59"/>
      <c r="B11370"/>
    </row>
    <row r="11371" spans="1:2">
      <c r="A11371" s="59"/>
      <c r="B11371"/>
    </row>
    <row r="11372" spans="1:2">
      <c r="A11372" s="59"/>
      <c r="B11372"/>
    </row>
    <row r="11373" spans="1:2">
      <c r="A11373" s="59"/>
      <c r="B11373"/>
    </row>
    <row r="11374" spans="1:2">
      <c r="A11374" s="59"/>
      <c r="B11374"/>
    </row>
    <row r="11375" spans="1:2">
      <c r="A11375" s="59"/>
      <c r="B11375"/>
    </row>
    <row r="11376" spans="1:2">
      <c r="A11376" s="59"/>
      <c r="B11376"/>
    </row>
    <row r="11377" spans="1:2">
      <c r="A11377" s="59"/>
      <c r="B11377"/>
    </row>
    <row r="11378" spans="1:2">
      <c r="A11378" s="59"/>
      <c r="B11378"/>
    </row>
    <row r="11379" spans="1:2">
      <c r="A11379" s="59"/>
      <c r="B11379"/>
    </row>
    <row r="11380" spans="1:2">
      <c r="A11380" s="59"/>
      <c r="B11380"/>
    </row>
    <row r="11381" spans="1:2">
      <c r="A11381" s="59"/>
      <c r="B11381"/>
    </row>
    <row r="11382" spans="1:2">
      <c r="A11382" s="59"/>
      <c r="B11382"/>
    </row>
    <row r="11383" spans="1:2">
      <c r="A11383" s="59"/>
      <c r="B11383"/>
    </row>
    <row r="11384" spans="1:2">
      <c r="A11384" s="59"/>
      <c r="B11384"/>
    </row>
    <row r="11385" spans="1:2">
      <c r="A11385" s="59"/>
      <c r="B11385"/>
    </row>
    <row r="11386" spans="1:2">
      <c r="A11386" s="59"/>
      <c r="B11386"/>
    </row>
    <row r="11387" spans="1:2">
      <c r="A11387" s="59"/>
      <c r="B11387"/>
    </row>
    <row r="11388" spans="1:2">
      <c r="A11388" s="59"/>
      <c r="B11388"/>
    </row>
    <row r="11389" spans="1:2">
      <c r="A11389" s="59"/>
      <c r="B11389"/>
    </row>
    <row r="11390" spans="1:2">
      <c r="A11390" s="59"/>
      <c r="B11390"/>
    </row>
    <row r="11391" spans="1:2">
      <c r="A11391" s="59"/>
      <c r="B11391"/>
    </row>
    <row r="11392" spans="1:2">
      <c r="A11392" s="59"/>
      <c r="B11392"/>
    </row>
    <row r="11393" spans="1:2">
      <c r="A11393" s="59"/>
      <c r="B11393"/>
    </row>
    <row r="11394" spans="1:2">
      <c r="A11394" s="59"/>
      <c r="B11394"/>
    </row>
    <row r="11395" spans="1:2">
      <c r="A11395" s="59"/>
      <c r="B11395"/>
    </row>
    <row r="11396" spans="1:2">
      <c r="A11396" s="59"/>
      <c r="B11396"/>
    </row>
    <row r="11397" spans="1:2">
      <c r="A11397" s="59"/>
      <c r="B11397"/>
    </row>
    <row r="11398" spans="1:2">
      <c r="A11398" s="59"/>
      <c r="B11398"/>
    </row>
    <row r="11399" spans="1:2">
      <c r="A11399" s="59"/>
      <c r="B11399"/>
    </row>
    <row r="11400" spans="1:2">
      <c r="A11400" s="59"/>
      <c r="B11400"/>
    </row>
    <row r="11401" spans="1:2">
      <c r="A11401" s="59"/>
      <c r="B11401"/>
    </row>
    <row r="11402" spans="1:2">
      <c r="A11402" s="59"/>
      <c r="B11402"/>
    </row>
    <row r="11403" spans="1:2">
      <c r="A11403" s="59"/>
      <c r="B11403"/>
    </row>
    <row r="11404" spans="1:2">
      <c r="A11404" s="59"/>
      <c r="B11404"/>
    </row>
    <row r="11405" spans="1:2">
      <c r="A11405" s="59"/>
      <c r="B11405"/>
    </row>
    <row r="11406" spans="1:2">
      <c r="A11406" s="59"/>
      <c r="B11406"/>
    </row>
    <row r="11407" spans="1:2">
      <c r="A11407" s="59"/>
      <c r="B11407"/>
    </row>
    <row r="11408" spans="1:2">
      <c r="A11408" s="59"/>
      <c r="B11408"/>
    </row>
    <row r="11409" spans="1:2">
      <c r="A11409" s="59"/>
      <c r="B11409"/>
    </row>
    <row r="11410" spans="1:2">
      <c r="A11410" s="59"/>
      <c r="B11410"/>
    </row>
    <row r="11411" spans="1:2">
      <c r="A11411" s="59"/>
      <c r="B11411"/>
    </row>
    <row r="11412" spans="1:2">
      <c r="A11412" s="59"/>
      <c r="B11412"/>
    </row>
    <row r="11413" spans="1:2">
      <c r="A11413" s="59"/>
      <c r="B11413"/>
    </row>
    <row r="11414" spans="1:2">
      <c r="A11414" s="59"/>
      <c r="B11414"/>
    </row>
    <row r="11415" spans="1:2">
      <c r="A11415" s="59"/>
      <c r="B11415"/>
    </row>
    <row r="11416" spans="1:2">
      <c r="A11416" s="59"/>
      <c r="B11416"/>
    </row>
    <row r="11417" spans="1:2">
      <c r="A11417" s="59"/>
      <c r="B11417"/>
    </row>
    <row r="11418" spans="1:2">
      <c r="A11418" s="59"/>
      <c r="B11418"/>
    </row>
    <row r="11419" spans="1:2">
      <c r="A11419" s="59"/>
      <c r="B11419"/>
    </row>
    <row r="11420" spans="1:2">
      <c r="A11420" s="59"/>
      <c r="B11420"/>
    </row>
    <row r="11421" spans="1:2">
      <c r="A11421" s="59"/>
      <c r="B11421"/>
    </row>
    <row r="11422" spans="1:2">
      <c r="A11422" s="59"/>
      <c r="B11422"/>
    </row>
    <row r="11423" spans="1:2">
      <c r="A11423" s="59"/>
      <c r="B11423"/>
    </row>
    <row r="11424" spans="1:2">
      <c r="A11424" s="59"/>
      <c r="B11424"/>
    </row>
    <row r="11425" spans="1:2">
      <c r="A11425" s="59"/>
      <c r="B11425"/>
    </row>
    <row r="11426" spans="1:2">
      <c r="A11426" s="59"/>
      <c r="B11426"/>
    </row>
    <row r="11427" spans="1:2">
      <c r="A11427" s="59"/>
      <c r="B11427"/>
    </row>
    <row r="11428" spans="1:2">
      <c r="A11428" s="59"/>
      <c r="B11428"/>
    </row>
    <row r="11429" spans="1:2">
      <c r="A11429" s="59"/>
      <c r="B11429"/>
    </row>
    <row r="11430" spans="1:2">
      <c r="A11430" s="59"/>
      <c r="B11430"/>
    </row>
    <row r="11431" spans="1:2">
      <c r="A11431" s="59"/>
      <c r="B11431"/>
    </row>
    <row r="11432" spans="1:2">
      <c r="A11432" s="59"/>
      <c r="B11432"/>
    </row>
    <row r="11433" spans="1:2">
      <c r="A11433" s="59"/>
      <c r="B11433"/>
    </row>
    <row r="11434" spans="1:2">
      <c r="A11434" s="59"/>
      <c r="B11434"/>
    </row>
    <row r="11435" spans="1:2">
      <c r="A11435" s="59"/>
      <c r="B11435"/>
    </row>
    <row r="11436" spans="1:2">
      <c r="A11436" s="59"/>
      <c r="B11436"/>
    </row>
    <row r="11437" spans="1:2">
      <c r="A11437" s="59"/>
      <c r="B11437"/>
    </row>
    <row r="11438" spans="1:2">
      <c r="A11438" s="59"/>
      <c r="B11438"/>
    </row>
    <row r="11439" spans="1:2">
      <c r="A11439" s="59"/>
      <c r="B11439"/>
    </row>
    <row r="11440" spans="1:2">
      <c r="A11440" s="59"/>
      <c r="B11440"/>
    </row>
    <row r="11441" spans="1:2">
      <c r="A11441" s="59"/>
      <c r="B11441"/>
    </row>
    <row r="11442" spans="1:2">
      <c r="A11442" s="59"/>
      <c r="B11442"/>
    </row>
    <row r="11443" spans="1:2">
      <c r="A11443" s="59"/>
      <c r="B11443"/>
    </row>
    <row r="11444" spans="1:2">
      <c r="A11444" s="59"/>
      <c r="B11444"/>
    </row>
    <row r="11445" spans="1:2">
      <c r="A11445" s="59"/>
      <c r="B11445"/>
    </row>
    <row r="11446" spans="1:2">
      <c r="A11446" s="59"/>
      <c r="B11446"/>
    </row>
    <row r="11447" spans="1:2">
      <c r="A11447" s="59"/>
      <c r="B11447"/>
    </row>
    <row r="11448" spans="1:2">
      <c r="A11448" s="59"/>
      <c r="B11448"/>
    </row>
    <row r="11449" spans="1:2">
      <c r="A11449" s="59"/>
      <c r="B11449"/>
    </row>
    <row r="11450" spans="1:2">
      <c r="A11450" s="59"/>
      <c r="B11450"/>
    </row>
    <row r="11451" spans="1:2">
      <c r="A11451" s="59"/>
      <c r="B11451"/>
    </row>
    <row r="11452" spans="1:2">
      <c r="A11452" s="59"/>
      <c r="B11452"/>
    </row>
    <row r="11453" spans="1:2">
      <c r="A11453" s="59"/>
      <c r="B11453"/>
    </row>
    <row r="11454" spans="1:2">
      <c r="A11454" s="59"/>
      <c r="B11454"/>
    </row>
    <row r="11455" spans="1:2">
      <c r="A11455" s="59"/>
      <c r="B11455"/>
    </row>
    <row r="11456" spans="1:2">
      <c r="A11456" s="59"/>
      <c r="B11456"/>
    </row>
    <row r="11457" spans="1:2">
      <c r="A11457" s="59"/>
      <c r="B11457"/>
    </row>
    <row r="11458" spans="1:2">
      <c r="A11458" s="59"/>
      <c r="B11458"/>
    </row>
    <row r="11459" spans="1:2">
      <c r="A11459" s="59"/>
      <c r="B11459"/>
    </row>
    <row r="11460" spans="1:2">
      <c r="A11460" s="59"/>
      <c r="B11460"/>
    </row>
    <row r="11461" spans="1:2">
      <c r="A11461" s="59"/>
      <c r="B11461"/>
    </row>
    <row r="11462" spans="1:2">
      <c r="A11462" s="59"/>
      <c r="B11462"/>
    </row>
    <row r="11463" spans="1:2">
      <c r="A11463" s="59"/>
      <c r="B11463"/>
    </row>
    <row r="11464" spans="1:2">
      <c r="A11464" s="59"/>
      <c r="B11464"/>
    </row>
    <row r="11465" spans="1:2">
      <c r="A11465" s="59"/>
      <c r="B11465"/>
    </row>
    <row r="11466" spans="1:2">
      <c r="A11466" s="59"/>
      <c r="B11466"/>
    </row>
    <row r="11467" spans="1:2">
      <c r="A11467" s="59"/>
      <c r="B11467"/>
    </row>
    <row r="11468" spans="1:2">
      <c r="A11468" s="59"/>
      <c r="B11468"/>
    </row>
    <row r="11469" spans="1:2">
      <c r="A11469" s="59"/>
      <c r="B11469"/>
    </row>
    <row r="11470" spans="1:2">
      <c r="A11470" s="59"/>
      <c r="B11470"/>
    </row>
    <row r="11471" spans="1:2">
      <c r="A11471" s="59"/>
      <c r="B11471"/>
    </row>
    <row r="11472" spans="1:2">
      <c r="A11472" s="59"/>
      <c r="B11472"/>
    </row>
    <row r="11473" spans="1:2">
      <c r="A11473" s="59"/>
      <c r="B11473"/>
    </row>
    <row r="11474" spans="1:2">
      <c r="A11474" s="59"/>
      <c r="B11474"/>
    </row>
    <row r="11475" spans="1:2">
      <c r="A11475" s="59"/>
      <c r="B11475"/>
    </row>
    <row r="11476" spans="1:2">
      <c r="A11476" s="59"/>
      <c r="B11476"/>
    </row>
    <row r="11477" spans="1:2">
      <c r="A11477" s="59"/>
      <c r="B11477"/>
    </row>
    <row r="11478" spans="1:2">
      <c r="A11478" s="59"/>
      <c r="B11478"/>
    </row>
    <row r="11479" spans="1:2">
      <c r="A11479" s="59"/>
      <c r="B11479"/>
    </row>
    <row r="11480" spans="1:2">
      <c r="A11480" s="59"/>
      <c r="B11480"/>
    </row>
    <row r="11481" spans="1:2">
      <c r="A11481" s="59"/>
      <c r="B11481"/>
    </row>
    <row r="11482" spans="1:2">
      <c r="A11482" s="59"/>
      <c r="B11482"/>
    </row>
    <row r="11483" spans="1:2">
      <c r="A11483" s="59"/>
      <c r="B11483"/>
    </row>
    <row r="11484" spans="1:2">
      <c r="A11484" s="59"/>
      <c r="B11484"/>
    </row>
    <row r="11485" spans="1:2">
      <c r="A11485" s="59"/>
      <c r="B11485"/>
    </row>
    <row r="11486" spans="1:2">
      <c r="A11486" s="59"/>
      <c r="B11486"/>
    </row>
    <row r="11487" spans="1:2">
      <c r="A11487" s="59"/>
      <c r="B11487"/>
    </row>
    <row r="11488" spans="1:2">
      <c r="A11488" s="59"/>
      <c r="B11488"/>
    </row>
    <row r="11489" spans="1:2">
      <c r="A11489" s="59"/>
      <c r="B11489"/>
    </row>
    <row r="11490" spans="1:2">
      <c r="A11490" s="59"/>
      <c r="B11490"/>
    </row>
    <row r="11491" spans="1:2">
      <c r="A11491" s="59"/>
      <c r="B11491"/>
    </row>
    <row r="11492" spans="1:2">
      <c r="A11492" s="59"/>
      <c r="B11492"/>
    </row>
    <row r="11493" spans="1:2">
      <c r="A11493" s="59"/>
      <c r="B11493"/>
    </row>
    <row r="11494" spans="1:2">
      <c r="A11494" s="59"/>
      <c r="B11494"/>
    </row>
    <row r="11495" spans="1:2">
      <c r="A11495" s="59"/>
      <c r="B11495"/>
    </row>
    <row r="11496" spans="1:2">
      <c r="A11496" s="59"/>
      <c r="B11496"/>
    </row>
    <row r="11497" spans="1:2">
      <c r="A11497" s="59"/>
      <c r="B11497"/>
    </row>
    <row r="11498" spans="1:2">
      <c r="A11498" s="59"/>
      <c r="B11498"/>
    </row>
    <row r="11499" spans="1:2">
      <c r="A11499" s="59"/>
      <c r="B11499"/>
    </row>
    <row r="11500" spans="1:2">
      <c r="A11500" s="59"/>
      <c r="B11500"/>
    </row>
    <row r="11501" spans="1:2">
      <c r="A11501" s="59"/>
      <c r="B11501"/>
    </row>
    <row r="11502" spans="1:2">
      <c r="A11502" s="59"/>
      <c r="B11502"/>
    </row>
    <row r="11503" spans="1:2">
      <c r="A11503" s="59"/>
      <c r="B11503"/>
    </row>
    <row r="11504" spans="1:2">
      <c r="A11504" s="59"/>
      <c r="B11504"/>
    </row>
    <row r="11505" spans="1:2">
      <c r="A11505" s="59"/>
      <c r="B11505"/>
    </row>
    <row r="11506" spans="1:2">
      <c r="A11506" s="59"/>
      <c r="B11506"/>
    </row>
    <row r="11507" spans="1:2">
      <c r="A11507" s="59"/>
      <c r="B11507"/>
    </row>
    <row r="11508" spans="1:2">
      <c r="A11508" s="59"/>
      <c r="B11508"/>
    </row>
    <row r="11509" spans="1:2">
      <c r="A11509" s="59"/>
      <c r="B11509"/>
    </row>
    <row r="11510" spans="1:2">
      <c r="A11510" s="59"/>
      <c r="B11510"/>
    </row>
    <row r="11511" spans="1:2">
      <c r="A11511" s="59"/>
      <c r="B11511"/>
    </row>
    <row r="11512" spans="1:2">
      <c r="A11512" s="59"/>
      <c r="B11512"/>
    </row>
    <row r="11513" spans="1:2">
      <c r="A11513" s="59"/>
      <c r="B11513"/>
    </row>
    <row r="11514" spans="1:2">
      <c r="A11514" s="59"/>
      <c r="B11514"/>
    </row>
    <row r="11515" spans="1:2">
      <c r="A11515" s="59"/>
      <c r="B11515"/>
    </row>
    <row r="11516" spans="1:2">
      <c r="A11516" s="59"/>
      <c r="B11516"/>
    </row>
    <row r="11517" spans="1:2">
      <c r="A11517" s="59"/>
      <c r="B11517"/>
    </row>
    <row r="11518" spans="1:2">
      <c r="A11518" s="59"/>
      <c r="B11518"/>
    </row>
    <row r="11519" spans="1:2">
      <c r="A11519" s="59"/>
      <c r="B11519"/>
    </row>
    <row r="11520" spans="1:2">
      <c r="A11520" s="59"/>
      <c r="B11520"/>
    </row>
    <row r="11521" spans="1:2">
      <c r="A11521" s="59"/>
      <c r="B11521"/>
    </row>
    <row r="11522" spans="1:2">
      <c r="A11522" s="59"/>
      <c r="B11522"/>
    </row>
    <row r="11523" spans="1:2">
      <c r="A11523" s="59"/>
      <c r="B11523"/>
    </row>
    <row r="11524" spans="1:2">
      <c r="A11524" s="59"/>
      <c r="B11524"/>
    </row>
    <row r="11525" spans="1:2">
      <c r="A11525" s="59"/>
      <c r="B11525"/>
    </row>
    <row r="11526" spans="1:2">
      <c r="A11526" s="59"/>
      <c r="B11526"/>
    </row>
    <row r="11527" spans="1:2">
      <c r="A11527" s="59"/>
      <c r="B11527"/>
    </row>
    <row r="11528" spans="1:2">
      <c r="A11528" s="59"/>
      <c r="B11528"/>
    </row>
    <row r="11529" spans="1:2">
      <c r="A11529" s="59"/>
      <c r="B11529"/>
    </row>
    <row r="11530" spans="1:2">
      <c r="A11530" s="59"/>
      <c r="B11530"/>
    </row>
    <row r="11531" spans="1:2">
      <c r="A11531" s="59"/>
      <c r="B11531"/>
    </row>
    <row r="11532" spans="1:2">
      <c r="A11532" s="59"/>
      <c r="B11532"/>
    </row>
    <row r="11533" spans="1:2">
      <c r="A11533" s="59"/>
      <c r="B11533"/>
    </row>
    <row r="11534" spans="1:2">
      <c r="A11534" s="59"/>
      <c r="B11534"/>
    </row>
    <row r="11535" spans="1:2">
      <c r="A11535" s="59"/>
      <c r="B11535"/>
    </row>
    <row r="11536" spans="1:2">
      <c r="A11536" s="59"/>
      <c r="B11536"/>
    </row>
    <row r="11537" spans="1:2">
      <c r="A11537" s="59"/>
      <c r="B11537"/>
    </row>
    <row r="11538" spans="1:2">
      <c r="A11538" s="59"/>
      <c r="B11538"/>
    </row>
    <row r="11539" spans="1:2">
      <c r="A11539" s="59"/>
      <c r="B11539"/>
    </row>
    <row r="11540" spans="1:2">
      <c r="A11540" s="59"/>
      <c r="B11540"/>
    </row>
    <row r="11541" spans="1:2">
      <c r="A11541" s="59"/>
      <c r="B11541"/>
    </row>
    <row r="11542" spans="1:2">
      <c r="A11542" s="59"/>
      <c r="B11542"/>
    </row>
    <row r="11543" spans="1:2">
      <c r="A11543" s="59"/>
      <c r="B11543"/>
    </row>
    <row r="11544" spans="1:2">
      <c r="A11544" s="59"/>
      <c r="B11544"/>
    </row>
    <row r="11545" spans="1:2">
      <c r="A11545" s="59"/>
      <c r="B11545"/>
    </row>
    <row r="11546" spans="1:2">
      <c r="A11546" s="59"/>
      <c r="B11546"/>
    </row>
    <row r="11547" spans="1:2">
      <c r="A11547" s="59"/>
      <c r="B11547"/>
    </row>
    <row r="11548" spans="1:2">
      <c r="A11548" s="59"/>
      <c r="B11548"/>
    </row>
    <row r="11549" spans="1:2">
      <c r="A11549" s="59"/>
      <c r="B11549"/>
    </row>
    <row r="11550" spans="1:2">
      <c r="A11550" s="59"/>
      <c r="B11550"/>
    </row>
    <row r="11551" spans="1:2">
      <c r="A11551" s="59"/>
      <c r="B11551"/>
    </row>
    <row r="11552" spans="1:2">
      <c r="A11552" s="59"/>
      <c r="B11552"/>
    </row>
    <row r="11553" spans="1:2">
      <c r="A11553" s="59"/>
      <c r="B11553"/>
    </row>
    <row r="11554" spans="1:2">
      <c r="A11554" s="59"/>
      <c r="B11554"/>
    </row>
    <row r="11555" spans="1:2">
      <c r="A11555" s="59"/>
      <c r="B11555"/>
    </row>
    <row r="11556" spans="1:2">
      <c r="A11556" s="59"/>
      <c r="B11556"/>
    </row>
    <row r="11557" spans="1:2">
      <c r="A11557" s="59"/>
      <c r="B11557"/>
    </row>
    <row r="11558" spans="1:2">
      <c r="A11558" s="59"/>
      <c r="B11558"/>
    </row>
    <row r="11559" spans="1:2">
      <c r="A11559" s="59"/>
      <c r="B11559"/>
    </row>
    <row r="11560" spans="1:2">
      <c r="A11560" s="59"/>
      <c r="B11560"/>
    </row>
    <row r="11561" spans="1:2">
      <c r="A11561" s="59"/>
      <c r="B11561"/>
    </row>
    <row r="11562" spans="1:2">
      <c r="A11562" s="59"/>
      <c r="B11562"/>
    </row>
    <row r="11563" spans="1:2">
      <c r="A11563" s="59"/>
      <c r="B11563"/>
    </row>
    <row r="11564" spans="1:2">
      <c r="A11564" s="59"/>
      <c r="B11564"/>
    </row>
    <row r="11565" spans="1:2">
      <c r="A11565" s="59"/>
      <c r="B11565"/>
    </row>
    <row r="11566" spans="1:2">
      <c r="A11566" s="59"/>
      <c r="B11566"/>
    </row>
    <row r="11567" spans="1:2">
      <c r="A11567" s="59"/>
      <c r="B11567"/>
    </row>
    <row r="11568" spans="1:2">
      <c r="A11568" s="59"/>
      <c r="B11568"/>
    </row>
    <row r="11569" spans="1:2">
      <c r="A11569" s="59"/>
      <c r="B11569"/>
    </row>
    <row r="11570" spans="1:2">
      <c r="A11570" s="59"/>
      <c r="B11570"/>
    </row>
    <row r="11571" spans="1:2">
      <c r="A11571" s="59"/>
      <c r="B11571"/>
    </row>
    <row r="11572" spans="1:2">
      <c r="A11572" s="59"/>
      <c r="B11572"/>
    </row>
    <row r="11573" spans="1:2">
      <c r="A11573" s="59"/>
      <c r="B11573"/>
    </row>
    <row r="11574" spans="1:2">
      <c r="A11574" s="59"/>
      <c r="B11574"/>
    </row>
    <row r="11575" spans="1:2">
      <c r="A11575" s="59"/>
      <c r="B11575"/>
    </row>
    <row r="11576" spans="1:2">
      <c r="A11576" s="59"/>
      <c r="B11576"/>
    </row>
    <row r="11577" spans="1:2">
      <c r="A11577" s="59"/>
      <c r="B11577"/>
    </row>
    <row r="11578" spans="1:2">
      <c r="A11578" s="59"/>
      <c r="B11578"/>
    </row>
    <row r="11579" spans="1:2">
      <c r="A11579" s="59"/>
      <c r="B11579"/>
    </row>
    <row r="11580" spans="1:2">
      <c r="A11580" s="59"/>
      <c r="B11580"/>
    </row>
    <row r="11581" spans="1:2">
      <c r="A11581" s="59"/>
      <c r="B11581"/>
    </row>
    <row r="11582" spans="1:2">
      <c r="A11582" s="59"/>
      <c r="B11582"/>
    </row>
    <row r="11583" spans="1:2">
      <c r="A11583" s="59"/>
      <c r="B11583"/>
    </row>
    <row r="11584" spans="1:2">
      <c r="A11584" s="59"/>
      <c r="B11584"/>
    </row>
    <row r="11585" spans="1:2">
      <c r="A11585" s="59"/>
      <c r="B11585"/>
    </row>
    <row r="11586" spans="1:2">
      <c r="A11586" s="59"/>
      <c r="B11586"/>
    </row>
    <row r="11587" spans="1:2">
      <c r="A11587" s="59"/>
      <c r="B11587"/>
    </row>
    <row r="11588" spans="1:2">
      <c r="A11588" s="59"/>
      <c r="B11588"/>
    </row>
    <row r="11589" spans="1:2">
      <c r="A11589" s="59"/>
      <c r="B11589"/>
    </row>
    <row r="11590" spans="1:2">
      <c r="A11590" s="59"/>
      <c r="B11590"/>
    </row>
    <row r="11591" spans="1:2">
      <c r="A11591" s="59"/>
      <c r="B11591"/>
    </row>
    <row r="11592" spans="1:2">
      <c r="A11592" s="59"/>
      <c r="B11592"/>
    </row>
    <row r="11593" spans="1:2">
      <c r="A11593" s="59"/>
      <c r="B11593"/>
    </row>
    <row r="11594" spans="1:2">
      <c r="A11594" s="59"/>
      <c r="B11594"/>
    </row>
    <row r="11595" spans="1:2">
      <c r="A11595" s="59"/>
      <c r="B11595"/>
    </row>
    <row r="11596" spans="1:2">
      <c r="A11596" s="59"/>
      <c r="B11596"/>
    </row>
    <row r="11597" spans="1:2">
      <c r="A11597" s="59"/>
      <c r="B11597"/>
    </row>
    <row r="11598" spans="1:2">
      <c r="A11598" s="59"/>
      <c r="B11598"/>
    </row>
    <row r="11599" spans="1:2">
      <c r="A11599" s="59"/>
      <c r="B11599"/>
    </row>
    <row r="11600" spans="1:2">
      <c r="A11600" s="59"/>
      <c r="B11600"/>
    </row>
    <row r="11601" spans="1:2">
      <c r="A11601" s="59"/>
      <c r="B11601"/>
    </row>
    <row r="11602" spans="1:2">
      <c r="A11602" s="59"/>
      <c r="B11602"/>
    </row>
    <row r="11603" spans="1:2">
      <c r="A11603" s="59"/>
      <c r="B11603"/>
    </row>
    <row r="11604" spans="1:2">
      <c r="A11604" s="59"/>
      <c r="B11604"/>
    </row>
    <row r="11605" spans="1:2">
      <c r="A11605" s="59"/>
      <c r="B11605"/>
    </row>
    <row r="11606" spans="1:2">
      <c r="A11606" s="59"/>
      <c r="B11606"/>
    </row>
    <row r="11607" spans="1:2">
      <c r="A11607" s="59"/>
      <c r="B11607"/>
    </row>
    <row r="11608" spans="1:2">
      <c r="A11608" s="59"/>
      <c r="B11608"/>
    </row>
    <row r="11609" spans="1:2">
      <c r="A11609" s="59"/>
      <c r="B11609"/>
    </row>
    <row r="11610" spans="1:2">
      <c r="A11610" s="59"/>
      <c r="B11610"/>
    </row>
    <row r="11611" spans="1:2">
      <c r="A11611" s="59"/>
      <c r="B11611"/>
    </row>
    <row r="11612" spans="1:2">
      <c r="A11612" s="59"/>
      <c r="B11612"/>
    </row>
    <row r="11613" spans="1:2">
      <c r="A11613" s="59"/>
      <c r="B11613"/>
    </row>
    <row r="11614" spans="1:2">
      <c r="A11614" s="59"/>
      <c r="B11614"/>
    </row>
    <row r="11615" spans="1:2">
      <c r="A11615" s="59"/>
      <c r="B11615"/>
    </row>
    <row r="11616" spans="1:2">
      <c r="A11616" s="59"/>
      <c r="B11616"/>
    </row>
    <row r="11617" spans="1:2">
      <c r="A11617" s="59"/>
      <c r="B11617"/>
    </row>
    <row r="11618" spans="1:2">
      <c r="A11618" s="59"/>
      <c r="B11618"/>
    </row>
    <row r="11619" spans="1:2">
      <c r="A11619" s="59"/>
      <c r="B11619"/>
    </row>
    <row r="11620" spans="1:2">
      <c r="A11620" s="59"/>
      <c r="B11620"/>
    </row>
    <row r="11621" spans="1:2">
      <c r="A11621" s="59"/>
      <c r="B11621"/>
    </row>
    <row r="11622" spans="1:2">
      <c r="A11622" s="59"/>
      <c r="B11622"/>
    </row>
    <row r="11623" spans="1:2">
      <c r="A11623" s="59"/>
      <c r="B11623"/>
    </row>
    <row r="11624" spans="1:2">
      <c r="A11624" s="59"/>
      <c r="B11624"/>
    </row>
    <row r="11625" spans="1:2">
      <c r="A11625" s="59"/>
      <c r="B11625"/>
    </row>
    <row r="11626" spans="1:2">
      <c r="A11626" s="59"/>
      <c r="B11626"/>
    </row>
    <row r="11627" spans="1:2">
      <c r="A11627" s="59"/>
      <c r="B11627"/>
    </row>
    <row r="11628" spans="1:2">
      <c r="A11628" s="59"/>
      <c r="B11628"/>
    </row>
    <row r="11629" spans="1:2">
      <c r="A11629" s="59"/>
      <c r="B11629"/>
    </row>
    <row r="11630" spans="1:2">
      <c r="A11630" s="59"/>
      <c r="B11630"/>
    </row>
    <row r="11631" spans="1:2">
      <c r="A11631" s="59"/>
      <c r="B11631"/>
    </row>
    <row r="11632" spans="1:2">
      <c r="A11632" s="59"/>
      <c r="B11632"/>
    </row>
    <row r="11633" spans="1:2">
      <c r="A11633" s="59"/>
      <c r="B11633"/>
    </row>
    <row r="11634" spans="1:2">
      <c r="A11634" s="59"/>
      <c r="B11634"/>
    </row>
    <row r="11635" spans="1:2">
      <c r="A11635" s="59"/>
      <c r="B11635"/>
    </row>
    <row r="11636" spans="1:2">
      <c r="A11636" s="59"/>
      <c r="B11636"/>
    </row>
    <row r="11637" spans="1:2">
      <c r="A11637" s="59"/>
      <c r="B11637"/>
    </row>
    <row r="11638" spans="1:2">
      <c r="A11638" s="59"/>
      <c r="B11638"/>
    </row>
    <row r="11639" spans="1:2">
      <c r="A11639" s="59"/>
      <c r="B11639"/>
    </row>
    <row r="11640" spans="1:2">
      <c r="A11640" s="59"/>
      <c r="B11640"/>
    </row>
    <row r="11641" spans="1:2">
      <c r="A11641" s="59"/>
      <c r="B11641"/>
    </row>
    <row r="11642" spans="1:2">
      <c r="A11642" s="59"/>
      <c r="B11642"/>
    </row>
    <row r="11643" spans="1:2">
      <c r="A11643" s="59"/>
      <c r="B11643"/>
    </row>
    <row r="11644" spans="1:2">
      <c r="A11644" s="59"/>
      <c r="B11644"/>
    </row>
    <row r="11645" spans="1:2">
      <c r="A11645" s="59"/>
      <c r="B11645"/>
    </row>
    <row r="11646" spans="1:2">
      <c r="A11646" s="59"/>
      <c r="B11646"/>
    </row>
    <row r="11647" spans="1:2">
      <c r="A11647" s="59"/>
      <c r="B11647"/>
    </row>
    <row r="11648" spans="1:2">
      <c r="A11648" s="59"/>
      <c r="B11648"/>
    </row>
    <row r="11649" spans="1:2">
      <c r="A11649" s="59"/>
      <c r="B11649"/>
    </row>
    <row r="11650" spans="1:2">
      <c r="A11650" s="59"/>
      <c r="B11650"/>
    </row>
    <row r="11651" spans="1:2">
      <c r="A11651" s="59"/>
      <c r="B11651"/>
    </row>
    <row r="11652" spans="1:2">
      <c r="A11652" s="59"/>
      <c r="B11652"/>
    </row>
    <row r="11653" spans="1:2">
      <c r="A11653" s="59"/>
      <c r="B11653"/>
    </row>
    <row r="11654" spans="1:2">
      <c r="A11654" s="59"/>
      <c r="B11654"/>
    </row>
    <row r="11655" spans="1:2">
      <c r="A11655" s="59"/>
      <c r="B11655"/>
    </row>
    <row r="11656" spans="1:2">
      <c r="A11656" s="59"/>
      <c r="B11656"/>
    </row>
    <row r="11657" spans="1:2">
      <c r="A11657" s="59"/>
      <c r="B11657"/>
    </row>
    <row r="11658" spans="1:2">
      <c r="A11658" s="59"/>
      <c r="B11658"/>
    </row>
    <row r="11659" spans="1:2">
      <c r="A11659" s="59"/>
      <c r="B11659"/>
    </row>
    <row r="11660" spans="1:2">
      <c r="A11660" s="59"/>
      <c r="B11660"/>
    </row>
    <row r="11661" spans="1:2">
      <c r="A11661" s="59"/>
      <c r="B11661"/>
    </row>
    <row r="11662" spans="1:2">
      <c r="A11662" s="59"/>
      <c r="B11662"/>
    </row>
    <row r="11663" spans="1:2">
      <c r="A11663" s="59"/>
      <c r="B11663"/>
    </row>
    <row r="11664" spans="1:2">
      <c r="A11664" s="59"/>
      <c r="B11664"/>
    </row>
    <row r="11665" spans="1:2">
      <c r="A11665" s="59"/>
      <c r="B11665"/>
    </row>
    <row r="11666" spans="1:2">
      <c r="A11666" s="59"/>
      <c r="B11666"/>
    </row>
    <row r="11667" spans="1:2">
      <c r="A11667" s="59"/>
      <c r="B11667"/>
    </row>
    <row r="11668" spans="1:2">
      <c r="A11668" s="59"/>
      <c r="B11668"/>
    </row>
    <row r="11669" spans="1:2">
      <c r="A11669" s="59"/>
      <c r="B11669"/>
    </row>
    <row r="11670" spans="1:2">
      <c r="A11670" s="59"/>
      <c r="B11670"/>
    </row>
    <row r="11671" spans="1:2">
      <c r="A11671" s="59"/>
      <c r="B11671"/>
    </row>
    <row r="11672" spans="1:2">
      <c r="A11672" s="59"/>
      <c r="B11672"/>
    </row>
    <row r="11673" spans="1:2">
      <c r="A11673" s="59"/>
      <c r="B11673"/>
    </row>
    <row r="11674" spans="1:2">
      <c r="A11674" s="59"/>
      <c r="B11674"/>
    </row>
    <row r="11675" spans="1:2">
      <c r="A11675" s="59"/>
      <c r="B11675"/>
    </row>
    <row r="11676" spans="1:2">
      <c r="A11676" s="59"/>
      <c r="B11676"/>
    </row>
    <row r="11677" spans="1:2">
      <c r="A11677" s="59"/>
      <c r="B11677"/>
    </row>
    <row r="11678" spans="1:2">
      <c r="A11678" s="59"/>
      <c r="B11678"/>
    </row>
    <row r="11679" spans="1:2">
      <c r="A11679" s="59"/>
      <c r="B11679"/>
    </row>
    <row r="11680" spans="1:2">
      <c r="A11680" s="59"/>
      <c r="B11680"/>
    </row>
    <row r="11681" spans="1:2">
      <c r="A11681" s="59"/>
      <c r="B11681"/>
    </row>
    <row r="11682" spans="1:2">
      <c r="A11682" s="59"/>
      <c r="B11682"/>
    </row>
    <row r="11683" spans="1:2">
      <c r="A11683" s="59"/>
      <c r="B11683"/>
    </row>
    <row r="11684" spans="1:2">
      <c r="A11684" s="59"/>
      <c r="B11684"/>
    </row>
    <row r="11685" spans="1:2">
      <c r="A11685" s="59"/>
      <c r="B11685"/>
    </row>
    <row r="11686" spans="1:2">
      <c r="A11686" s="59"/>
      <c r="B11686"/>
    </row>
    <row r="11687" spans="1:2">
      <c r="A11687" s="59"/>
      <c r="B11687"/>
    </row>
    <row r="11688" spans="1:2">
      <c r="A11688" s="59"/>
      <c r="B11688"/>
    </row>
    <row r="11689" spans="1:2">
      <c r="A11689" s="59"/>
      <c r="B11689"/>
    </row>
    <row r="11690" spans="1:2">
      <c r="A11690" s="59"/>
      <c r="B11690"/>
    </row>
    <row r="11691" spans="1:2">
      <c r="A11691" s="59"/>
      <c r="B11691"/>
    </row>
    <row r="11692" spans="1:2">
      <c r="A11692" s="59"/>
      <c r="B11692"/>
    </row>
    <row r="11693" spans="1:2">
      <c r="A11693" s="59"/>
      <c r="B11693"/>
    </row>
    <row r="11694" spans="1:2">
      <c r="A11694" s="59"/>
      <c r="B11694"/>
    </row>
    <row r="11695" spans="1:2">
      <c r="A11695" s="59"/>
      <c r="B11695"/>
    </row>
    <row r="11696" spans="1:2">
      <c r="A11696" s="59"/>
      <c r="B11696"/>
    </row>
    <row r="11697" spans="1:2">
      <c r="A11697" s="59"/>
      <c r="B11697"/>
    </row>
    <row r="11698" spans="1:2">
      <c r="A11698" s="59"/>
      <c r="B11698"/>
    </row>
    <row r="11699" spans="1:2">
      <c r="A11699" s="59"/>
      <c r="B11699"/>
    </row>
    <row r="11700" spans="1:2">
      <c r="A11700" s="59"/>
      <c r="B11700"/>
    </row>
    <row r="11701" spans="1:2">
      <c r="A11701" s="59"/>
      <c r="B11701"/>
    </row>
    <row r="11702" spans="1:2">
      <c r="A11702" s="59"/>
      <c r="B11702"/>
    </row>
    <row r="11703" spans="1:2">
      <c r="A11703" s="59"/>
      <c r="B11703"/>
    </row>
    <row r="11704" spans="1:2">
      <c r="A11704" s="59"/>
      <c r="B11704"/>
    </row>
    <row r="11705" spans="1:2">
      <c r="A11705" s="59"/>
      <c r="B11705"/>
    </row>
    <row r="11706" spans="1:2">
      <c r="A11706" s="59"/>
      <c r="B11706"/>
    </row>
    <row r="11707" spans="1:2">
      <c r="A11707" s="59"/>
      <c r="B11707"/>
    </row>
    <row r="11708" spans="1:2">
      <c r="A11708" s="59"/>
      <c r="B11708"/>
    </row>
    <row r="11709" spans="1:2">
      <c r="A11709" s="59"/>
      <c r="B11709"/>
    </row>
    <row r="11710" spans="1:2">
      <c r="A11710" s="59"/>
      <c r="B11710"/>
    </row>
    <row r="11711" spans="1:2">
      <c r="A11711" s="59"/>
      <c r="B11711"/>
    </row>
    <row r="11712" spans="1:2">
      <c r="A11712" s="59"/>
      <c r="B11712"/>
    </row>
    <row r="11713" spans="1:2">
      <c r="A11713" s="59"/>
      <c r="B11713"/>
    </row>
    <row r="11714" spans="1:2">
      <c r="A11714" s="59"/>
      <c r="B11714"/>
    </row>
    <row r="11715" spans="1:2">
      <c r="A11715" s="59"/>
      <c r="B11715"/>
    </row>
    <row r="11716" spans="1:2">
      <c r="A11716" s="59"/>
      <c r="B11716"/>
    </row>
    <row r="11717" spans="1:2">
      <c r="A11717" s="59"/>
      <c r="B11717"/>
    </row>
    <row r="11718" spans="1:2">
      <c r="A11718" s="59"/>
      <c r="B11718"/>
    </row>
    <row r="11719" spans="1:2">
      <c r="A11719" s="59"/>
      <c r="B11719"/>
    </row>
    <row r="11720" spans="1:2">
      <c r="A11720" s="59"/>
      <c r="B11720"/>
    </row>
    <row r="11721" spans="1:2">
      <c r="A11721" s="59"/>
      <c r="B11721"/>
    </row>
    <row r="11722" spans="1:2">
      <c r="A11722" s="59"/>
      <c r="B11722"/>
    </row>
    <row r="11723" spans="1:2">
      <c r="A11723" s="59"/>
      <c r="B11723"/>
    </row>
    <row r="11724" spans="1:2">
      <c r="A11724" s="59"/>
      <c r="B11724"/>
    </row>
    <row r="11725" spans="1:2">
      <c r="A11725" s="59"/>
      <c r="B11725"/>
    </row>
    <row r="11726" spans="1:2">
      <c r="A11726" s="59"/>
      <c r="B11726"/>
    </row>
    <row r="11727" spans="1:2">
      <c r="A11727" s="59"/>
      <c r="B11727"/>
    </row>
    <row r="11728" spans="1:2">
      <c r="A11728" s="59"/>
      <c r="B11728"/>
    </row>
    <row r="11729" spans="1:2">
      <c r="A11729" s="59"/>
      <c r="B11729"/>
    </row>
    <row r="11730" spans="1:2">
      <c r="A11730" s="59"/>
      <c r="B11730"/>
    </row>
    <row r="11731" spans="1:2">
      <c r="A11731" s="59"/>
      <c r="B11731"/>
    </row>
    <row r="11732" spans="1:2">
      <c r="A11732" s="59"/>
      <c r="B11732"/>
    </row>
    <row r="11733" spans="1:2">
      <c r="A11733" s="59"/>
      <c r="B11733"/>
    </row>
    <row r="11734" spans="1:2">
      <c r="A11734" s="59"/>
      <c r="B11734"/>
    </row>
    <row r="11735" spans="1:2">
      <c r="A11735" s="59"/>
      <c r="B11735"/>
    </row>
    <row r="11736" spans="1:2">
      <c r="A11736" s="59"/>
      <c r="B11736"/>
    </row>
    <row r="11737" spans="1:2">
      <c r="A11737" s="59"/>
      <c r="B11737"/>
    </row>
    <row r="11738" spans="1:2">
      <c r="A11738" s="59"/>
      <c r="B11738"/>
    </row>
    <row r="11739" spans="1:2">
      <c r="A11739" s="59"/>
      <c r="B11739"/>
    </row>
    <row r="11740" spans="1:2">
      <c r="A11740" s="59"/>
      <c r="B11740"/>
    </row>
    <row r="11741" spans="1:2">
      <c r="A11741" s="59"/>
      <c r="B11741"/>
    </row>
    <row r="11742" spans="1:2">
      <c r="A11742" s="59"/>
      <c r="B11742"/>
    </row>
    <row r="11743" spans="1:2">
      <c r="A11743" s="59"/>
      <c r="B11743"/>
    </row>
    <row r="11744" spans="1:2">
      <c r="A11744" s="59"/>
      <c r="B11744"/>
    </row>
    <row r="11745" spans="1:2">
      <c r="A11745" s="59"/>
      <c r="B11745"/>
    </row>
    <row r="11746" spans="1:2">
      <c r="A11746" s="59"/>
      <c r="B11746"/>
    </row>
    <row r="11747" spans="1:2">
      <c r="A11747" s="59"/>
      <c r="B11747"/>
    </row>
    <row r="11748" spans="1:2">
      <c r="A11748" s="59"/>
      <c r="B11748"/>
    </row>
    <row r="11749" spans="1:2">
      <c r="A11749" s="59"/>
      <c r="B11749"/>
    </row>
    <row r="11750" spans="1:2">
      <c r="A11750" s="59"/>
      <c r="B11750"/>
    </row>
    <row r="11751" spans="1:2">
      <c r="A11751" s="59"/>
      <c r="B11751"/>
    </row>
    <row r="11752" spans="1:2">
      <c r="A11752" s="59"/>
      <c r="B11752"/>
    </row>
    <row r="11753" spans="1:2">
      <c r="A11753" s="59"/>
      <c r="B11753"/>
    </row>
    <row r="11754" spans="1:2">
      <c r="A11754" s="59"/>
      <c r="B11754"/>
    </row>
    <row r="11755" spans="1:2">
      <c r="A11755" s="59"/>
      <c r="B11755"/>
    </row>
    <row r="11756" spans="1:2">
      <c r="A11756" s="59"/>
      <c r="B11756"/>
    </row>
    <row r="11757" spans="1:2">
      <c r="A11757" s="59"/>
      <c r="B11757"/>
    </row>
    <row r="11758" spans="1:2">
      <c r="A11758" s="59"/>
      <c r="B11758"/>
    </row>
    <row r="11759" spans="1:2">
      <c r="A11759" s="59"/>
      <c r="B11759"/>
    </row>
    <row r="11760" spans="1:2">
      <c r="A11760" s="59"/>
      <c r="B11760"/>
    </row>
    <row r="11761" spans="1:2">
      <c r="A11761" s="59"/>
      <c r="B11761"/>
    </row>
    <row r="11762" spans="1:2">
      <c r="A11762" s="59"/>
      <c r="B11762"/>
    </row>
    <row r="11763" spans="1:2">
      <c r="A11763" s="59"/>
      <c r="B11763"/>
    </row>
    <row r="11764" spans="1:2">
      <c r="A11764" s="59"/>
      <c r="B11764"/>
    </row>
    <row r="11765" spans="1:2">
      <c r="A11765" s="59"/>
      <c r="B11765"/>
    </row>
    <row r="11766" spans="1:2">
      <c r="A11766" s="59"/>
      <c r="B11766"/>
    </row>
    <row r="11767" spans="1:2">
      <c r="A11767" s="59"/>
      <c r="B11767"/>
    </row>
    <row r="11768" spans="1:2">
      <c r="A11768" s="59"/>
      <c r="B11768"/>
    </row>
    <row r="11769" spans="1:2">
      <c r="A11769" s="59"/>
      <c r="B11769"/>
    </row>
    <row r="11770" spans="1:2">
      <c r="A11770" s="59"/>
      <c r="B11770"/>
    </row>
    <row r="11771" spans="1:2">
      <c r="A11771" s="59"/>
      <c r="B11771"/>
    </row>
    <row r="11772" spans="1:2">
      <c r="A11772" s="59"/>
      <c r="B11772"/>
    </row>
    <row r="11773" spans="1:2">
      <c r="A11773" s="59"/>
      <c r="B11773"/>
    </row>
    <row r="11774" spans="1:2">
      <c r="A11774" s="59"/>
      <c r="B11774"/>
    </row>
    <row r="11775" spans="1:2">
      <c r="A11775" s="59"/>
      <c r="B11775"/>
    </row>
    <row r="11776" spans="1:2">
      <c r="A11776" s="59"/>
      <c r="B11776"/>
    </row>
    <row r="11777" spans="1:2">
      <c r="A11777" s="59"/>
      <c r="B11777"/>
    </row>
    <row r="11778" spans="1:2">
      <c r="A11778" s="59"/>
      <c r="B11778"/>
    </row>
    <row r="11779" spans="1:2">
      <c r="A11779" s="59"/>
      <c r="B11779"/>
    </row>
    <row r="11780" spans="1:2">
      <c r="A11780" s="59"/>
      <c r="B11780"/>
    </row>
    <row r="11781" spans="1:2">
      <c r="A11781" s="59"/>
      <c r="B11781"/>
    </row>
    <row r="11782" spans="1:2">
      <c r="A11782" s="59"/>
      <c r="B11782"/>
    </row>
    <row r="11783" spans="1:2">
      <c r="A11783" s="59"/>
      <c r="B11783"/>
    </row>
    <row r="11784" spans="1:2">
      <c r="A11784" s="59"/>
      <c r="B11784"/>
    </row>
    <row r="11785" spans="1:2">
      <c r="A11785" s="59"/>
      <c r="B11785"/>
    </row>
    <row r="11786" spans="1:2">
      <c r="A11786" s="59"/>
      <c r="B11786"/>
    </row>
    <row r="11787" spans="1:2">
      <c r="A11787" s="59"/>
      <c r="B11787"/>
    </row>
    <row r="11788" spans="1:2">
      <c r="A11788" s="59"/>
      <c r="B11788"/>
    </row>
    <row r="11789" spans="1:2">
      <c r="A11789" s="59"/>
      <c r="B11789"/>
    </row>
    <row r="11790" spans="1:2">
      <c r="A11790" s="59"/>
      <c r="B11790"/>
    </row>
    <row r="11791" spans="1:2">
      <c r="A11791" s="59"/>
      <c r="B11791"/>
    </row>
    <row r="11792" spans="1:2">
      <c r="A11792" s="59"/>
      <c r="B11792"/>
    </row>
    <row r="11793" spans="1:2">
      <c r="A11793" s="59"/>
      <c r="B11793"/>
    </row>
    <row r="11794" spans="1:2">
      <c r="A11794" s="59"/>
      <c r="B11794"/>
    </row>
    <row r="11795" spans="1:2">
      <c r="A11795" s="59"/>
      <c r="B11795"/>
    </row>
    <row r="11796" spans="1:2">
      <c r="A11796" s="59"/>
      <c r="B11796"/>
    </row>
    <row r="11797" spans="1:2">
      <c r="A11797" s="59"/>
      <c r="B11797"/>
    </row>
    <row r="11798" spans="1:2">
      <c r="A11798" s="59"/>
      <c r="B11798"/>
    </row>
    <row r="11799" spans="1:2">
      <c r="A11799" s="59"/>
      <c r="B11799"/>
    </row>
    <row r="11800" spans="1:2">
      <c r="A11800" s="59"/>
      <c r="B11800"/>
    </row>
    <row r="11801" spans="1:2">
      <c r="A11801" s="59"/>
      <c r="B11801"/>
    </row>
    <row r="11802" spans="1:2">
      <c r="A11802" s="59"/>
      <c r="B11802"/>
    </row>
    <row r="11803" spans="1:2">
      <c r="A11803" s="59"/>
      <c r="B11803"/>
    </row>
    <row r="11804" spans="1:2">
      <c r="A11804" s="59"/>
      <c r="B11804"/>
    </row>
    <row r="11805" spans="1:2">
      <c r="A11805" s="59"/>
      <c r="B11805"/>
    </row>
    <row r="11806" spans="1:2">
      <c r="A11806" s="59"/>
      <c r="B11806"/>
    </row>
    <row r="11807" spans="1:2">
      <c r="A11807" s="59"/>
      <c r="B11807"/>
    </row>
    <row r="11808" spans="1:2">
      <c r="A11808" s="59"/>
      <c r="B11808"/>
    </row>
    <row r="11809" spans="1:2">
      <c r="A11809" s="59"/>
      <c r="B11809"/>
    </row>
    <row r="11810" spans="1:2">
      <c r="A11810" s="59"/>
      <c r="B11810"/>
    </row>
    <row r="11811" spans="1:2">
      <c r="A11811" s="59"/>
      <c r="B11811"/>
    </row>
    <row r="11812" spans="1:2">
      <c r="A11812" s="59"/>
      <c r="B11812"/>
    </row>
    <row r="11813" spans="1:2">
      <c r="A11813" s="59"/>
      <c r="B11813"/>
    </row>
    <row r="11814" spans="1:2">
      <c r="A11814" s="59"/>
      <c r="B11814"/>
    </row>
    <row r="11815" spans="1:2">
      <c r="A11815" s="59"/>
      <c r="B11815"/>
    </row>
    <row r="11816" spans="1:2">
      <c r="A11816" s="59"/>
      <c r="B11816"/>
    </row>
    <row r="11817" spans="1:2">
      <c r="A11817" s="59"/>
      <c r="B11817"/>
    </row>
    <row r="11818" spans="1:2">
      <c r="A11818" s="59"/>
      <c r="B11818"/>
    </row>
    <row r="11819" spans="1:2">
      <c r="A11819" s="59"/>
      <c r="B11819"/>
    </row>
    <row r="11820" spans="1:2">
      <c r="A11820" s="59"/>
      <c r="B11820"/>
    </row>
    <row r="11821" spans="1:2">
      <c r="A11821" s="59"/>
      <c r="B11821"/>
    </row>
    <row r="11822" spans="1:2">
      <c r="A11822" s="59"/>
      <c r="B11822"/>
    </row>
    <row r="11823" spans="1:2">
      <c r="A11823" s="59"/>
      <c r="B11823"/>
    </row>
    <row r="11824" spans="1:2">
      <c r="A11824" s="59"/>
      <c r="B11824"/>
    </row>
    <row r="11825" spans="1:2">
      <c r="A11825" s="59"/>
      <c r="B11825"/>
    </row>
    <row r="11826" spans="1:2">
      <c r="A11826" s="59"/>
      <c r="B11826"/>
    </row>
    <row r="11827" spans="1:2">
      <c r="A11827" s="59"/>
      <c r="B11827"/>
    </row>
    <row r="11828" spans="1:2">
      <c r="A11828" s="59"/>
      <c r="B11828"/>
    </row>
    <row r="11829" spans="1:2">
      <c r="A11829" s="59"/>
      <c r="B11829"/>
    </row>
    <row r="11830" spans="1:2">
      <c r="A11830" s="59"/>
      <c r="B11830"/>
    </row>
    <row r="11831" spans="1:2">
      <c r="A11831" s="59"/>
      <c r="B11831"/>
    </row>
    <row r="11832" spans="1:2">
      <c r="A11832" s="59"/>
      <c r="B11832"/>
    </row>
    <row r="11833" spans="1:2">
      <c r="A11833" s="59"/>
      <c r="B11833"/>
    </row>
    <row r="11834" spans="1:2">
      <c r="A11834" s="59"/>
      <c r="B11834"/>
    </row>
    <row r="11835" spans="1:2">
      <c r="A11835" s="59"/>
      <c r="B11835"/>
    </row>
    <row r="11836" spans="1:2">
      <c r="A11836" s="59"/>
      <c r="B11836"/>
    </row>
    <row r="11837" spans="1:2">
      <c r="A11837" s="59"/>
      <c r="B11837"/>
    </row>
    <row r="11838" spans="1:2">
      <c r="A11838" s="59"/>
      <c r="B11838"/>
    </row>
    <row r="11839" spans="1:2">
      <c r="A11839" s="59"/>
      <c r="B11839"/>
    </row>
    <row r="11840" spans="1:2">
      <c r="A11840" s="59"/>
      <c r="B11840"/>
    </row>
    <row r="11841" spans="1:2">
      <c r="A11841" s="59"/>
      <c r="B11841"/>
    </row>
    <row r="11842" spans="1:2">
      <c r="A11842" s="59"/>
      <c r="B11842"/>
    </row>
    <row r="11843" spans="1:2">
      <c r="A11843" s="59"/>
      <c r="B11843"/>
    </row>
    <row r="11844" spans="1:2">
      <c r="A11844" s="59"/>
      <c r="B11844"/>
    </row>
    <row r="11845" spans="1:2">
      <c r="A11845" s="59"/>
      <c r="B11845"/>
    </row>
    <row r="11846" spans="1:2">
      <c r="A11846" s="59"/>
      <c r="B11846"/>
    </row>
    <row r="11847" spans="1:2">
      <c r="A11847" s="59"/>
      <c r="B11847"/>
    </row>
    <row r="11848" spans="1:2">
      <c r="A11848" s="59"/>
      <c r="B11848"/>
    </row>
    <row r="11849" spans="1:2">
      <c r="A11849" s="59"/>
      <c r="B11849"/>
    </row>
    <row r="11850" spans="1:2">
      <c r="A11850" s="59"/>
      <c r="B11850"/>
    </row>
    <row r="11851" spans="1:2">
      <c r="A11851" s="59"/>
      <c r="B11851"/>
    </row>
    <row r="11852" spans="1:2">
      <c r="A11852" s="59"/>
      <c r="B11852"/>
    </row>
    <row r="11853" spans="1:2">
      <c r="A11853" s="59"/>
      <c r="B11853"/>
    </row>
    <row r="11854" spans="1:2">
      <c r="A11854" s="59"/>
      <c r="B11854"/>
    </row>
    <row r="11855" spans="1:2">
      <c r="A11855" s="59"/>
      <c r="B11855"/>
    </row>
    <row r="11856" spans="1:2">
      <c r="A11856" s="59"/>
      <c r="B11856"/>
    </row>
    <row r="11857" spans="1:2">
      <c r="A11857" s="59"/>
      <c r="B11857"/>
    </row>
    <row r="11858" spans="1:2">
      <c r="A11858" s="59"/>
      <c r="B11858"/>
    </row>
    <row r="11859" spans="1:2">
      <c r="A11859" s="59"/>
      <c r="B11859"/>
    </row>
    <row r="11860" spans="1:2">
      <c r="A11860" s="59"/>
      <c r="B11860"/>
    </row>
    <row r="11861" spans="1:2">
      <c r="A11861" s="59"/>
      <c r="B11861"/>
    </row>
    <row r="11862" spans="1:2">
      <c r="A11862" s="59"/>
      <c r="B11862"/>
    </row>
    <row r="11863" spans="1:2">
      <c r="A11863" s="59"/>
      <c r="B11863"/>
    </row>
    <row r="11864" spans="1:2">
      <c r="A11864" s="59"/>
      <c r="B11864"/>
    </row>
    <row r="11865" spans="1:2">
      <c r="A11865" s="59"/>
      <c r="B11865"/>
    </row>
    <row r="11866" spans="1:2">
      <c r="A11866" s="59"/>
      <c r="B11866"/>
    </row>
    <row r="11867" spans="1:2">
      <c r="A11867" s="59"/>
      <c r="B11867"/>
    </row>
    <row r="11868" spans="1:2">
      <c r="A11868" s="59"/>
      <c r="B11868"/>
    </row>
    <row r="11869" spans="1:2">
      <c r="A11869" s="59"/>
      <c r="B11869"/>
    </row>
    <row r="11870" spans="1:2">
      <c r="A11870" s="59"/>
      <c r="B11870"/>
    </row>
    <row r="11871" spans="1:2">
      <c r="A11871" s="59"/>
      <c r="B11871"/>
    </row>
    <row r="11872" spans="1:2">
      <c r="A11872" s="59"/>
      <c r="B11872"/>
    </row>
    <row r="11873" spans="1:2">
      <c r="A11873" s="59"/>
      <c r="B11873"/>
    </row>
    <row r="11874" spans="1:2">
      <c r="A11874" s="59"/>
      <c r="B11874"/>
    </row>
    <row r="11875" spans="1:2">
      <c r="A11875" s="59"/>
      <c r="B11875"/>
    </row>
    <row r="11876" spans="1:2">
      <c r="A11876" s="59"/>
      <c r="B11876"/>
    </row>
    <row r="11877" spans="1:2">
      <c r="A11877" s="59"/>
      <c r="B11877"/>
    </row>
    <row r="11878" spans="1:2">
      <c r="A11878" s="59"/>
      <c r="B11878"/>
    </row>
    <row r="11879" spans="1:2">
      <c r="A11879" s="59"/>
      <c r="B11879"/>
    </row>
    <row r="11880" spans="1:2">
      <c r="A11880" s="59"/>
      <c r="B11880"/>
    </row>
    <row r="11881" spans="1:2">
      <c r="A11881" s="59"/>
      <c r="B11881"/>
    </row>
    <row r="11882" spans="1:2">
      <c r="A11882" s="59"/>
      <c r="B11882"/>
    </row>
    <row r="11883" spans="1:2">
      <c r="A11883" s="59"/>
      <c r="B11883"/>
    </row>
    <row r="11884" spans="1:2">
      <c r="A11884" s="59"/>
      <c r="B11884"/>
    </row>
    <row r="11885" spans="1:2">
      <c r="A11885" s="59"/>
      <c r="B11885"/>
    </row>
    <row r="11886" spans="1:2">
      <c r="A11886" s="59"/>
      <c r="B11886"/>
    </row>
    <row r="11887" spans="1:2">
      <c r="A11887" s="59"/>
      <c r="B11887"/>
    </row>
    <row r="11888" spans="1:2">
      <c r="A11888" s="59"/>
      <c r="B11888"/>
    </row>
    <row r="11889" spans="1:2">
      <c r="A11889" s="59"/>
      <c r="B11889"/>
    </row>
    <row r="11890" spans="1:2">
      <c r="A11890" s="59"/>
      <c r="B11890"/>
    </row>
    <row r="11891" spans="1:2">
      <c r="A11891" s="59"/>
      <c r="B11891"/>
    </row>
    <row r="11892" spans="1:2">
      <c r="A11892" s="59"/>
      <c r="B11892"/>
    </row>
    <row r="11893" spans="1:2">
      <c r="A11893" s="59"/>
      <c r="B11893"/>
    </row>
    <row r="11894" spans="1:2">
      <c r="A11894" s="59"/>
      <c r="B11894"/>
    </row>
    <row r="11895" spans="1:2">
      <c r="A11895" s="59"/>
      <c r="B11895"/>
    </row>
    <row r="11896" spans="1:2">
      <c r="A11896" s="59"/>
      <c r="B11896"/>
    </row>
    <row r="11897" spans="1:2">
      <c r="A11897" s="59"/>
      <c r="B11897"/>
    </row>
    <row r="11898" spans="1:2">
      <c r="A11898" s="59"/>
      <c r="B11898"/>
    </row>
    <row r="11899" spans="1:2">
      <c r="A11899" s="59"/>
      <c r="B11899"/>
    </row>
    <row r="11900" spans="1:2">
      <c r="A11900" s="59"/>
      <c r="B11900"/>
    </row>
    <row r="11901" spans="1:2">
      <c r="A11901" s="59"/>
      <c r="B11901"/>
    </row>
    <row r="11902" spans="1:2">
      <c r="A11902" s="59"/>
      <c r="B11902"/>
    </row>
    <row r="11903" spans="1:2">
      <c r="A11903" s="59"/>
      <c r="B11903"/>
    </row>
    <row r="11904" spans="1:2">
      <c r="A11904" s="59"/>
      <c r="B11904"/>
    </row>
    <row r="11905" spans="1:2">
      <c r="A11905" s="59"/>
      <c r="B11905"/>
    </row>
    <row r="11906" spans="1:2">
      <c r="A11906" s="59"/>
      <c r="B11906"/>
    </row>
    <row r="11907" spans="1:2">
      <c r="A11907" s="59"/>
      <c r="B11907"/>
    </row>
    <row r="11908" spans="1:2">
      <c r="A11908" s="59"/>
      <c r="B11908"/>
    </row>
    <row r="11909" spans="1:2">
      <c r="A11909" s="59"/>
      <c r="B11909"/>
    </row>
    <row r="11910" spans="1:2">
      <c r="A11910" s="59"/>
      <c r="B11910"/>
    </row>
    <row r="11911" spans="1:2">
      <c r="A11911" s="59"/>
      <c r="B11911"/>
    </row>
    <row r="11912" spans="1:2">
      <c r="A11912" s="59"/>
      <c r="B11912"/>
    </row>
    <row r="11913" spans="1:2">
      <c r="A11913" s="59"/>
      <c r="B11913"/>
    </row>
    <row r="11914" spans="1:2">
      <c r="A11914" s="59"/>
      <c r="B11914"/>
    </row>
    <row r="11915" spans="1:2">
      <c r="A11915" s="59"/>
      <c r="B11915"/>
    </row>
    <row r="11916" spans="1:2">
      <c r="A11916" s="59"/>
      <c r="B11916"/>
    </row>
    <row r="11917" spans="1:2">
      <c r="A11917" s="59"/>
      <c r="B11917"/>
    </row>
    <row r="11918" spans="1:2">
      <c r="A11918" s="59"/>
      <c r="B11918"/>
    </row>
    <row r="11919" spans="1:2">
      <c r="A11919" s="59"/>
      <c r="B11919"/>
    </row>
    <row r="11920" spans="1:2">
      <c r="A11920" s="59"/>
      <c r="B11920"/>
    </row>
    <row r="11921" spans="1:2">
      <c r="A11921" s="59"/>
      <c r="B11921"/>
    </row>
    <row r="11922" spans="1:2">
      <c r="A11922" s="59"/>
      <c r="B11922"/>
    </row>
    <row r="11923" spans="1:2">
      <c r="A11923" s="59"/>
      <c r="B11923"/>
    </row>
    <row r="11924" spans="1:2">
      <c r="A11924" s="59"/>
      <c r="B11924"/>
    </row>
    <row r="11925" spans="1:2">
      <c r="A11925" s="59"/>
      <c r="B11925"/>
    </row>
    <row r="11926" spans="1:2">
      <c r="A11926" s="59"/>
      <c r="B11926"/>
    </row>
    <row r="11927" spans="1:2">
      <c r="A11927" s="59"/>
      <c r="B11927"/>
    </row>
    <row r="11928" spans="1:2">
      <c r="A11928" s="59"/>
      <c r="B11928"/>
    </row>
    <row r="11929" spans="1:2">
      <c r="A11929" s="59"/>
      <c r="B11929"/>
    </row>
    <row r="11930" spans="1:2">
      <c r="A11930" s="59"/>
      <c r="B11930"/>
    </row>
    <row r="11931" spans="1:2">
      <c r="A11931" s="59"/>
      <c r="B11931"/>
    </row>
    <row r="11932" spans="1:2">
      <c r="A11932" s="59"/>
      <c r="B11932"/>
    </row>
    <row r="11933" spans="1:2">
      <c r="A11933" s="59"/>
      <c r="B11933"/>
    </row>
    <row r="11934" spans="1:2">
      <c r="A11934" s="59"/>
      <c r="B11934"/>
    </row>
    <row r="11935" spans="1:2">
      <c r="A11935" s="59"/>
      <c r="B11935"/>
    </row>
    <row r="11936" spans="1:2">
      <c r="A11936" s="59"/>
      <c r="B11936"/>
    </row>
    <row r="11937" spans="1:2">
      <c r="A11937" s="59"/>
      <c r="B11937"/>
    </row>
    <row r="11938" spans="1:2">
      <c r="A11938" s="59"/>
      <c r="B11938"/>
    </row>
    <row r="11939" spans="1:2">
      <c r="A11939" s="59"/>
      <c r="B11939"/>
    </row>
    <row r="11940" spans="1:2">
      <c r="A11940" s="59"/>
      <c r="B11940"/>
    </row>
    <row r="11941" spans="1:2">
      <c r="A11941" s="59"/>
      <c r="B11941"/>
    </row>
    <row r="11942" spans="1:2">
      <c r="A11942" s="59"/>
      <c r="B11942"/>
    </row>
    <row r="11943" spans="1:2">
      <c r="A11943" s="59"/>
      <c r="B11943"/>
    </row>
    <row r="11944" spans="1:2">
      <c r="A11944" s="59"/>
      <c r="B11944"/>
    </row>
    <row r="11945" spans="1:2">
      <c r="A11945" s="59"/>
      <c r="B11945"/>
    </row>
    <row r="11946" spans="1:2">
      <c r="A11946" s="59"/>
      <c r="B11946"/>
    </row>
    <row r="11947" spans="1:2">
      <c r="A11947" s="59"/>
      <c r="B11947"/>
    </row>
    <row r="11948" spans="1:2">
      <c r="A11948" s="59"/>
      <c r="B11948"/>
    </row>
    <row r="11949" spans="1:2">
      <c r="A11949" s="59"/>
      <c r="B11949"/>
    </row>
    <row r="11950" spans="1:2">
      <c r="A11950" s="59"/>
      <c r="B11950"/>
    </row>
    <row r="11951" spans="1:2">
      <c r="A11951" s="59"/>
      <c r="B11951"/>
    </row>
    <row r="11952" spans="1:2">
      <c r="A11952" s="59"/>
      <c r="B11952"/>
    </row>
    <row r="11953" spans="1:2">
      <c r="A11953" s="59"/>
      <c r="B11953"/>
    </row>
    <row r="11954" spans="1:2">
      <c r="A11954" s="59"/>
      <c r="B11954"/>
    </row>
    <row r="11955" spans="1:2">
      <c r="A11955" s="59"/>
      <c r="B11955"/>
    </row>
    <row r="11956" spans="1:2">
      <c r="A11956" s="59"/>
      <c r="B11956"/>
    </row>
    <row r="11957" spans="1:2">
      <c r="A11957" s="59"/>
      <c r="B11957"/>
    </row>
    <row r="11958" spans="1:2">
      <c r="A11958" s="59"/>
      <c r="B11958"/>
    </row>
    <row r="11959" spans="1:2">
      <c r="A11959" s="59"/>
      <c r="B11959"/>
    </row>
    <row r="11960" spans="1:2">
      <c r="A11960" s="59"/>
      <c r="B11960"/>
    </row>
    <row r="11961" spans="1:2">
      <c r="A11961" s="59"/>
      <c r="B11961"/>
    </row>
    <row r="11962" spans="1:2">
      <c r="A11962" s="59"/>
      <c r="B11962"/>
    </row>
    <row r="11963" spans="1:2">
      <c r="A11963" s="59"/>
      <c r="B11963"/>
    </row>
    <row r="11964" spans="1:2">
      <c r="A11964" s="59"/>
      <c r="B11964"/>
    </row>
    <row r="11965" spans="1:2">
      <c r="A11965" s="59"/>
      <c r="B11965"/>
    </row>
    <row r="11966" spans="1:2">
      <c r="A11966" s="59"/>
      <c r="B11966"/>
    </row>
    <row r="11967" spans="1:2">
      <c r="A11967" s="59"/>
      <c r="B11967"/>
    </row>
    <row r="11968" spans="1:2">
      <c r="A11968" s="59"/>
      <c r="B11968"/>
    </row>
    <row r="11969" spans="1:2">
      <c r="A11969" s="59"/>
      <c r="B11969"/>
    </row>
    <row r="11970" spans="1:2">
      <c r="A11970" s="59"/>
      <c r="B11970"/>
    </row>
    <row r="11971" spans="1:2">
      <c r="A11971" s="59"/>
      <c r="B11971"/>
    </row>
    <row r="11972" spans="1:2">
      <c r="A11972" s="59"/>
      <c r="B11972"/>
    </row>
    <row r="11973" spans="1:2">
      <c r="A11973" s="59"/>
      <c r="B11973"/>
    </row>
    <row r="11974" spans="1:2">
      <c r="A11974" s="59"/>
      <c r="B11974"/>
    </row>
    <row r="11975" spans="1:2">
      <c r="A11975" s="59"/>
      <c r="B11975"/>
    </row>
    <row r="11976" spans="1:2">
      <c r="A11976" s="59"/>
      <c r="B11976"/>
    </row>
    <row r="11977" spans="1:2">
      <c r="A11977" s="59"/>
      <c r="B11977"/>
    </row>
    <row r="11978" spans="1:2">
      <c r="A11978" s="59"/>
      <c r="B11978"/>
    </row>
    <row r="11979" spans="1:2">
      <c r="A11979" s="59"/>
      <c r="B11979"/>
    </row>
    <row r="11980" spans="1:2">
      <c r="A11980" s="59"/>
      <c r="B11980"/>
    </row>
    <row r="11981" spans="1:2">
      <c r="A11981" s="59"/>
      <c r="B11981"/>
    </row>
    <row r="11982" spans="1:2">
      <c r="A11982" s="59"/>
      <c r="B11982"/>
    </row>
    <row r="11983" spans="1:2">
      <c r="A11983" s="59"/>
      <c r="B11983"/>
    </row>
    <row r="11984" spans="1:2">
      <c r="A11984" s="59"/>
      <c r="B11984"/>
    </row>
    <row r="11985" spans="1:2">
      <c r="A11985" s="59"/>
      <c r="B11985"/>
    </row>
    <row r="11986" spans="1:2">
      <c r="A11986" s="59"/>
      <c r="B11986"/>
    </row>
    <row r="11987" spans="1:2">
      <c r="A11987" s="59"/>
      <c r="B11987"/>
    </row>
    <row r="11988" spans="1:2">
      <c r="A11988" s="59"/>
      <c r="B11988"/>
    </row>
    <row r="11989" spans="1:2">
      <c r="A11989" s="59"/>
      <c r="B11989"/>
    </row>
    <row r="11990" spans="1:2">
      <c r="A11990" s="59"/>
      <c r="B11990"/>
    </row>
    <row r="11991" spans="1:2">
      <c r="A11991" s="59"/>
      <c r="B11991"/>
    </row>
    <row r="11992" spans="1:2">
      <c r="A11992" s="59"/>
      <c r="B11992"/>
    </row>
    <row r="11993" spans="1:2">
      <c r="A11993" s="59"/>
      <c r="B11993"/>
    </row>
    <row r="11994" spans="1:2">
      <c r="A11994" s="59"/>
      <c r="B11994"/>
    </row>
    <row r="11995" spans="1:2">
      <c r="A11995" s="59"/>
      <c r="B11995"/>
    </row>
    <row r="11996" spans="1:2">
      <c r="A11996" s="59"/>
      <c r="B11996"/>
    </row>
    <row r="11997" spans="1:2">
      <c r="A11997" s="59"/>
      <c r="B11997"/>
    </row>
    <row r="11998" spans="1:2">
      <c r="A11998" s="59"/>
      <c r="B11998"/>
    </row>
    <row r="11999" spans="1:2">
      <c r="A11999" s="59"/>
      <c r="B11999"/>
    </row>
    <row r="12000" spans="1:2">
      <c r="A12000" s="59"/>
      <c r="B12000"/>
    </row>
    <row r="12001" spans="1:2">
      <c r="A12001" s="59"/>
      <c r="B12001"/>
    </row>
    <row r="12002" spans="1:2">
      <c r="A12002" s="59"/>
      <c r="B12002"/>
    </row>
    <row r="12003" spans="1:2">
      <c r="A12003" s="59"/>
      <c r="B12003"/>
    </row>
    <row r="12004" spans="1:2">
      <c r="A12004" s="59"/>
      <c r="B12004"/>
    </row>
    <row r="12005" spans="1:2">
      <c r="A12005" s="59"/>
      <c r="B12005"/>
    </row>
    <row r="12006" spans="1:2">
      <c r="A12006" s="59"/>
      <c r="B12006"/>
    </row>
    <row r="12007" spans="1:2">
      <c r="A12007" s="59"/>
      <c r="B12007"/>
    </row>
    <row r="12008" spans="1:2">
      <c r="A12008" s="59"/>
      <c r="B12008"/>
    </row>
    <row r="12009" spans="1:2">
      <c r="A12009" s="59"/>
      <c r="B12009"/>
    </row>
    <row r="12010" spans="1:2">
      <c r="A12010" s="59"/>
      <c r="B12010"/>
    </row>
    <row r="12011" spans="1:2">
      <c r="A12011" s="59"/>
      <c r="B12011"/>
    </row>
    <row r="12012" spans="1:2">
      <c r="A12012" s="59"/>
      <c r="B12012"/>
    </row>
    <row r="12013" spans="1:2">
      <c r="A12013" s="59"/>
      <c r="B12013"/>
    </row>
    <row r="12014" spans="1:2">
      <c r="A12014" s="59"/>
      <c r="B12014"/>
    </row>
    <row r="12015" spans="1:2">
      <c r="A12015" s="59"/>
      <c r="B12015"/>
    </row>
    <row r="12016" spans="1:2">
      <c r="A12016" s="59"/>
      <c r="B12016"/>
    </row>
    <row r="12017" spans="1:2">
      <c r="A12017" s="59"/>
      <c r="B12017"/>
    </row>
    <row r="12018" spans="1:2">
      <c r="A12018" s="59"/>
      <c r="B12018"/>
    </row>
    <row r="12019" spans="1:2">
      <c r="A12019" s="59"/>
      <c r="B12019"/>
    </row>
    <row r="12020" spans="1:2">
      <c r="A12020" s="59"/>
      <c r="B12020"/>
    </row>
    <row r="12021" spans="1:2">
      <c r="A12021" s="59"/>
      <c r="B12021"/>
    </row>
    <row r="12022" spans="1:2">
      <c r="A12022" s="59"/>
      <c r="B12022"/>
    </row>
    <row r="12023" spans="1:2">
      <c r="A12023" s="59"/>
      <c r="B12023"/>
    </row>
    <row r="12024" spans="1:2">
      <c r="A12024" s="59"/>
      <c r="B12024"/>
    </row>
    <row r="12025" spans="1:2">
      <c r="A12025" s="59"/>
      <c r="B12025"/>
    </row>
    <row r="12026" spans="1:2">
      <c r="A12026" s="59"/>
      <c r="B12026"/>
    </row>
    <row r="12027" spans="1:2">
      <c r="A12027" s="59"/>
      <c r="B12027"/>
    </row>
    <row r="12028" spans="1:2">
      <c r="A12028" s="59"/>
      <c r="B12028"/>
    </row>
    <row r="12029" spans="1:2">
      <c r="A12029" s="59"/>
      <c r="B12029"/>
    </row>
    <row r="12030" spans="1:2">
      <c r="A12030" s="59"/>
      <c r="B12030"/>
    </row>
    <row r="12031" spans="1:2">
      <c r="A12031" s="59"/>
      <c r="B12031"/>
    </row>
    <row r="12032" spans="1:2">
      <c r="A12032" s="59"/>
      <c r="B12032"/>
    </row>
    <row r="12033" spans="1:2">
      <c r="A12033" s="59"/>
      <c r="B12033"/>
    </row>
    <row r="12034" spans="1:2">
      <c r="A12034" s="59"/>
      <c r="B12034"/>
    </row>
    <row r="12035" spans="1:2">
      <c r="A12035" s="59"/>
      <c r="B12035"/>
    </row>
    <row r="12036" spans="1:2">
      <c r="A12036" s="59"/>
      <c r="B12036"/>
    </row>
    <row r="12037" spans="1:2">
      <c r="A12037" s="59"/>
      <c r="B12037"/>
    </row>
    <row r="12038" spans="1:2">
      <c r="A12038" s="59"/>
      <c r="B12038"/>
    </row>
    <row r="12039" spans="1:2">
      <c r="A12039" s="59"/>
      <c r="B12039"/>
    </row>
    <row r="12040" spans="1:2">
      <c r="A12040" s="59"/>
      <c r="B12040"/>
    </row>
    <row r="12041" spans="1:2">
      <c r="A12041" s="59"/>
      <c r="B12041"/>
    </row>
    <row r="12042" spans="1:2">
      <c r="A12042" s="59"/>
      <c r="B12042"/>
    </row>
    <row r="12043" spans="1:2">
      <c r="A12043" s="59"/>
      <c r="B12043"/>
    </row>
    <row r="12044" spans="1:2">
      <c r="A12044" s="59"/>
      <c r="B12044"/>
    </row>
    <row r="12045" spans="1:2">
      <c r="A12045" s="59"/>
      <c r="B12045"/>
    </row>
    <row r="12046" spans="1:2">
      <c r="A12046" s="59"/>
      <c r="B12046"/>
    </row>
    <row r="12047" spans="1:2">
      <c r="A12047" s="59"/>
      <c r="B12047"/>
    </row>
    <row r="12048" spans="1:2">
      <c r="A12048" s="59"/>
      <c r="B12048"/>
    </row>
    <row r="12049" spans="1:2">
      <c r="A12049" s="59"/>
      <c r="B12049"/>
    </row>
    <row r="12050" spans="1:2">
      <c r="A12050" s="59"/>
      <c r="B12050"/>
    </row>
    <row r="12051" spans="1:2">
      <c r="A12051" s="59"/>
      <c r="B12051"/>
    </row>
    <row r="12052" spans="1:2">
      <c r="A12052" s="59"/>
      <c r="B12052"/>
    </row>
    <row r="12053" spans="1:2">
      <c r="A12053" s="59"/>
      <c r="B12053"/>
    </row>
    <row r="12054" spans="1:2">
      <c r="A12054" s="59"/>
      <c r="B12054"/>
    </row>
    <row r="12055" spans="1:2">
      <c r="A12055" s="59"/>
      <c r="B12055"/>
    </row>
    <row r="12056" spans="1:2">
      <c r="A12056" s="59"/>
      <c r="B12056"/>
    </row>
    <row r="12057" spans="1:2">
      <c r="A12057" s="59"/>
      <c r="B12057"/>
    </row>
    <row r="12058" spans="1:2">
      <c r="A12058" s="59"/>
      <c r="B12058"/>
    </row>
    <row r="12059" spans="1:2">
      <c r="A12059" s="59"/>
      <c r="B12059"/>
    </row>
    <row r="12060" spans="1:2">
      <c r="A12060" s="59"/>
      <c r="B12060"/>
    </row>
    <row r="12061" spans="1:2">
      <c r="A12061" s="59"/>
      <c r="B12061"/>
    </row>
    <row r="12062" spans="1:2">
      <c r="A12062" s="59"/>
      <c r="B12062"/>
    </row>
    <row r="12063" spans="1:2">
      <c r="A12063" s="59"/>
      <c r="B12063"/>
    </row>
    <row r="12064" spans="1:2">
      <c r="A12064" s="59"/>
      <c r="B12064"/>
    </row>
    <row r="12065" spans="1:2">
      <c r="A12065" s="59"/>
      <c r="B12065"/>
    </row>
    <row r="12066" spans="1:2">
      <c r="A12066" s="59"/>
      <c r="B12066"/>
    </row>
    <row r="12067" spans="1:2">
      <c r="A12067" s="59"/>
      <c r="B12067"/>
    </row>
    <row r="12068" spans="1:2">
      <c r="A12068" s="59"/>
      <c r="B12068"/>
    </row>
    <row r="12069" spans="1:2">
      <c r="A12069" s="59"/>
      <c r="B12069"/>
    </row>
    <row r="12070" spans="1:2">
      <c r="A12070" s="59"/>
      <c r="B12070"/>
    </row>
    <row r="12071" spans="1:2">
      <c r="A12071" s="59"/>
      <c r="B12071"/>
    </row>
    <row r="12072" spans="1:2">
      <c r="A12072" s="59"/>
      <c r="B12072"/>
    </row>
    <row r="12073" spans="1:2">
      <c r="A12073" s="59"/>
      <c r="B12073"/>
    </row>
    <row r="12074" spans="1:2">
      <c r="A12074" s="59"/>
      <c r="B12074"/>
    </row>
    <row r="12075" spans="1:2">
      <c r="A12075" s="59"/>
      <c r="B12075"/>
    </row>
    <row r="12076" spans="1:2">
      <c r="A12076" s="59"/>
      <c r="B12076"/>
    </row>
    <row r="12077" spans="1:2">
      <c r="A12077" s="59"/>
      <c r="B12077"/>
    </row>
    <row r="12078" spans="1:2">
      <c r="A12078" s="59"/>
      <c r="B12078"/>
    </row>
    <row r="12079" spans="1:2">
      <c r="A12079" s="59"/>
      <c r="B12079"/>
    </row>
    <row r="12080" spans="1:2">
      <c r="A12080" s="59"/>
      <c r="B12080"/>
    </row>
    <row r="12081" spans="1:2">
      <c r="A12081" s="59"/>
      <c r="B12081"/>
    </row>
    <row r="12082" spans="1:2">
      <c r="A12082" s="59"/>
      <c r="B12082"/>
    </row>
    <row r="12083" spans="1:2">
      <c r="A12083" s="59"/>
      <c r="B12083"/>
    </row>
    <row r="12084" spans="1:2">
      <c r="A12084" s="59"/>
      <c r="B12084"/>
    </row>
    <row r="12085" spans="1:2">
      <c r="A12085" s="59"/>
      <c r="B12085"/>
    </row>
    <row r="12086" spans="1:2">
      <c r="A12086" s="59"/>
      <c r="B12086"/>
    </row>
    <row r="12087" spans="1:2">
      <c r="A12087" s="59"/>
      <c r="B12087"/>
    </row>
    <row r="12088" spans="1:2">
      <c r="A12088" s="59"/>
      <c r="B12088"/>
    </row>
    <row r="12089" spans="1:2">
      <c r="A12089" s="59"/>
      <c r="B12089"/>
    </row>
    <row r="12090" spans="1:2">
      <c r="A12090" s="59"/>
      <c r="B12090"/>
    </row>
    <row r="12091" spans="1:2">
      <c r="A12091" s="59"/>
      <c r="B12091"/>
    </row>
    <row r="12092" spans="1:2">
      <c r="A12092" s="59"/>
      <c r="B12092"/>
    </row>
    <row r="12093" spans="1:2">
      <c r="A12093" s="59"/>
      <c r="B12093"/>
    </row>
    <row r="12094" spans="1:2">
      <c r="A12094" s="59"/>
      <c r="B12094"/>
    </row>
    <row r="12095" spans="1:2">
      <c r="A12095" s="59"/>
      <c r="B12095"/>
    </row>
    <row r="12096" spans="1:2">
      <c r="A12096" s="59"/>
      <c r="B12096"/>
    </row>
    <row r="12097" spans="1:2">
      <c r="A12097" s="59"/>
      <c r="B12097"/>
    </row>
    <row r="12098" spans="1:2">
      <c r="A12098" s="59"/>
      <c r="B12098"/>
    </row>
    <row r="12099" spans="1:2">
      <c r="A12099" s="59"/>
      <c r="B12099"/>
    </row>
    <row r="12100" spans="1:2">
      <c r="A12100" s="59"/>
      <c r="B12100"/>
    </row>
    <row r="12101" spans="1:2">
      <c r="A12101" s="59"/>
      <c r="B12101"/>
    </row>
    <row r="12102" spans="1:2">
      <c r="A12102" s="59"/>
      <c r="B12102"/>
    </row>
    <row r="12103" spans="1:2">
      <c r="A12103" s="59"/>
      <c r="B12103"/>
    </row>
    <row r="12104" spans="1:2">
      <c r="A12104" s="59"/>
      <c r="B12104"/>
    </row>
    <row r="12105" spans="1:2">
      <c r="A12105" s="59"/>
      <c r="B12105"/>
    </row>
    <row r="12106" spans="1:2">
      <c r="A12106" s="59"/>
      <c r="B12106"/>
    </row>
    <row r="12107" spans="1:2">
      <c r="A12107" s="59"/>
      <c r="B12107"/>
    </row>
    <row r="12108" spans="1:2">
      <c r="A12108" s="59"/>
      <c r="B12108"/>
    </row>
    <row r="12109" spans="1:2">
      <c r="A12109" s="59"/>
      <c r="B12109"/>
    </row>
    <row r="12110" spans="1:2">
      <c r="A12110" s="59"/>
      <c r="B12110"/>
    </row>
    <row r="12111" spans="1:2">
      <c r="A12111" s="59"/>
      <c r="B12111"/>
    </row>
    <row r="12112" spans="1:2">
      <c r="A12112" s="59"/>
      <c r="B12112"/>
    </row>
    <row r="12113" spans="1:2">
      <c r="A12113" s="59"/>
      <c r="B12113"/>
    </row>
    <row r="12114" spans="1:2">
      <c r="A12114" s="59"/>
      <c r="B12114"/>
    </row>
    <row r="12115" spans="1:2">
      <c r="A12115" s="59"/>
      <c r="B12115"/>
    </row>
    <row r="12116" spans="1:2">
      <c r="A12116" s="59"/>
      <c r="B12116"/>
    </row>
    <row r="12117" spans="1:2">
      <c r="A12117" s="59"/>
      <c r="B12117"/>
    </row>
    <row r="12118" spans="1:2">
      <c r="A12118" s="59"/>
      <c r="B12118"/>
    </row>
    <row r="12119" spans="1:2">
      <c r="A12119" s="59"/>
      <c r="B12119"/>
    </row>
    <row r="12120" spans="1:2">
      <c r="A12120" s="59"/>
      <c r="B12120"/>
    </row>
    <row r="12121" spans="1:2">
      <c r="A12121" s="59"/>
      <c r="B12121"/>
    </row>
    <row r="12122" spans="1:2">
      <c r="A12122" s="59"/>
      <c r="B12122"/>
    </row>
    <row r="12123" spans="1:2">
      <c r="A12123" s="59"/>
      <c r="B12123"/>
    </row>
    <row r="12124" spans="1:2">
      <c r="A12124" s="59"/>
      <c r="B12124"/>
    </row>
    <row r="12125" spans="1:2">
      <c r="A12125" s="59"/>
      <c r="B12125"/>
    </row>
    <row r="12126" spans="1:2">
      <c r="A12126" s="59"/>
      <c r="B12126"/>
    </row>
    <row r="12127" spans="1:2">
      <c r="A12127" s="59"/>
      <c r="B12127"/>
    </row>
    <row r="12128" spans="1:2">
      <c r="A12128" s="59"/>
      <c r="B12128"/>
    </row>
    <row r="12129" spans="1:2">
      <c r="A12129" s="59"/>
      <c r="B12129"/>
    </row>
    <row r="12130" spans="1:2">
      <c r="A12130" s="59"/>
      <c r="B12130"/>
    </row>
    <row r="12131" spans="1:2">
      <c r="A12131" s="59"/>
      <c r="B12131"/>
    </row>
    <row r="12132" spans="1:2">
      <c r="A12132" s="59"/>
      <c r="B12132"/>
    </row>
    <row r="12133" spans="1:2">
      <c r="A12133" s="59"/>
      <c r="B12133"/>
    </row>
    <row r="12134" spans="1:2">
      <c r="A12134" s="59"/>
      <c r="B12134"/>
    </row>
    <row r="12135" spans="1:2">
      <c r="A12135" s="59"/>
      <c r="B12135"/>
    </row>
    <row r="12136" spans="1:2">
      <c r="A12136" s="59"/>
      <c r="B12136"/>
    </row>
    <row r="12137" spans="1:2">
      <c r="A12137" s="59"/>
      <c r="B12137"/>
    </row>
    <row r="12138" spans="1:2">
      <c r="A12138" s="59"/>
      <c r="B12138"/>
    </row>
    <row r="12139" spans="1:2">
      <c r="A12139" s="59"/>
      <c r="B12139"/>
    </row>
    <row r="12140" spans="1:2">
      <c r="A12140" s="59"/>
      <c r="B12140"/>
    </row>
    <row r="12141" spans="1:2">
      <c r="A12141" s="59"/>
      <c r="B12141"/>
    </row>
    <row r="12142" spans="1:2">
      <c r="A12142" s="59"/>
      <c r="B12142"/>
    </row>
    <row r="12143" spans="1:2">
      <c r="A12143" s="59"/>
      <c r="B12143"/>
    </row>
    <row r="12144" spans="1:2">
      <c r="A12144" s="59"/>
      <c r="B12144"/>
    </row>
    <row r="12145" spans="1:2">
      <c r="A12145" s="59"/>
      <c r="B12145"/>
    </row>
    <row r="12146" spans="1:2">
      <c r="A12146" s="59"/>
      <c r="B12146"/>
    </row>
    <row r="12147" spans="1:2">
      <c r="A12147" s="59"/>
      <c r="B12147"/>
    </row>
    <row r="12148" spans="1:2">
      <c r="A12148" s="59"/>
      <c r="B12148"/>
    </row>
    <row r="12149" spans="1:2">
      <c r="A12149" s="59"/>
      <c r="B12149"/>
    </row>
    <row r="12150" spans="1:2">
      <c r="A12150" s="59"/>
      <c r="B12150"/>
    </row>
    <row r="12151" spans="1:2">
      <c r="A12151" s="59"/>
      <c r="B12151"/>
    </row>
    <row r="12152" spans="1:2">
      <c r="A12152" s="59"/>
      <c r="B12152"/>
    </row>
    <row r="12153" spans="1:2">
      <c r="A12153" s="59"/>
      <c r="B12153"/>
    </row>
    <row r="12154" spans="1:2">
      <c r="A12154" s="59"/>
      <c r="B12154"/>
    </row>
    <row r="12155" spans="1:2">
      <c r="A12155" s="59"/>
      <c r="B12155"/>
    </row>
    <row r="12156" spans="1:2">
      <c r="A12156" s="59"/>
      <c r="B12156"/>
    </row>
    <row r="12157" spans="1:2">
      <c r="A12157" s="59"/>
      <c r="B12157"/>
    </row>
    <row r="12158" spans="1:2">
      <c r="A12158" s="59"/>
      <c r="B12158"/>
    </row>
    <row r="12159" spans="1:2">
      <c r="A12159" s="59"/>
      <c r="B12159"/>
    </row>
    <row r="12160" spans="1:2">
      <c r="A12160" s="59"/>
      <c r="B12160"/>
    </row>
    <row r="12161" spans="1:2">
      <c r="A12161" s="59"/>
      <c r="B12161"/>
    </row>
    <row r="12162" spans="1:2">
      <c r="A12162" s="59"/>
      <c r="B12162"/>
    </row>
    <row r="12163" spans="1:2">
      <c r="A12163" s="59"/>
      <c r="B12163"/>
    </row>
    <row r="12164" spans="1:2">
      <c r="A12164" s="59"/>
      <c r="B12164"/>
    </row>
    <row r="12165" spans="1:2">
      <c r="A12165" s="59"/>
      <c r="B12165"/>
    </row>
    <row r="12166" spans="1:2">
      <c r="A12166" s="59"/>
      <c r="B12166"/>
    </row>
    <row r="12167" spans="1:2">
      <c r="A12167" s="59"/>
      <c r="B12167"/>
    </row>
    <row r="12168" spans="1:2">
      <c r="A12168" s="59"/>
      <c r="B12168"/>
    </row>
    <row r="12169" spans="1:2">
      <c r="A12169" s="59"/>
      <c r="B12169"/>
    </row>
    <row r="12170" spans="1:2">
      <c r="A12170" s="59"/>
      <c r="B12170"/>
    </row>
    <row r="12171" spans="1:2">
      <c r="A12171" s="59"/>
      <c r="B12171"/>
    </row>
    <row r="12172" spans="1:2">
      <c r="A12172" s="59"/>
      <c r="B12172"/>
    </row>
    <row r="12173" spans="1:2">
      <c r="A12173" s="59"/>
      <c r="B12173"/>
    </row>
    <row r="12174" spans="1:2">
      <c r="A12174" s="59"/>
      <c r="B12174"/>
    </row>
    <row r="12175" spans="1:2">
      <c r="A12175" s="59"/>
      <c r="B12175"/>
    </row>
    <row r="12176" spans="1:2">
      <c r="A12176" s="59"/>
      <c r="B12176"/>
    </row>
    <row r="12177" spans="1:2">
      <c r="A12177" s="59"/>
      <c r="B12177"/>
    </row>
    <row r="12178" spans="1:2">
      <c r="A12178" s="59"/>
      <c r="B12178"/>
    </row>
    <row r="12179" spans="1:2">
      <c r="A12179" s="59"/>
      <c r="B12179"/>
    </row>
    <row r="12180" spans="1:2">
      <c r="A12180" s="59"/>
      <c r="B12180"/>
    </row>
    <row r="12181" spans="1:2">
      <c r="A12181" s="59"/>
      <c r="B12181"/>
    </row>
    <row r="12182" spans="1:2">
      <c r="A12182" s="59"/>
      <c r="B12182"/>
    </row>
    <row r="12183" spans="1:2">
      <c r="A12183" s="59"/>
      <c r="B12183"/>
    </row>
    <row r="12184" spans="1:2">
      <c r="A12184" s="59"/>
      <c r="B12184"/>
    </row>
    <row r="12185" spans="1:2">
      <c r="A12185" s="59"/>
      <c r="B12185"/>
    </row>
    <row r="12186" spans="1:2">
      <c r="A12186" s="59"/>
      <c r="B12186"/>
    </row>
    <row r="12187" spans="1:2">
      <c r="A12187" s="59"/>
      <c r="B12187"/>
    </row>
    <row r="12188" spans="1:2">
      <c r="A12188" s="59"/>
      <c r="B12188"/>
    </row>
    <row r="12189" spans="1:2">
      <c r="A12189" s="59"/>
      <c r="B12189"/>
    </row>
    <row r="12190" spans="1:2">
      <c r="A12190" s="59"/>
      <c r="B12190"/>
    </row>
    <row r="12191" spans="1:2">
      <c r="A12191" s="59"/>
      <c r="B12191"/>
    </row>
    <row r="12192" spans="1:2">
      <c r="A12192" s="59"/>
      <c r="B12192"/>
    </row>
    <row r="12193" spans="1:2">
      <c r="A12193" s="59"/>
      <c r="B12193"/>
    </row>
    <row r="12194" spans="1:2">
      <c r="A12194" s="59"/>
      <c r="B12194"/>
    </row>
    <row r="12195" spans="1:2">
      <c r="A12195" s="59"/>
      <c r="B12195"/>
    </row>
    <row r="12196" spans="1:2">
      <c r="A12196" s="59"/>
      <c r="B12196"/>
    </row>
    <row r="12197" spans="1:2">
      <c r="A12197" s="59"/>
      <c r="B12197"/>
    </row>
    <row r="12198" spans="1:2">
      <c r="A12198" s="59"/>
      <c r="B12198"/>
    </row>
    <row r="12199" spans="1:2">
      <c r="A12199" s="59"/>
      <c r="B12199"/>
    </row>
    <row r="12200" spans="1:2">
      <c r="A12200" s="59"/>
      <c r="B12200"/>
    </row>
    <row r="12201" spans="1:2">
      <c r="A12201" s="59"/>
      <c r="B12201"/>
    </row>
    <row r="12202" spans="1:2">
      <c r="A12202" s="59"/>
      <c r="B12202"/>
    </row>
    <row r="12203" spans="1:2">
      <c r="A12203" s="59"/>
      <c r="B12203"/>
    </row>
    <row r="12204" spans="1:2">
      <c r="A12204" s="59"/>
      <c r="B12204"/>
    </row>
    <row r="12205" spans="1:2">
      <c r="A12205" s="59"/>
      <c r="B12205"/>
    </row>
    <row r="12206" spans="1:2">
      <c r="A12206" s="59"/>
      <c r="B12206"/>
    </row>
    <row r="12207" spans="1:2">
      <c r="A12207" s="59"/>
      <c r="B12207"/>
    </row>
    <row r="12208" spans="1:2">
      <c r="A12208" s="59"/>
      <c r="B12208"/>
    </row>
    <row r="12209" spans="1:2">
      <c r="A12209" s="59"/>
      <c r="B12209"/>
    </row>
    <row r="12210" spans="1:2">
      <c r="A12210" s="59"/>
      <c r="B12210"/>
    </row>
    <row r="12211" spans="1:2">
      <c r="A12211" s="59"/>
      <c r="B12211"/>
    </row>
    <row r="12212" spans="1:2">
      <c r="A12212" s="59"/>
      <c r="B12212"/>
    </row>
    <row r="12213" spans="1:2">
      <c r="A12213" s="59"/>
      <c r="B12213"/>
    </row>
    <row r="12214" spans="1:2">
      <c r="A12214" s="59"/>
      <c r="B12214"/>
    </row>
    <row r="12215" spans="1:2">
      <c r="A12215" s="59"/>
      <c r="B12215"/>
    </row>
    <row r="12216" spans="1:2">
      <c r="A12216" s="59"/>
      <c r="B12216"/>
    </row>
    <row r="12217" spans="1:2">
      <c r="A12217" s="59"/>
      <c r="B12217"/>
    </row>
    <row r="12218" spans="1:2">
      <c r="A12218" s="59"/>
      <c r="B12218"/>
    </row>
    <row r="12219" spans="1:2">
      <c r="A12219" s="59"/>
      <c r="B12219"/>
    </row>
    <row r="12220" spans="1:2">
      <c r="A12220" s="59"/>
      <c r="B12220"/>
    </row>
    <row r="12221" spans="1:2">
      <c r="A12221" s="59"/>
      <c r="B12221"/>
    </row>
    <row r="12222" spans="1:2">
      <c r="A12222" s="59"/>
      <c r="B12222"/>
    </row>
    <row r="12223" spans="1:2">
      <c r="A12223" s="59"/>
      <c r="B12223"/>
    </row>
    <row r="12224" spans="1:2">
      <c r="A12224" s="59"/>
      <c r="B12224"/>
    </row>
    <row r="12225" spans="1:2">
      <c r="A12225" s="59"/>
      <c r="B12225"/>
    </row>
    <row r="12226" spans="1:2">
      <c r="A12226" s="59"/>
      <c r="B12226"/>
    </row>
    <row r="12227" spans="1:2">
      <c r="A12227" s="59"/>
      <c r="B12227"/>
    </row>
    <row r="12228" spans="1:2">
      <c r="A12228" s="59"/>
      <c r="B12228"/>
    </row>
    <row r="12229" spans="1:2">
      <c r="A12229" s="59"/>
      <c r="B12229"/>
    </row>
    <row r="12230" spans="1:2">
      <c r="A12230" s="59"/>
      <c r="B12230"/>
    </row>
    <row r="12231" spans="1:2">
      <c r="A12231" s="59"/>
      <c r="B12231"/>
    </row>
    <row r="12232" spans="1:2">
      <c r="A12232" s="59"/>
      <c r="B12232"/>
    </row>
    <row r="12233" spans="1:2">
      <c r="A12233" s="59"/>
      <c r="B12233"/>
    </row>
    <row r="12234" spans="1:2">
      <c r="A12234" s="59"/>
      <c r="B12234"/>
    </row>
    <row r="12235" spans="1:2">
      <c r="A12235" s="59"/>
      <c r="B12235"/>
    </row>
    <row r="12236" spans="1:2">
      <c r="A12236" s="59"/>
      <c r="B12236"/>
    </row>
    <row r="12237" spans="1:2">
      <c r="A12237" s="59"/>
      <c r="B12237"/>
    </row>
    <row r="12238" spans="1:2">
      <c r="A12238" s="59"/>
      <c r="B12238"/>
    </row>
    <row r="12239" spans="1:2">
      <c r="A12239" s="59"/>
      <c r="B12239"/>
    </row>
    <row r="12240" spans="1:2">
      <c r="A12240" s="59"/>
      <c r="B12240"/>
    </row>
    <row r="12241" spans="1:2">
      <c r="A12241" s="59"/>
      <c r="B12241"/>
    </row>
    <row r="12242" spans="1:2">
      <c r="A12242" s="59"/>
      <c r="B12242"/>
    </row>
    <row r="12243" spans="1:2">
      <c r="A12243" s="59"/>
      <c r="B12243"/>
    </row>
    <row r="12244" spans="1:2">
      <c r="A12244" s="59"/>
      <c r="B12244"/>
    </row>
    <row r="12245" spans="1:2">
      <c r="A12245" s="59"/>
      <c r="B12245"/>
    </row>
    <row r="12246" spans="1:2">
      <c r="A12246" s="59"/>
      <c r="B12246"/>
    </row>
    <row r="12247" spans="1:2">
      <c r="A12247" s="59"/>
      <c r="B12247"/>
    </row>
    <row r="12248" spans="1:2">
      <c r="A12248" s="59"/>
      <c r="B12248"/>
    </row>
    <row r="12249" spans="1:2">
      <c r="A12249" s="59"/>
      <c r="B12249"/>
    </row>
    <row r="12250" spans="1:2">
      <c r="A12250" s="59"/>
      <c r="B12250"/>
    </row>
    <row r="12251" spans="1:2">
      <c r="A12251" s="59"/>
      <c r="B12251"/>
    </row>
    <row r="12252" spans="1:2">
      <c r="A12252" s="59"/>
      <c r="B12252"/>
    </row>
    <row r="12253" spans="1:2">
      <c r="A12253" s="59"/>
      <c r="B12253"/>
    </row>
    <row r="12254" spans="1:2">
      <c r="A12254" s="59"/>
      <c r="B12254"/>
    </row>
    <row r="12255" spans="1:2">
      <c r="A12255" s="59"/>
      <c r="B12255"/>
    </row>
    <row r="12256" spans="1:2">
      <c r="A12256" s="59"/>
      <c r="B12256"/>
    </row>
    <row r="12257" spans="1:2">
      <c r="A12257" s="59"/>
      <c r="B12257"/>
    </row>
    <row r="12258" spans="1:2">
      <c r="A12258" s="59"/>
      <c r="B12258"/>
    </row>
    <row r="12259" spans="1:2">
      <c r="A12259" s="59"/>
      <c r="B12259"/>
    </row>
    <row r="12260" spans="1:2">
      <c r="A12260" s="59"/>
      <c r="B12260"/>
    </row>
    <row r="12261" spans="1:2">
      <c r="A12261" s="59"/>
      <c r="B12261"/>
    </row>
    <row r="12262" spans="1:2">
      <c r="A12262" s="59"/>
      <c r="B12262"/>
    </row>
    <row r="12263" spans="1:2">
      <c r="A12263" s="59"/>
      <c r="B12263"/>
    </row>
    <row r="12264" spans="1:2">
      <c r="A12264" s="59"/>
      <c r="B12264"/>
    </row>
    <row r="12265" spans="1:2">
      <c r="A12265" s="59"/>
      <c r="B12265"/>
    </row>
    <row r="12266" spans="1:2">
      <c r="A12266" s="59"/>
      <c r="B12266"/>
    </row>
    <row r="12267" spans="1:2">
      <c r="A12267" s="59"/>
      <c r="B12267"/>
    </row>
    <row r="12268" spans="1:2">
      <c r="A12268" s="59"/>
      <c r="B12268"/>
    </row>
    <row r="12269" spans="1:2">
      <c r="A12269" s="59"/>
      <c r="B12269"/>
    </row>
    <row r="12270" spans="1:2">
      <c r="A12270" s="59"/>
      <c r="B12270"/>
    </row>
    <row r="12271" spans="1:2">
      <c r="A12271" s="59"/>
      <c r="B12271"/>
    </row>
    <row r="12272" spans="1:2">
      <c r="A12272" s="59"/>
      <c r="B12272"/>
    </row>
    <row r="12273" spans="1:2">
      <c r="A12273" s="59"/>
      <c r="B12273"/>
    </row>
    <row r="12274" spans="1:2">
      <c r="A12274" s="59"/>
      <c r="B12274"/>
    </row>
    <row r="12275" spans="1:2">
      <c r="A12275" s="59"/>
      <c r="B12275"/>
    </row>
    <row r="12276" spans="1:2">
      <c r="A12276" s="59"/>
      <c r="B12276"/>
    </row>
    <row r="12277" spans="1:2">
      <c r="A12277" s="59"/>
      <c r="B12277"/>
    </row>
    <row r="12278" spans="1:2">
      <c r="A12278" s="59"/>
      <c r="B12278"/>
    </row>
    <row r="12279" spans="1:2">
      <c r="A12279" s="59"/>
      <c r="B12279"/>
    </row>
    <row r="12280" spans="1:2">
      <c r="A12280" s="59"/>
      <c r="B12280"/>
    </row>
    <row r="12281" spans="1:2">
      <c r="A12281" s="59"/>
      <c r="B12281"/>
    </row>
    <row r="12282" spans="1:2">
      <c r="A12282" s="59"/>
      <c r="B12282"/>
    </row>
    <row r="12283" spans="1:2">
      <c r="A12283" s="59"/>
      <c r="B12283"/>
    </row>
    <row r="12284" spans="1:2">
      <c r="A12284" s="59"/>
      <c r="B12284"/>
    </row>
    <row r="12285" spans="1:2">
      <c r="A12285" s="59"/>
      <c r="B12285"/>
    </row>
    <row r="12286" spans="1:2">
      <c r="A12286" s="59"/>
      <c r="B12286"/>
    </row>
    <row r="12287" spans="1:2">
      <c r="A12287" s="59"/>
      <c r="B12287"/>
    </row>
    <row r="12288" spans="1:2">
      <c r="A12288" s="59"/>
      <c r="B12288"/>
    </row>
    <row r="12289" spans="1:2">
      <c r="A12289" s="59"/>
      <c r="B12289"/>
    </row>
    <row r="12290" spans="1:2">
      <c r="A12290" s="59"/>
      <c r="B12290"/>
    </row>
    <row r="12291" spans="1:2">
      <c r="A12291" s="59"/>
      <c r="B12291"/>
    </row>
    <row r="12292" spans="1:2">
      <c r="A12292" s="59"/>
      <c r="B12292"/>
    </row>
    <row r="12293" spans="1:2">
      <c r="A12293" s="59"/>
      <c r="B12293"/>
    </row>
    <row r="12294" spans="1:2">
      <c r="A12294" s="59"/>
      <c r="B12294"/>
    </row>
    <row r="12295" spans="1:2">
      <c r="A12295" s="59"/>
      <c r="B12295"/>
    </row>
    <row r="12296" spans="1:2">
      <c r="A12296" s="59"/>
      <c r="B12296"/>
    </row>
    <row r="12297" spans="1:2">
      <c r="A12297" s="59"/>
      <c r="B12297"/>
    </row>
    <row r="12298" spans="1:2">
      <c r="A12298" s="59"/>
      <c r="B12298"/>
    </row>
    <row r="12299" spans="1:2">
      <c r="A12299" s="59"/>
      <c r="B12299"/>
    </row>
    <row r="12300" spans="1:2">
      <c r="A12300" s="59"/>
      <c r="B12300"/>
    </row>
    <row r="12301" spans="1:2">
      <c r="A12301" s="59"/>
      <c r="B12301"/>
    </row>
    <row r="12302" spans="1:2">
      <c r="A12302" s="59"/>
      <c r="B12302"/>
    </row>
    <row r="12303" spans="1:2">
      <c r="A12303" s="59"/>
      <c r="B12303"/>
    </row>
    <row r="12304" spans="1:2">
      <c r="A12304" s="59"/>
      <c r="B12304"/>
    </row>
    <row r="12305" spans="1:2">
      <c r="A12305" s="59"/>
      <c r="B12305"/>
    </row>
    <row r="12306" spans="1:2">
      <c r="A12306" s="59"/>
      <c r="B12306"/>
    </row>
    <row r="12307" spans="1:2">
      <c r="A12307" s="59"/>
      <c r="B12307"/>
    </row>
    <row r="12308" spans="1:2">
      <c r="A12308" s="59"/>
      <c r="B12308"/>
    </row>
    <row r="12309" spans="1:2">
      <c r="A12309" s="59"/>
      <c r="B12309"/>
    </row>
    <row r="12310" spans="1:2">
      <c r="A12310" s="59"/>
      <c r="B12310"/>
    </row>
    <row r="12311" spans="1:2">
      <c r="A12311" s="59"/>
      <c r="B12311"/>
    </row>
    <row r="12312" spans="1:2">
      <c r="A12312" s="59"/>
      <c r="B12312"/>
    </row>
    <row r="12313" spans="1:2">
      <c r="A12313" s="59"/>
      <c r="B12313"/>
    </row>
    <row r="12314" spans="1:2">
      <c r="A12314" s="59"/>
      <c r="B12314"/>
    </row>
    <row r="12315" spans="1:2">
      <c r="A12315" s="59"/>
      <c r="B12315"/>
    </row>
    <row r="12316" spans="1:2">
      <c r="A12316" s="59"/>
      <c r="B12316"/>
    </row>
    <row r="12317" spans="1:2">
      <c r="A12317" s="59"/>
      <c r="B12317"/>
    </row>
    <row r="12318" spans="1:2">
      <c r="A12318" s="59"/>
      <c r="B12318"/>
    </row>
    <row r="12319" spans="1:2">
      <c r="A12319" s="59"/>
      <c r="B12319"/>
    </row>
    <row r="12320" spans="1:2">
      <c r="A12320" s="59"/>
      <c r="B12320"/>
    </row>
    <row r="12321" spans="1:2">
      <c r="A12321" s="59"/>
      <c r="B12321"/>
    </row>
    <row r="12322" spans="1:2">
      <c r="A12322" s="59"/>
      <c r="B12322"/>
    </row>
    <row r="12323" spans="1:2">
      <c r="A12323" s="59"/>
      <c r="B12323"/>
    </row>
    <row r="12324" spans="1:2">
      <c r="A12324" s="59"/>
      <c r="B12324"/>
    </row>
    <row r="12325" spans="1:2">
      <c r="A12325" s="59"/>
      <c r="B12325"/>
    </row>
    <row r="12326" spans="1:2">
      <c r="A12326" s="59"/>
      <c r="B12326"/>
    </row>
    <row r="12327" spans="1:2">
      <c r="A12327" s="59"/>
      <c r="B12327"/>
    </row>
    <row r="12328" spans="1:2">
      <c r="A12328" s="59"/>
      <c r="B12328"/>
    </row>
    <row r="12329" spans="1:2">
      <c r="A12329" s="59"/>
      <c r="B12329"/>
    </row>
    <row r="12330" spans="1:2">
      <c r="A12330" s="59"/>
      <c r="B12330"/>
    </row>
    <row r="12331" spans="1:2">
      <c r="A12331" s="59"/>
      <c r="B12331"/>
    </row>
    <row r="12332" spans="1:2">
      <c r="A12332" s="59"/>
      <c r="B12332"/>
    </row>
    <row r="12333" spans="1:2">
      <c r="A12333" s="59"/>
      <c r="B12333"/>
    </row>
    <row r="12334" spans="1:2">
      <c r="A12334" s="59"/>
      <c r="B12334"/>
    </row>
    <row r="12335" spans="1:2">
      <c r="A12335" s="59"/>
      <c r="B12335"/>
    </row>
    <row r="12336" spans="1:2">
      <c r="A12336" s="59"/>
      <c r="B12336"/>
    </row>
    <row r="12337" spans="1:2">
      <c r="A12337" s="59"/>
      <c r="B12337"/>
    </row>
    <row r="12338" spans="1:2">
      <c r="A12338" s="59"/>
      <c r="B12338"/>
    </row>
    <row r="12339" spans="1:2">
      <c r="A12339" s="59"/>
      <c r="B12339"/>
    </row>
    <row r="12340" spans="1:2">
      <c r="A12340" s="59"/>
      <c r="B12340"/>
    </row>
    <row r="12341" spans="1:2">
      <c r="A12341" s="59"/>
      <c r="B12341"/>
    </row>
    <row r="12342" spans="1:2">
      <c r="A12342" s="59"/>
      <c r="B12342"/>
    </row>
    <row r="12343" spans="1:2">
      <c r="A12343" s="59"/>
      <c r="B12343"/>
    </row>
    <row r="12344" spans="1:2">
      <c r="A12344" s="59"/>
      <c r="B12344"/>
    </row>
    <row r="12345" spans="1:2">
      <c r="A12345" s="59"/>
      <c r="B12345"/>
    </row>
    <row r="12346" spans="1:2">
      <c r="A12346" s="59"/>
      <c r="B12346"/>
    </row>
    <row r="12347" spans="1:2">
      <c r="A12347" s="59"/>
      <c r="B12347"/>
    </row>
    <row r="12348" spans="1:2">
      <c r="A12348" s="59"/>
      <c r="B12348"/>
    </row>
    <row r="12349" spans="1:2">
      <c r="A12349" s="59"/>
      <c r="B12349"/>
    </row>
    <row r="12350" spans="1:2">
      <c r="A12350" s="59"/>
      <c r="B12350"/>
    </row>
    <row r="12351" spans="1:2">
      <c r="A12351" s="59"/>
      <c r="B12351"/>
    </row>
    <row r="12352" spans="1:2">
      <c r="A12352" s="59"/>
      <c r="B12352"/>
    </row>
    <row r="12353" spans="1:2">
      <c r="A12353" s="59"/>
      <c r="B12353"/>
    </row>
    <row r="12354" spans="1:2">
      <c r="A12354" s="59"/>
      <c r="B12354"/>
    </row>
    <row r="12355" spans="1:2">
      <c r="A12355" s="59"/>
      <c r="B12355"/>
    </row>
    <row r="12356" spans="1:2">
      <c r="A12356" s="59"/>
      <c r="B12356"/>
    </row>
    <row r="12357" spans="1:2">
      <c r="A12357" s="59"/>
      <c r="B12357"/>
    </row>
    <row r="12358" spans="1:2">
      <c r="A12358" s="59"/>
      <c r="B12358"/>
    </row>
    <row r="12359" spans="1:2">
      <c r="A12359" s="59"/>
      <c r="B12359"/>
    </row>
    <row r="12360" spans="1:2">
      <c r="A12360" s="59"/>
      <c r="B12360"/>
    </row>
    <row r="12361" spans="1:2">
      <c r="A12361" s="59"/>
      <c r="B12361"/>
    </row>
    <row r="12362" spans="1:2">
      <c r="A12362" s="59"/>
      <c r="B12362"/>
    </row>
    <row r="12363" spans="1:2">
      <c r="A12363" s="59"/>
      <c r="B12363"/>
    </row>
    <row r="12364" spans="1:2">
      <c r="A12364" s="59"/>
      <c r="B12364"/>
    </row>
    <row r="12365" spans="1:2">
      <c r="A12365" s="59"/>
      <c r="B12365"/>
    </row>
    <row r="12366" spans="1:2">
      <c r="A12366" s="59"/>
      <c r="B12366"/>
    </row>
    <row r="12367" spans="1:2">
      <c r="A12367" s="59"/>
      <c r="B12367"/>
    </row>
    <row r="12368" spans="1:2">
      <c r="A12368" s="59"/>
      <c r="B12368"/>
    </row>
    <row r="12369" spans="1:2">
      <c r="A12369" s="59"/>
      <c r="B12369"/>
    </row>
    <row r="12370" spans="1:2">
      <c r="A12370" s="59"/>
      <c r="B12370"/>
    </row>
    <row r="12371" spans="1:2">
      <c r="A12371" s="59"/>
      <c r="B12371"/>
    </row>
    <row r="12372" spans="1:2">
      <c r="A12372" s="59"/>
      <c r="B12372"/>
    </row>
    <row r="12373" spans="1:2">
      <c r="A12373" s="59"/>
      <c r="B12373"/>
    </row>
    <row r="12374" spans="1:2">
      <c r="A12374" s="59"/>
      <c r="B12374"/>
    </row>
    <row r="12375" spans="1:2">
      <c r="A12375" s="59"/>
      <c r="B12375"/>
    </row>
    <row r="12376" spans="1:2">
      <c r="A12376" s="59"/>
      <c r="B12376"/>
    </row>
    <row r="12377" spans="1:2">
      <c r="A12377" s="59"/>
      <c r="B12377"/>
    </row>
    <row r="12378" spans="1:2">
      <c r="A12378" s="59"/>
      <c r="B12378"/>
    </row>
    <row r="12379" spans="1:2">
      <c r="A12379" s="59"/>
      <c r="B12379"/>
    </row>
    <row r="12380" spans="1:2">
      <c r="A12380" s="59"/>
      <c r="B12380"/>
    </row>
    <row r="12381" spans="1:2">
      <c r="A12381" s="59"/>
      <c r="B12381"/>
    </row>
    <row r="12382" spans="1:2">
      <c r="A12382" s="59"/>
      <c r="B12382"/>
    </row>
    <row r="12383" spans="1:2">
      <c r="A12383" s="59"/>
      <c r="B12383"/>
    </row>
    <row r="12384" spans="1:2">
      <c r="A12384" s="59"/>
      <c r="B12384"/>
    </row>
    <row r="12385" spans="1:2">
      <c r="A12385" s="59"/>
      <c r="B12385"/>
    </row>
    <row r="12386" spans="1:2">
      <c r="A12386" s="59"/>
      <c r="B12386"/>
    </row>
    <row r="12387" spans="1:2">
      <c r="A12387" s="59"/>
      <c r="B12387"/>
    </row>
    <row r="12388" spans="1:2">
      <c r="A12388" s="59"/>
      <c r="B12388"/>
    </row>
    <row r="12389" spans="1:2">
      <c r="A12389" s="59"/>
      <c r="B12389"/>
    </row>
    <row r="12390" spans="1:2">
      <c r="A12390" s="59"/>
      <c r="B12390"/>
    </row>
    <row r="12391" spans="1:2">
      <c r="A12391" s="59"/>
      <c r="B12391"/>
    </row>
    <row r="12392" spans="1:2">
      <c r="A12392" s="59"/>
      <c r="B12392"/>
    </row>
    <row r="12393" spans="1:2">
      <c r="A12393" s="59"/>
      <c r="B12393"/>
    </row>
    <row r="12394" spans="1:2">
      <c r="A12394" s="59"/>
      <c r="B12394"/>
    </row>
    <row r="12395" spans="1:2">
      <c r="A12395" s="59"/>
      <c r="B12395"/>
    </row>
    <row r="12396" spans="1:2">
      <c r="A12396" s="59"/>
      <c r="B12396"/>
    </row>
    <row r="12397" spans="1:2">
      <c r="A12397" s="59"/>
      <c r="B12397"/>
    </row>
    <row r="12398" spans="1:2">
      <c r="A12398" s="59"/>
      <c r="B12398"/>
    </row>
    <row r="12399" spans="1:2">
      <c r="A12399" s="59"/>
      <c r="B12399"/>
    </row>
    <row r="12400" spans="1:2">
      <c r="A12400" s="59"/>
      <c r="B12400"/>
    </row>
    <row r="12401" spans="1:2">
      <c r="A12401" s="59"/>
      <c r="B12401"/>
    </row>
    <row r="12402" spans="1:2">
      <c r="A12402" s="59"/>
      <c r="B12402"/>
    </row>
    <row r="12403" spans="1:2">
      <c r="A12403" s="59"/>
      <c r="B12403"/>
    </row>
    <row r="12404" spans="1:2">
      <c r="A12404" s="59"/>
      <c r="B12404"/>
    </row>
    <row r="12405" spans="1:2">
      <c r="A12405" s="59"/>
      <c r="B12405"/>
    </row>
    <row r="12406" spans="1:2">
      <c r="A12406" s="59"/>
      <c r="B12406"/>
    </row>
    <row r="12407" spans="1:2">
      <c r="A12407" s="59"/>
      <c r="B12407"/>
    </row>
    <row r="12408" spans="1:2">
      <c r="A12408" s="59"/>
      <c r="B12408"/>
    </row>
    <row r="12409" spans="1:2">
      <c r="A12409" s="59"/>
      <c r="B12409"/>
    </row>
    <row r="12410" spans="1:2">
      <c r="A12410" s="59"/>
      <c r="B12410"/>
    </row>
    <row r="12411" spans="1:2">
      <c r="A12411" s="59"/>
      <c r="B12411"/>
    </row>
    <row r="12412" spans="1:2">
      <c r="A12412" s="59"/>
      <c r="B12412"/>
    </row>
    <row r="12413" spans="1:2">
      <c r="A12413" s="59"/>
      <c r="B12413"/>
    </row>
    <row r="12414" spans="1:2">
      <c r="A12414" s="59"/>
      <c r="B12414"/>
    </row>
    <row r="12415" spans="1:2">
      <c r="A12415" s="59"/>
      <c r="B12415"/>
    </row>
    <row r="12416" spans="1:2">
      <c r="A12416" s="59"/>
      <c r="B12416"/>
    </row>
    <row r="12417" spans="1:2">
      <c r="A12417" s="59"/>
      <c r="B12417"/>
    </row>
    <row r="12418" spans="1:2">
      <c r="A12418" s="59"/>
      <c r="B12418"/>
    </row>
    <row r="12419" spans="1:2">
      <c r="A12419" s="59"/>
      <c r="B12419"/>
    </row>
    <row r="12420" spans="1:2">
      <c r="A12420" s="59"/>
      <c r="B12420"/>
    </row>
    <row r="12421" spans="1:2">
      <c r="A12421" s="59"/>
      <c r="B12421"/>
    </row>
    <row r="12422" spans="1:2">
      <c r="A12422" s="59"/>
      <c r="B12422"/>
    </row>
    <row r="12423" spans="1:2">
      <c r="A12423" s="59"/>
      <c r="B12423"/>
    </row>
    <row r="12424" spans="1:2">
      <c r="A12424" s="59"/>
      <c r="B12424"/>
    </row>
    <row r="12425" spans="1:2">
      <c r="A12425" s="59"/>
      <c r="B12425"/>
    </row>
    <row r="12426" spans="1:2">
      <c r="A12426" s="59"/>
      <c r="B12426"/>
    </row>
    <row r="12427" spans="1:2">
      <c r="A12427" s="59"/>
      <c r="B12427"/>
    </row>
    <row r="12428" spans="1:2">
      <c r="A12428" s="59"/>
      <c r="B12428"/>
    </row>
    <row r="12429" spans="1:2">
      <c r="A12429" s="59"/>
      <c r="B12429"/>
    </row>
    <row r="12430" spans="1:2">
      <c r="A12430" s="59"/>
      <c r="B12430"/>
    </row>
    <row r="12431" spans="1:2">
      <c r="A12431" s="59"/>
      <c r="B12431"/>
    </row>
    <row r="12432" spans="1:2">
      <c r="A12432" s="59"/>
      <c r="B12432"/>
    </row>
    <row r="12433" spans="1:2">
      <c r="A12433" s="59"/>
      <c r="B12433"/>
    </row>
    <row r="12434" spans="1:2">
      <c r="A12434" s="59"/>
      <c r="B12434"/>
    </row>
    <row r="12435" spans="1:2">
      <c r="A12435" s="59"/>
      <c r="B12435"/>
    </row>
    <row r="12436" spans="1:2">
      <c r="A12436" s="59"/>
      <c r="B12436"/>
    </row>
    <row r="12437" spans="1:2">
      <c r="A12437" s="59"/>
      <c r="B12437"/>
    </row>
    <row r="12438" spans="1:2">
      <c r="A12438" s="59"/>
      <c r="B12438"/>
    </row>
    <row r="12439" spans="1:2">
      <c r="A12439" s="59"/>
      <c r="B12439"/>
    </row>
    <row r="12440" spans="1:2">
      <c r="A12440" s="59"/>
      <c r="B12440"/>
    </row>
    <row r="12441" spans="1:2">
      <c r="A12441" s="59"/>
      <c r="B12441"/>
    </row>
    <row r="12442" spans="1:2">
      <c r="A12442" s="59"/>
      <c r="B12442"/>
    </row>
    <row r="12443" spans="1:2">
      <c r="A12443" s="59"/>
      <c r="B12443"/>
    </row>
    <row r="12444" spans="1:2">
      <c r="A12444" s="59"/>
      <c r="B12444"/>
    </row>
    <row r="12445" spans="1:2">
      <c r="A12445" s="59"/>
      <c r="B12445"/>
    </row>
    <row r="12446" spans="1:2">
      <c r="A12446" s="59"/>
      <c r="B12446"/>
    </row>
    <row r="12447" spans="1:2">
      <c r="A12447" s="59"/>
      <c r="B12447"/>
    </row>
    <row r="12448" spans="1:2">
      <c r="A12448" s="59"/>
      <c r="B12448"/>
    </row>
    <row r="12449" spans="1:2">
      <c r="A12449" s="59"/>
      <c r="B12449"/>
    </row>
    <row r="12450" spans="1:2">
      <c r="A12450" s="59"/>
      <c r="B12450"/>
    </row>
    <row r="12451" spans="1:2">
      <c r="A12451" s="59"/>
      <c r="B12451"/>
    </row>
    <row r="12452" spans="1:2">
      <c r="A12452" s="59"/>
      <c r="B12452"/>
    </row>
    <row r="12453" spans="1:2">
      <c r="A12453" s="59"/>
      <c r="B12453"/>
    </row>
    <row r="12454" spans="1:2">
      <c r="A12454" s="59"/>
      <c r="B12454"/>
    </row>
    <row r="12455" spans="1:2">
      <c r="A12455" s="59"/>
      <c r="B12455"/>
    </row>
    <row r="12456" spans="1:2">
      <c r="A12456" s="59"/>
      <c r="B12456"/>
    </row>
    <row r="12457" spans="1:2">
      <c r="A12457" s="59"/>
      <c r="B12457"/>
    </row>
    <row r="12458" spans="1:2">
      <c r="A12458" s="59"/>
      <c r="B12458"/>
    </row>
    <row r="12459" spans="1:2">
      <c r="A12459" s="59"/>
      <c r="B12459"/>
    </row>
    <row r="12460" spans="1:2">
      <c r="A12460" s="59"/>
      <c r="B12460"/>
    </row>
    <row r="12461" spans="1:2">
      <c r="A12461" s="59"/>
      <c r="B12461"/>
    </row>
    <row r="12462" spans="1:2">
      <c r="A12462" s="59"/>
      <c r="B12462"/>
    </row>
    <row r="12463" spans="1:2">
      <c r="A12463" s="59"/>
      <c r="B12463"/>
    </row>
    <row r="12464" spans="1:2">
      <c r="A12464" s="59"/>
      <c r="B12464"/>
    </row>
    <row r="12465" spans="1:2">
      <c r="A12465" s="59"/>
      <c r="B12465"/>
    </row>
    <row r="12466" spans="1:2">
      <c r="A12466" s="59"/>
      <c r="B12466"/>
    </row>
    <row r="12467" spans="1:2">
      <c r="A12467" s="59"/>
      <c r="B12467"/>
    </row>
    <row r="12468" spans="1:2">
      <c r="A12468" s="59"/>
      <c r="B12468"/>
    </row>
    <row r="12469" spans="1:2">
      <c r="A12469" s="59"/>
      <c r="B12469"/>
    </row>
    <row r="12470" spans="1:2">
      <c r="A12470" s="59"/>
      <c r="B12470"/>
    </row>
    <row r="12471" spans="1:2">
      <c r="A12471" s="59"/>
      <c r="B12471"/>
    </row>
    <row r="12472" spans="1:2">
      <c r="A12472" s="59"/>
      <c r="B12472"/>
    </row>
    <row r="12473" spans="1:2">
      <c r="A12473" s="59"/>
      <c r="B12473"/>
    </row>
    <row r="12474" spans="1:2">
      <c r="A12474" s="59"/>
      <c r="B12474"/>
    </row>
    <row r="12475" spans="1:2">
      <c r="A12475" s="59"/>
      <c r="B12475"/>
    </row>
    <row r="12476" spans="1:2">
      <c r="A12476" s="59"/>
      <c r="B12476"/>
    </row>
    <row r="12477" spans="1:2">
      <c r="A12477" s="59"/>
      <c r="B12477"/>
    </row>
    <row r="12478" spans="1:2">
      <c r="A12478" s="59"/>
      <c r="B12478"/>
    </row>
    <row r="12479" spans="1:2">
      <c r="A12479" s="59"/>
      <c r="B12479"/>
    </row>
    <row r="12480" spans="1:2">
      <c r="A12480" s="59"/>
      <c r="B12480"/>
    </row>
    <row r="12481" spans="1:2">
      <c r="A12481" s="59"/>
      <c r="B12481"/>
    </row>
    <row r="12482" spans="1:2">
      <c r="A12482" s="59"/>
      <c r="B12482"/>
    </row>
    <row r="12483" spans="1:2">
      <c r="A12483" s="59"/>
      <c r="B12483"/>
    </row>
    <row r="12484" spans="1:2">
      <c r="A12484" s="59"/>
      <c r="B12484"/>
    </row>
    <row r="12485" spans="1:2">
      <c r="A12485" s="59"/>
      <c r="B12485"/>
    </row>
    <row r="12486" spans="1:2">
      <c r="A12486" s="59"/>
      <c r="B12486"/>
    </row>
    <row r="12487" spans="1:2">
      <c r="A12487" s="59"/>
      <c r="B12487"/>
    </row>
    <row r="12488" spans="1:2">
      <c r="A12488" s="59"/>
      <c r="B12488"/>
    </row>
    <row r="12489" spans="1:2">
      <c r="A12489" s="59"/>
      <c r="B12489"/>
    </row>
    <row r="12490" spans="1:2">
      <c r="A12490" s="59"/>
      <c r="B12490"/>
    </row>
    <row r="12491" spans="1:2">
      <c r="A12491" s="59"/>
      <c r="B12491"/>
    </row>
    <row r="12492" spans="1:2">
      <c r="A12492" s="59"/>
      <c r="B12492"/>
    </row>
    <row r="12493" spans="1:2">
      <c r="A12493" s="59"/>
      <c r="B12493"/>
    </row>
    <row r="12494" spans="1:2">
      <c r="A12494" s="59"/>
      <c r="B12494"/>
    </row>
    <row r="12495" spans="1:2">
      <c r="A12495" s="59"/>
      <c r="B12495"/>
    </row>
    <row r="12496" spans="1:2">
      <c r="A12496" s="59"/>
      <c r="B12496"/>
    </row>
    <row r="12497" spans="1:2">
      <c r="A12497" s="59"/>
      <c r="B12497"/>
    </row>
    <row r="12498" spans="1:2">
      <c r="A12498" s="59"/>
      <c r="B12498"/>
    </row>
    <row r="12499" spans="1:2">
      <c r="A12499" s="59"/>
      <c r="B12499"/>
    </row>
    <row r="12500" spans="1:2">
      <c r="A12500" s="59"/>
      <c r="B12500"/>
    </row>
    <row r="12501" spans="1:2">
      <c r="A12501" s="59"/>
      <c r="B12501"/>
    </row>
    <row r="12502" spans="1:2">
      <c r="A12502" s="59"/>
      <c r="B12502"/>
    </row>
    <row r="12503" spans="1:2">
      <c r="A12503" s="59"/>
      <c r="B12503"/>
    </row>
    <row r="12504" spans="1:2">
      <c r="A12504" s="59"/>
      <c r="B12504"/>
    </row>
    <row r="12505" spans="1:2">
      <c r="A12505" s="59"/>
      <c r="B12505"/>
    </row>
    <row r="12506" spans="1:2">
      <c r="A12506" s="59"/>
      <c r="B12506"/>
    </row>
    <row r="12507" spans="1:2">
      <c r="A12507" s="59"/>
      <c r="B12507"/>
    </row>
    <row r="12508" spans="1:2">
      <c r="A12508" s="59"/>
      <c r="B12508"/>
    </row>
    <row r="12509" spans="1:2">
      <c r="A12509" s="59"/>
      <c r="B12509"/>
    </row>
    <row r="12510" spans="1:2">
      <c r="A12510" s="59"/>
      <c r="B12510"/>
    </row>
    <row r="12511" spans="1:2">
      <c r="A12511" s="59"/>
      <c r="B12511"/>
    </row>
    <row r="12512" spans="1:2">
      <c r="A12512" s="59"/>
      <c r="B12512"/>
    </row>
    <row r="12513" spans="1:2">
      <c r="A12513" s="59"/>
      <c r="B12513"/>
    </row>
    <row r="12514" spans="1:2">
      <c r="A12514" s="59"/>
      <c r="B12514"/>
    </row>
    <row r="12515" spans="1:2">
      <c r="A12515" s="59"/>
      <c r="B12515"/>
    </row>
    <row r="12516" spans="1:2">
      <c r="A12516" s="59"/>
      <c r="B12516"/>
    </row>
    <row r="12517" spans="1:2">
      <c r="A12517" s="59"/>
      <c r="B12517"/>
    </row>
    <row r="12518" spans="1:2">
      <c r="A12518" s="59"/>
      <c r="B12518"/>
    </row>
    <row r="12519" spans="1:2">
      <c r="A12519" s="59"/>
      <c r="B12519"/>
    </row>
    <row r="12520" spans="1:2">
      <c r="A12520" s="59"/>
      <c r="B12520"/>
    </row>
    <row r="12521" spans="1:2">
      <c r="A12521" s="59"/>
      <c r="B12521"/>
    </row>
    <row r="12522" spans="1:2">
      <c r="A12522" s="59"/>
      <c r="B12522"/>
    </row>
    <row r="12523" spans="1:2">
      <c r="A12523" s="59"/>
      <c r="B12523"/>
    </row>
    <row r="12524" spans="1:2">
      <c r="A12524" s="59"/>
      <c r="B12524"/>
    </row>
    <row r="12525" spans="1:2">
      <c r="A12525" s="59"/>
      <c r="B12525"/>
    </row>
    <row r="12526" spans="1:2">
      <c r="A12526" s="59"/>
      <c r="B12526"/>
    </row>
    <row r="12527" spans="1:2">
      <c r="A12527" s="59"/>
      <c r="B12527"/>
    </row>
    <row r="12528" spans="1:2">
      <c r="A12528" s="59"/>
      <c r="B12528"/>
    </row>
    <row r="12529" spans="1:2">
      <c r="A12529" s="59"/>
      <c r="B12529"/>
    </row>
    <row r="12530" spans="1:2">
      <c r="A12530" s="59"/>
      <c r="B12530"/>
    </row>
    <row r="12531" spans="1:2">
      <c r="A12531" s="59"/>
      <c r="B12531"/>
    </row>
    <row r="12532" spans="1:2">
      <c r="A12532" s="59"/>
      <c r="B12532"/>
    </row>
    <row r="12533" spans="1:2">
      <c r="A12533" s="59"/>
      <c r="B12533"/>
    </row>
    <row r="12534" spans="1:2">
      <c r="A12534" s="59"/>
      <c r="B12534"/>
    </row>
    <row r="12535" spans="1:2">
      <c r="A12535" s="59"/>
      <c r="B12535"/>
    </row>
    <row r="12536" spans="1:2">
      <c r="A12536" s="59"/>
      <c r="B12536"/>
    </row>
    <row r="12537" spans="1:2">
      <c r="A12537" s="59"/>
      <c r="B12537"/>
    </row>
    <row r="12538" spans="1:2">
      <c r="A12538" s="59"/>
      <c r="B12538"/>
    </row>
    <row r="12539" spans="1:2">
      <c r="A12539" s="59"/>
      <c r="B12539"/>
    </row>
    <row r="12540" spans="1:2">
      <c r="A12540" s="59"/>
      <c r="B12540"/>
    </row>
    <row r="12541" spans="1:2">
      <c r="A12541" s="59"/>
      <c r="B12541"/>
    </row>
    <row r="12542" spans="1:2">
      <c r="A12542" s="59"/>
      <c r="B12542"/>
    </row>
    <row r="12543" spans="1:2">
      <c r="A12543" s="59"/>
      <c r="B12543"/>
    </row>
    <row r="12544" spans="1:2">
      <c r="A12544" s="59"/>
      <c r="B12544"/>
    </row>
    <row r="12545" spans="1:2">
      <c r="A12545" s="59"/>
      <c r="B12545"/>
    </row>
    <row r="12546" spans="1:2">
      <c r="A12546" s="59"/>
      <c r="B12546"/>
    </row>
    <row r="12547" spans="1:2">
      <c r="A12547" s="59"/>
      <c r="B12547"/>
    </row>
    <row r="12548" spans="1:2">
      <c r="A12548" s="59"/>
      <c r="B12548"/>
    </row>
    <row r="12549" spans="1:2">
      <c r="A12549" s="59"/>
      <c r="B12549"/>
    </row>
    <row r="12550" spans="1:2">
      <c r="A12550" s="59"/>
      <c r="B12550"/>
    </row>
    <row r="12551" spans="1:2">
      <c r="A12551" s="59"/>
      <c r="B12551"/>
    </row>
    <row r="12552" spans="1:2">
      <c r="A12552" s="59"/>
      <c r="B12552"/>
    </row>
    <row r="12553" spans="1:2">
      <c r="A12553" s="59"/>
      <c r="B12553"/>
    </row>
    <row r="12554" spans="1:2">
      <c r="A12554" s="59"/>
      <c r="B12554"/>
    </row>
    <row r="12555" spans="1:2">
      <c r="A12555" s="59"/>
      <c r="B12555"/>
    </row>
    <row r="12556" spans="1:2">
      <c r="A12556" s="59"/>
      <c r="B12556"/>
    </row>
    <row r="12557" spans="1:2">
      <c r="A12557" s="59"/>
      <c r="B12557"/>
    </row>
    <row r="12558" spans="1:2">
      <c r="A12558" s="59"/>
      <c r="B12558"/>
    </row>
    <row r="12559" spans="1:2">
      <c r="A12559" s="59"/>
      <c r="B12559"/>
    </row>
    <row r="12560" spans="1:2">
      <c r="A12560" s="59"/>
      <c r="B12560"/>
    </row>
    <row r="12561" spans="1:2">
      <c r="A12561" s="59"/>
      <c r="B12561"/>
    </row>
    <row r="12562" spans="1:2">
      <c r="A12562" s="59"/>
      <c r="B12562"/>
    </row>
    <row r="12563" spans="1:2">
      <c r="A12563" s="59"/>
      <c r="B12563"/>
    </row>
    <row r="12564" spans="1:2">
      <c r="A12564" s="59"/>
      <c r="B12564"/>
    </row>
    <row r="12565" spans="1:2">
      <c r="A12565" s="59"/>
      <c r="B12565"/>
    </row>
    <row r="12566" spans="1:2">
      <c r="A12566" s="59"/>
      <c r="B12566"/>
    </row>
    <row r="12567" spans="1:2">
      <c r="A12567" s="59"/>
      <c r="B12567"/>
    </row>
    <row r="12568" spans="1:2">
      <c r="A12568" s="59"/>
      <c r="B12568"/>
    </row>
    <row r="12569" spans="1:2">
      <c r="A12569" s="59"/>
      <c r="B12569"/>
    </row>
    <row r="12570" spans="1:2">
      <c r="A12570" s="59"/>
      <c r="B12570"/>
    </row>
    <row r="12571" spans="1:2">
      <c r="A12571" s="59"/>
      <c r="B12571"/>
    </row>
    <row r="12572" spans="1:2">
      <c r="A12572" s="59"/>
      <c r="B12572"/>
    </row>
    <row r="12573" spans="1:2">
      <c r="A12573" s="59"/>
      <c r="B12573"/>
    </row>
    <row r="12574" spans="1:2">
      <c r="A12574" s="59"/>
      <c r="B12574"/>
    </row>
    <row r="12575" spans="1:2">
      <c r="A12575" s="59"/>
      <c r="B12575"/>
    </row>
    <row r="12576" spans="1:2">
      <c r="A12576" s="59"/>
      <c r="B12576"/>
    </row>
    <row r="12577" spans="1:2">
      <c r="A12577" s="59"/>
      <c r="B12577"/>
    </row>
    <row r="12578" spans="1:2">
      <c r="A12578" s="59"/>
      <c r="B12578"/>
    </row>
    <row r="12579" spans="1:2">
      <c r="A12579" s="59"/>
      <c r="B12579"/>
    </row>
    <row r="12580" spans="1:2">
      <c r="A12580" s="59"/>
      <c r="B12580"/>
    </row>
    <row r="12581" spans="1:2">
      <c r="A12581" s="59"/>
      <c r="B12581"/>
    </row>
    <row r="12582" spans="1:2">
      <c r="A12582" s="59"/>
      <c r="B12582"/>
    </row>
    <row r="12583" spans="1:2">
      <c r="A12583" s="59"/>
      <c r="B12583"/>
    </row>
    <row r="12584" spans="1:2">
      <c r="A12584" s="59"/>
      <c r="B12584"/>
    </row>
    <row r="12585" spans="1:2">
      <c r="A12585" s="59"/>
      <c r="B12585"/>
    </row>
    <row r="12586" spans="1:2">
      <c r="A12586" s="59"/>
      <c r="B12586"/>
    </row>
    <row r="12587" spans="1:2">
      <c r="A12587" s="59"/>
      <c r="B12587"/>
    </row>
    <row r="12588" spans="1:2">
      <c r="A12588" s="59"/>
      <c r="B12588"/>
    </row>
    <row r="12589" spans="1:2">
      <c r="A12589" s="59"/>
      <c r="B12589"/>
    </row>
    <row r="12590" spans="1:2">
      <c r="A12590" s="59"/>
      <c r="B12590"/>
    </row>
    <row r="12591" spans="1:2">
      <c r="A12591" s="59"/>
      <c r="B12591"/>
    </row>
    <row r="12592" spans="1:2">
      <c r="A12592" s="59"/>
      <c r="B12592"/>
    </row>
    <row r="12593" spans="1:2">
      <c r="A12593" s="59"/>
      <c r="B12593"/>
    </row>
    <row r="12594" spans="1:2">
      <c r="A12594" s="59"/>
      <c r="B12594"/>
    </row>
    <row r="12595" spans="1:2">
      <c r="A12595" s="59"/>
      <c r="B12595"/>
    </row>
    <row r="12596" spans="1:2">
      <c r="A12596" s="59"/>
      <c r="B12596"/>
    </row>
    <row r="12597" spans="1:2">
      <c r="A12597" s="59"/>
      <c r="B12597"/>
    </row>
    <row r="12598" spans="1:2">
      <c r="A12598" s="59"/>
      <c r="B12598"/>
    </row>
    <row r="12599" spans="1:2">
      <c r="A12599" s="59"/>
      <c r="B12599"/>
    </row>
    <row r="12600" spans="1:2">
      <c r="A12600" s="59"/>
      <c r="B12600"/>
    </row>
    <row r="12601" spans="1:2">
      <c r="A12601" s="59"/>
      <c r="B12601"/>
    </row>
    <row r="12602" spans="1:2">
      <c r="A12602" s="59"/>
      <c r="B12602"/>
    </row>
    <row r="12603" spans="1:2">
      <c r="A12603" s="59"/>
      <c r="B12603"/>
    </row>
    <row r="12604" spans="1:2">
      <c r="A12604" s="59"/>
      <c r="B12604"/>
    </row>
    <row r="12605" spans="1:2">
      <c r="A12605" s="59"/>
      <c r="B12605"/>
    </row>
    <row r="12606" spans="1:2">
      <c r="A12606" s="59"/>
      <c r="B12606"/>
    </row>
    <row r="12607" spans="1:2">
      <c r="A12607" s="59"/>
      <c r="B12607"/>
    </row>
    <row r="12608" spans="1:2">
      <c r="A12608" s="59"/>
      <c r="B12608"/>
    </row>
    <row r="12609" spans="1:2">
      <c r="A12609" s="59"/>
      <c r="B12609"/>
    </row>
    <row r="12610" spans="1:2">
      <c r="A12610" s="59"/>
      <c r="B12610"/>
    </row>
    <row r="12611" spans="1:2">
      <c r="A12611" s="59"/>
      <c r="B12611"/>
    </row>
    <row r="12612" spans="1:2">
      <c r="A12612" s="59"/>
      <c r="B12612"/>
    </row>
    <row r="12613" spans="1:2">
      <c r="A12613" s="59"/>
      <c r="B12613"/>
    </row>
    <row r="12614" spans="1:2">
      <c r="A12614" s="59"/>
      <c r="B12614"/>
    </row>
    <row r="12615" spans="1:2">
      <c r="A12615" s="59"/>
      <c r="B12615"/>
    </row>
    <row r="12616" spans="1:2">
      <c r="A12616" s="59"/>
      <c r="B12616"/>
    </row>
    <row r="12617" spans="1:2">
      <c r="A12617" s="59"/>
      <c r="B12617"/>
    </row>
    <row r="12618" spans="1:2">
      <c r="A12618" s="59"/>
      <c r="B12618"/>
    </row>
    <row r="12619" spans="1:2">
      <c r="A12619" s="59"/>
      <c r="B12619"/>
    </row>
    <row r="12620" spans="1:2">
      <c r="A12620" s="59"/>
      <c r="B12620"/>
    </row>
    <row r="12621" spans="1:2">
      <c r="A12621" s="59"/>
      <c r="B12621"/>
    </row>
    <row r="12622" spans="1:2">
      <c r="A12622" s="59"/>
      <c r="B12622"/>
    </row>
    <row r="12623" spans="1:2">
      <c r="A12623" s="59"/>
      <c r="B12623"/>
    </row>
    <row r="12624" spans="1:2">
      <c r="A12624" s="59"/>
      <c r="B12624"/>
    </row>
    <row r="12625" spans="1:2">
      <c r="A12625" s="59"/>
      <c r="B12625"/>
    </row>
    <row r="12626" spans="1:2">
      <c r="A12626" s="59"/>
      <c r="B12626"/>
    </row>
    <row r="12627" spans="1:2">
      <c r="A12627" s="59"/>
      <c r="B12627"/>
    </row>
    <row r="12628" spans="1:2">
      <c r="A12628" s="59"/>
      <c r="B12628"/>
    </row>
    <row r="12629" spans="1:2">
      <c r="A12629" s="59"/>
      <c r="B12629"/>
    </row>
    <row r="12630" spans="1:2">
      <c r="A12630" s="59"/>
      <c r="B12630"/>
    </row>
    <row r="12631" spans="1:2">
      <c r="A12631" s="59"/>
      <c r="B12631"/>
    </row>
    <row r="12632" spans="1:2">
      <c r="A12632" s="59"/>
      <c r="B12632"/>
    </row>
    <row r="12633" spans="1:2">
      <c r="A12633" s="59"/>
      <c r="B12633"/>
    </row>
    <row r="12634" spans="1:2">
      <c r="A12634" s="59"/>
      <c r="B12634"/>
    </row>
    <row r="12635" spans="1:2">
      <c r="A12635" s="59"/>
      <c r="B12635"/>
    </row>
    <row r="12636" spans="1:2">
      <c r="A12636" s="59"/>
      <c r="B12636"/>
    </row>
    <row r="12637" spans="1:2">
      <c r="A12637" s="59"/>
      <c r="B12637"/>
    </row>
    <row r="12638" spans="1:2">
      <c r="A12638" s="59"/>
      <c r="B12638"/>
    </row>
    <row r="12639" spans="1:2">
      <c r="A12639" s="59"/>
      <c r="B12639"/>
    </row>
    <row r="12640" spans="1:2">
      <c r="A12640" s="59"/>
      <c r="B12640"/>
    </row>
    <row r="12641" spans="1:2">
      <c r="A12641" s="59"/>
      <c r="B12641"/>
    </row>
    <row r="12642" spans="1:2">
      <c r="A12642" s="59"/>
      <c r="B12642"/>
    </row>
    <row r="12643" spans="1:2">
      <c r="A12643" s="59"/>
      <c r="B12643"/>
    </row>
    <row r="12644" spans="1:2">
      <c r="A12644" s="59"/>
      <c r="B12644"/>
    </row>
    <row r="12645" spans="1:2">
      <c r="A12645" s="59"/>
      <c r="B12645"/>
    </row>
    <row r="12646" spans="1:2">
      <c r="A12646" s="59"/>
      <c r="B12646"/>
    </row>
    <row r="12647" spans="1:2">
      <c r="A12647" s="59"/>
      <c r="B12647"/>
    </row>
    <row r="12648" spans="1:2">
      <c r="A12648" s="59"/>
      <c r="B12648"/>
    </row>
    <row r="12649" spans="1:2">
      <c r="A12649" s="59"/>
      <c r="B12649"/>
    </row>
    <row r="12650" spans="1:2">
      <c r="A12650" s="59"/>
      <c r="B12650"/>
    </row>
    <row r="12651" spans="1:2">
      <c r="A12651" s="59"/>
      <c r="B12651"/>
    </row>
    <row r="12652" spans="1:2">
      <c r="A12652" s="59"/>
      <c r="B12652"/>
    </row>
    <row r="12653" spans="1:2">
      <c r="A12653" s="59"/>
      <c r="B12653"/>
    </row>
    <row r="12654" spans="1:2">
      <c r="A12654" s="59"/>
      <c r="B12654"/>
    </row>
    <row r="12655" spans="1:2">
      <c r="A12655" s="59"/>
      <c r="B12655"/>
    </row>
    <row r="12656" spans="1:2">
      <c r="A12656" s="59"/>
      <c r="B12656"/>
    </row>
    <row r="12657" spans="1:2">
      <c r="A12657" s="59"/>
      <c r="B12657"/>
    </row>
    <row r="12658" spans="1:2">
      <c r="A12658" s="59"/>
      <c r="B12658"/>
    </row>
    <row r="12659" spans="1:2">
      <c r="A12659" s="59"/>
      <c r="B12659"/>
    </row>
    <row r="12660" spans="1:2">
      <c r="A12660" s="59"/>
      <c r="B12660"/>
    </row>
    <row r="12661" spans="1:2">
      <c r="A12661" s="59"/>
      <c r="B12661"/>
    </row>
    <row r="12662" spans="1:2">
      <c r="A12662" s="59"/>
      <c r="B12662"/>
    </row>
    <row r="12663" spans="1:2">
      <c r="A12663" s="59"/>
      <c r="B12663"/>
    </row>
    <row r="12664" spans="1:2">
      <c r="A12664" s="59"/>
      <c r="B12664"/>
    </row>
    <row r="12665" spans="1:2">
      <c r="A12665" s="59"/>
      <c r="B12665"/>
    </row>
    <row r="12666" spans="1:2">
      <c r="A12666" s="59"/>
      <c r="B12666"/>
    </row>
    <row r="12667" spans="1:2">
      <c r="A12667" s="59"/>
      <c r="B12667"/>
    </row>
    <row r="12668" spans="1:2">
      <c r="A12668" s="59"/>
      <c r="B12668"/>
    </row>
    <row r="12669" spans="1:2">
      <c r="A12669" s="59"/>
      <c r="B12669"/>
    </row>
    <row r="12670" spans="1:2">
      <c r="A12670" s="59"/>
      <c r="B12670"/>
    </row>
    <row r="12671" spans="1:2">
      <c r="A12671" s="59"/>
      <c r="B12671"/>
    </row>
    <row r="12672" spans="1:2">
      <c r="A12672" s="59"/>
      <c r="B12672"/>
    </row>
    <row r="12673" spans="1:2">
      <c r="A12673" s="59"/>
      <c r="B12673"/>
    </row>
    <row r="12674" spans="1:2">
      <c r="A12674" s="59"/>
      <c r="B12674"/>
    </row>
    <row r="12675" spans="1:2">
      <c r="A12675" s="59"/>
      <c r="B12675"/>
    </row>
    <row r="12676" spans="1:2">
      <c r="A12676" s="59"/>
      <c r="B12676"/>
    </row>
    <row r="12677" spans="1:2">
      <c r="A12677" s="59"/>
      <c r="B12677"/>
    </row>
    <row r="12678" spans="1:2">
      <c r="A12678" s="59"/>
      <c r="B12678"/>
    </row>
    <row r="12679" spans="1:2">
      <c r="A12679" s="59"/>
      <c r="B12679"/>
    </row>
    <row r="12680" spans="1:2">
      <c r="A12680" s="59"/>
      <c r="B12680"/>
    </row>
    <row r="12681" spans="1:2">
      <c r="A12681" s="59"/>
      <c r="B12681"/>
    </row>
    <row r="12682" spans="1:2">
      <c r="A12682" s="59"/>
      <c r="B12682"/>
    </row>
    <row r="12683" spans="1:2">
      <c r="A12683" s="59"/>
      <c r="B12683"/>
    </row>
    <row r="12684" spans="1:2">
      <c r="A12684" s="59"/>
      <c r="B12684"/>
    </row>
    <row r="12685" spans="1:2">
      <c r="A12685" s="59"/>
      <c r="B12685"/>
    </row>
    <row r="12686" spans="1:2">
      <c r="A12686" s="59"/>
      <c r="B12686"/>
    </row>
    <row r="12687" spans="1:2">
      <c r="A12687" s="59"/>
      <c r="B12687"/>
    </row>
    <row r="12688" spans="1:2">
      <c r="A12688" s="59"/>
      <c r="B12688"/>
    </row>
    <row r="12689" spans="1:2">
      <c r="A12689" s="59"/>
      <c r="B12689"/>
    </row>
    <row r="12690" spans="1:2">
      <c r="A12690" s="59"/>
      <c r="B12690"/>
    </row>
    <row r="12691" spans="1:2">
      <c r="A12691" s="59"/>
      <c r="B12691"/>
    </row>
    <row r="12692" spans="1:2">
      <c r="A12692" s="59"/>
      <c r="B12692"/>
    </row>
    <row r="12693" spans="1:2">
      <c r="A12693" s="59"/>
      <c r="B12693"/>
    </row>
    <row r="12694" spans="1:2">
      <c r="A12694" s="59"/>
      <c r="B12694"/>
    </row>
    <row r="12695" spans="1:2">
      <c r="A12695" s="59"/>
      <c r="B12695"/>
    </row>
    <row r="12696" spans="1:2">
      <c r="A12696" s="59"/>
      <c r="B12696"/>
    </row>
    <row r="12697" spans="1:2">
      <c r="A12697" s="59"/>
      <c r="B12697"/>
    </row>
    <row r="12698" spans="1:2">
      <c r="A12698" s="59"/>
      <c r="B12698"/>
    </row>
    <row r="12699" spans="1:2">
      <c r="A12699" s="59"/>
      <c r="B12699"/>
    </row>
    <row r="12700" spans="1:2">
      <c r="A12700" s="59"/>
      <c r="B12700"/>
    </row>
    <row r="12701" spans="1:2">
      <c r="A12701" s="59"/>
      <c r="B12701"/>
    </row>
    <row r="12702" spans="1:2">
      <c r="A12702" s="59"/>
      <c r="B12702"/>
    </row>
    <row r="12703" spans="1:2">
      <c r="A12703" s="59"/>
      <c r="B12703"/>
    </row>
    <row r="12704" spans="1:2">
      <c r="A12704" s="59"/>
      <c r="B12704"/>
    </row>
    <row r="12705" spans="1:2">
      <c r="A12705" s="59"/>
      <c r="B12705"/>
    </row>
    <row r="12706" spans="1:2">
      <c r="A12706" s="59"/>
      <c r="B12706"/>
    </row>
    <row r="12707" spans="1:2">
      <c r="A12707" s="59"/>
      <c r="B12707"/>
    </row>
    <row r="12708" spans="1:2">
      <c r="A12708" s="59"/>
      <c r="B12708"/>
    </row>
    <row r="12709" spans="1:2">
      <c r="A12709" s="59"/>
      <c r="B12709"/>
    </row>
    <row r="12710" spans="1:2">
      <c r="A12710" s="59"/>
      <c r="B12710"/>
    </row>
    <row r="12711" spans="1:2">
      <c r="A12711" s="59"/>
      <c r="B12711"/>
    </row>
    <row r="12712" spans="1:2">
      <c r="A12712" s="59"/>
      <c r="B12712"/>
    </row>
    <row r="12713" spans="1:2">
      <c r="A12713" s="59"/>
      <c r="B12713"/>
    </row>
    <row r="12714" spans="1:2">
      <c r="A12714" s="59"/>
      <c r="B12714"/>
    </row>
    <row r="12715" spans="1:2">
      <c r="A12715" s="59"/>
      <c r="B12715"/>
    </row>
    <row r="12716" spans="1:2">
      <c r="A12716" s="59"/>
      <c r="B12716"/>
    </row>
    <row r="12717" spans="1:2">
      <c r="A12717" s="59"/>
      <c r="B12717"/>
    </row>
    <row r="12718" spans="1:2">
      <c r="A12718" s="59"/>
      <c r="B12718"/>
    </row>
    <row r="12719" spans="1:2">
      <c r="A12719" s="59"/>
      <c r="B12719"/>
    </row>
    <row r="12720" spans="1:2">
      <c r="A12720" s="59"/>
      <c r="B12720"/>
    </row>
    <row r="12721" spans="1:2">
      <c r="A12721" s="59"/>
      <c r="B12721"/>
    </row>
    <row r="12722" spans="1:2">
      <c r="A12722" s="59"/>
      <c r="B12722"/>
    </row>
    <row r="12723" spans="1:2">
      <c r="A12723" s="59"/>
      <c r="B12723"/>
    </row>
    <row r="12724" spans="1:2">
      <c r="A12724" s="59"/>
      <c r="B12724"/>
    </row>
    <row r="12725" spans="1:2">
      <c r="A12725" s="59"/>
      <c r="B12725"/>
    </row>
    <row r="12726" spans="1:2">
      <c r="A12726" s="59"/>
      <c r="B12726"/>
    </row>
    <row r="12727" spans="1:2">
      <c r="A12727" s="59"/>
      <c r="B12727"/>
    </row>
    <row r="12728" spans="1:2">
      <c r="A12728" s="59"/>
      <c r="B12728"/>
    </row>
    <row r="12729" spans="1:2">
      <c r="A12729" s="59"/>
      <c r="B12729"/>
    </row>
    <row r="12730" spans="1:2">
      <c r="A12730" s="59"/>
      <c r="B12730"/>
    </row>
    <row r="12731" spans="1:2">
      <c r="A12731" s="59"/>
      <c r="B12731"/>
    </row>
    <row r="12732" spans="1:2">
      <c r="A12732" s="59"/>
      <c r="B12732"/>
    </row>
    <row r="12733" spans="1:2">
      <c r="A12733" s="59"/>
      <c r="B12733"/>
    </row>
    <row r="12734" spans="1:2">
      <c r="A12734" s="59"/>
      <c r="B12734"/>
    </row>
    <row r="12735" spans="1:2">
      <c r="A12735" s="59"/>
      <c r="B12735"/>
    </row>
    <row r="12736" spans="1:2">
      <c r="A12736" s="59"/>
      <c r="B12736"/>
    </row>
    <row r="12737" spans="1:2">
      <c r="A12737" s="59"/>
      <c r="B12737"/>
    </row>
    <row r="12738" spans="1:2">
      <c r="A12738" s="59"/>
      <c r="B12738"/>
    </row>
    <row r="12739" spans="1:2">
      <c r="A12739" s="59"/>
      <c r="B12739"/>
    </row>
    <row r="12740" spans="1:2">
      <c r="A12740" s="59"/>
      <c r="B12740"/>
    </row>
    <row r="12741" spans="1:2">
      <c r="A12741" s="59"/>
      <c r="B12741"/>
    </row>
    <row r="12742" spans="1:2">
      <c r="A12742" s="59"/>
      <c r="B12742"/>
    </row>
    <row r="12743" spans="1:2">
      <c r="A12743" s="59"/>
      <c r="B12743"/>
    </row>
    <row r="12744" spans="1:2">
      <c r="A12744" s="59"/>
      <c r="B12744"/>
    </row>
    <row r="12745" spans="1:2">
      <c r="A12745" s="59"/>
      <c r="B12745"/>
    </row>
    <row r="12746" spans="1:2">
      <c r="A12746" s="59"/>
      <c r="B12746"/>
    </row>
    <row r="12747" spans="1:2">
      <c r="A12747" s="59"/>
      <c r="B12747"/>
    </row>
    <row r="12748" spans="1:2">
      <c r="A12748" s="59"/>
      <c r="B12748"/>
    </row>
    <row r="12749" spans="1:2">
      <c r="A12749" s="59"/>
      <c r="B12749"/>
    </row>
    <row r="12750" spans="1:2">
      <c r="A12750" s="59"/>
      <c r="B12750"/>
    </row>
    <row r="12751" spans="1:2">
      <c r="A12751" s="59"/>
      <c r="B12751"/>
    </row>
    <row r="12752" spans="1:2">
      <c r="A12752" s="59"/>
      <c r="B12752"/>
    </row>
    <row r="12753" spans="1:2">
      <c r="A12753" s="59"/>
      <c r="B12753"/>
    </row>
    <row r="12754" spans="1:2">
      <c r="A12754" s="59"/>
      <c r="B12754"/>
    </row>
    <row r="12755" spans="1:2">
      <c r="A12755" s="59"/>
      <c r="B12755"/>
    </row>
    <row r="12756" spans="1:2">
      <c r="A12756" s="59"/>
      <c r="B12756"/>
    </row>
    <row r="12757" spans="1:2">
      <c r="A12757" s="59"/>
      <c r="B12757"/>
    </row>
    <row r="12758" spans="1:2">
      <c r="A12758" s="59"/>
      <c r="B12758"/>
    </row>
    <row r="12759" spans="1:2">
      <c r="A12759" s="59"/>
      <c r="B12759"/>
    </row>
    <row r="12760" spans="1:2">
      <c r="A12760" s="59"/>
      <c r="B12760"/>
    </row>
    <row r="12761" spans="1:2">
      <c r="A12761" s="59"/>
      <c r="B12761"/>
    </row>
    <row r="12762" spans="1:2">
      <c r="A12762" s="59"/>
      <c r="B12762"/>
    </row>
    <row r="12763" spans="1:2">
      <c r="A12763" s="59"/>
      <c r="B12763"/>
    </row>
    <row r="12764" spans="1:2">
      <c r="A12764" s="59"/>
      <c r="B12764"/>
    </row>
    <row r="12765" spans="1:2">
      <c r="A12765" s="59"/>
      <c r="B12765"/>
    </row>
    <row r="12766" spans="1:2">
      <c r="A12766" s="59"/>
      <c r="B12766"/>
    </row>
    <row r="12767" spans="1:2">
      <c r="A12767" s="59"/>
      <c r="B12767"/>
    </row>
    <row r="12768" spans="1:2">
      <c r="A12768" s="59"/>
      <c r="B12768"/>
    </row>
    <row r="12769" spans="1:2">
      <c r="A12769" s="59"/>
      <c r="B12769"/>
    </row>
    <row r="12770" spans="1:2">
      <c r="A12770" s="59"/>
      <c r="B12770"/>
    </row>
    <row r="12771" spans="1:2">
      <c r="A12771" s="59"/>
      <c r="B12771"/>
    </row>
    <row r="12772" spans="1:2">
      <c r="A12772" s="59"/>
      <c r="B12772"/>
    </row>
    <row r="12773" spans="1:2">
      <c r="A12773" s="59"/>
      <c r="B12773"/>
    </row>
    <row r="12774" spans="1:2">
      <c r="A12774" s="59"/>
      <c r="B12774"/>
    </row>
    <row r="12775" spans="1:2">
      <c r="A12775" s="59"/>
      <c r="B12775"/>
    </row>
    <row r="12776" spans="1:2">
      <c r="A12776" s="59"/>
      <c r="B12776"/>
    </row>
    <row r="12777" spans="1:2">
      <c r="A12777" s="59"/>
      <c r="B12777"/>
    </row>
    <row r="12778" spans="1:2">
      <c r="A12778" s="59"/>
      <c r="B12778"/>
    </row>
    <row r="12779" spans="1:2">
      <c r="A12779" s="59"/>
      <c r="B12779"/>
    </row>
    <row r="12780" spans="1:2">
      <c r="A12780" s="59"/>
      <c r="B12780"/>
    </row>
    <row r="12781" spans="1:2">
      <c r="A12781" s="59"/>
      <c r="B12781"/>
    </row>
    <row r="12782" spans="1:2">
      <c r="A12782" s="59"/>
      <c r="B12782"/>
    </row>
    <row r="12783" spans="1:2">
      <c r="A12783" s="59"/>
      <c r="B12783"/>
    </row>
    <row r="12784" spans="1:2">
      <c r="A12784" s="59"/>
      <c r="B12784"/>
    </row>
    <row r="12785" spans="1:2">
      <c r="A12785" s="59"/>
      <c r="B12785"/>
    </row>
    <row r="12786" spans="1:2">
      <c r="A12786" s="59"/>
      <c r="B12786"/>
    </row>
    <row r="12787" spans="1:2">
      <c r="A12787" s="59"/>
      <c r="B12787"/>
    </row>
    <row r="12788" spans="1:2">
      <c r="A12788" s="59"/>
      <c r="B12788"/>
    </row>
    <row r="12789" spans="1:2">
      <c r="A12789" s="59"/>
      <c r="B12789"/>
    </row>
    <row r="12790" spans="1:2">
      <c r="A12790" s="59"/>
      <c r="B12790"/>
    </row>
    <row r="12791" spans="1:2">
      <c r="A12791" s="59"/>
      <c r="B12791"/>
    </row>
    <row r="12792" spans="1:2">
      <c r="A12792" s="59"/>
      <c r="B12792"/>
    </row>
    <row r="12793" spans="1:2">
      <c r="A12793" s="59"/>
      <c r="B12793"/>
    </row>
    <row r="12794" spans="1:2">
      <c r="A12794" s="59"/>
      <c r="B12794"/>
    </row>
    <row r="12795" spans="1:2">
      <c r="A12795" s="59"/>
      <c r="B12795"/>
    </row>
    <row r="12796" spans="1:2">
      <c r="A12796" s="59"/>
      <c r="B12796"/>
    </row>
    <row r="12797" spans="1:2">
      <c r="A12797" s="59"/>
      <c r="B12797"/>
    </row>
    <row r="12798" spans="1:2">
      <c r="A12798" s="59"/>
      <c r="B12798"/>
    </row>
    <row r="12799" spans="1:2">
      <c r="A12799" s="59"/>
      <c r="B12799"/>
    </row>
    <row r="12800" spans="1:2">
      <c r="A12800" s="59"/>
      <c r="B12800"/>
    </row>
    <row r="12801" spans="1:2">
      <c r="A12801" s="59"/>
      <c r="B12801"/>
    </row>
    <row r="12802" spans="1:2">
      <c r="A12802" s="59"/>
      <c r="B12802"/>
    </row>
    <row r="12803" spans="1:2">
      <c r="A12803" s="59"/>
      <c r="B12803"/>
    </row>
    <row r="12804" spans="1:2">
      <c r="A12804" s="59"/>
      <c r="B12804"/>
    </row>
    <row r="12805" spans="1:2">
      <c r="A12805" s="59"/>
      <c r="B12805"/>
    </row>
    <row r="12806" spans="1:2">
      <c r="A12806" s="59"/>
      <c r="B12806"/>
    </row>
    <row r="12807" spans="1:2">
      <c r="A12807" s="59"/>
      <c r="B12807"/>
    </row>
    <row r="12808" spans="1:2">
      <c r="A12808" s="59"/>
      <c r="B12808"/>
    </row>
    <row r="12809" spans="1:2">
      <c r="A12809" s="59"/>
      <c r="B12809"/>
    </row>
    <row r="12810" spans="1:2">
      <c r="A12810" s="59"/>
      <c r="B12810"/>
    </row>
    <row r="12811" spans="1:2">
      <c r="A12811" s="59"/>
      <c r="B12811"/>
    </row>
    <row r="12812" spans="1:2">
      <c r="A12812" s="59"/>
      <c r="B12812"/>
    </row>
    <row r="12813" spans="1:2">
      <c r="A12813" s="59"/>
      <c r="B12813"/>
    </row>
    <row r="12814" spans="1:2">
      <c r="A12814" s="59"/>
      <c r="B12814"/>
    </row>
    <row r="12815" spans="1:2">
      <c r="A12815" s="59"/>
      <c r="B12815"/>
    </row>
    <row r="12816" spans="1:2">
      <c r="A12816" s="59"/>
      <c r="B12816"/>
    </row>
    <row r="12817" spans="1:2">
      <c r="A12817" s="59"/>
      <c r="B12817"/>
    </row>
    <row r="12818" spans="1:2">
      <c r="A12818" s="59"/>
      <c r="B12818"/>
    </row>
    <row r="12819" spans="1:2">
      <c r="A12819" s="59"/>
      <c r="B12819"/>
    </row>
    <row r="12820" spans="1:2">
      <c r="A12820" s="59"/>
      <c r="B12820"/>
    </row>
    <row r="12821" spans="1:2">
      <c r="A12821" s="59"/>
      <c r="B12821"/>
    </row>
    <row r="12822" spans="1:2">
      <c r="A12822" s="59"/>
      <c r="B12822"/>
    </row>
    <row r="12823" spans="1:2">
      <c r="A12823" s="59"/>
      <c r="B12823"/>
    </row>
    <row r="12824" spans="1:2">
      <c r="A12824" s="59"/>
      <c r="B12824"/>
    </row>
    <row r="12825" spans="1:2">
      <c r="A12825" s="59"/>
      <c r="B12825"/>
    </row>
    <row r="12826" spans="1:2">
      <c r="A12826" s="59"/>
      <c r="B12826"/>
    </row>
    <row r="12827" spans="1:2">
      <c r="A12827" s="59"/>
      <c r="B12827"/>
    </row>
    <row r="12828" spans="1:2">
      <c r="A12828" s="59"/>
      <c r="B12828"/>
    </row>
    <row r="12829" spans="1:2">
      <c r="A12829" s="59"/>
      <c r="B12829"/>
    </row>
    <row r="12830" spans="1:2">
      <c r="A12830" s="59"/>
      <c r="B12830"/>
    </row>
    <row r="12831" spans="1:2">
      <c r="A12831" s="59"/>
      <c r="B12831"/>
    </row>
    <row r="12832" spans="1:2">
      <c r="A12832" s="59"/>
      <c r="B12832"/>
    </row>
    <row r="12833" spans="1:2">
      <c r="A12833" s="59"/>
      <c r="B12833"/>
    </row>
    <row r="12834" spans="1:2">
      <c r="A12834" s="59"/>
      <c r="B12834"/>
    </row>
    <row r="12835" spans="1:2">
      <c r="A12835" s="59"/>
      <c r="B12835"/>
    </row>
    <row r="12836" spans="1:2">
      <c r="A12836" s="59"/>
      <c r="B12836"/>
    </row>
    <row r="12837" spans="1:2">
      <c r="A12837" s="59"/>
      <c r="B12837"/>
    </row>
    <row r="12838" spans="1:2">
      <c r="A12838" s="59"/>
      <c r="B12838"/>
    </row>
    <row r="12839" spans="1:2">
      <c r="A12839" s="59"/>
      <c r="B12839"/>
    </row>
    <row r="12840" spans="1:2">
      <c r="A12840" s="59"/>
      <c r="B12840"/>
    </row>
    <row r="12841" spans="1:2">
      <c r="A12841" s="59"/>
      <c r="B12841"/>
    </row>
    <row r="12842" spans="1:2">
      <c r="A12842" s="59"/>
      <c r="B12842"/>
    </row>
    <row r="12843" spans="1:2">
      <c r="A12843" s="59"/>
      <c r="B12843"/>
    </row>
    <row r="12844" spans="1:2">
      <c r="A12844" s="59"/>
      <c r="B12844"/>
    </row>
    <row r="12845" spans="1:2">
      <c r="A12845" s="59"/>
      <c r="B12845"/>
    </row>
    <row r="12846" spans="1:2">
      <c r="A12846" s="59"/>
      <c r="B12846"/>
    </row>
    <row r="12847" spans="1:2">
      <c r="A12847" s="59"/>
      <c r="B12847"/>
    </row>
    <row r="12848" spans="1:2">
      <c r="A12848" s="59"/>
      <c r="B12848"/>
    </row>
    <row r="12849" spans="1:2">
      <c r="A12849" s="59"/>
      <c r="B12849"/>
    </row>
    <row r="12850" spans="1:2">
      <c r="A12850" s="59"/>
      <c r="B12850"/>
    </row>
    <row r="12851" spans="1:2">
      <c r="A12851" s="59"/>
      <c r="B12851"/>
    </row>
    <row r="12852" spans="1:2">
      <c r="A12852" s="59"/>
      <c r="B12852"/>
    </row>
    <row r="12853" spans="1:2">
      <c r="A12853" s="59"/>
      <c r="B12853"/>
    </row>
    <row r="12854" spans="1:2">
      <c r="A12854" s="59"/>
      <c r="B12854"/>
    </row>
    <row r="12855" spans="1:2">
      <c r="A12855" s="59"/>
      <c r="B12855"/>
    </row>
    <row r="12856" spans="1:2">
      <c r="A12856" s="59"/>
      <c r="B12856"/>
    </row>
    <row r="12857" spans="1:2">
      <c r="A12857" s="59"/>
      <c r="B12857"/>
    </row>
    <row r="12858" spans="1:2">
      <c r="A12858" s="59"/>
      <c r="B12858"/>
    </row>
    <row r="12859" spans="1:2">
      <c r="A12859" s="59"/>
      <c r="B12859"/>
    </row>
    <row r="12860" spans="1:2">
      <c r="A12860" s="59"/>
      <c r="B12860"/>
    </row>
    <row r="12861" spans="1:2">
      <c r="A12861" s="59"/>
      <c r="B12861"/>
    </row>
    <row r="12862" spans="1:2">
      <c r="A12862" s="59"/>
      <c r="B12862"/>
    </row>
    <row r="12863" spans="1:2">
      <c r="A12863" s="59"/>
      <c r="B12863"/>
    </row>
    <row r="12864" spans="1:2">
      <c r="A12864" s="59"/>
      <c r="B12864"/>
    </row>
    <row r="12865" spans="1:2">
      <c r="A12865" s="59"/>
      <c r="B12865"/>
    </row>
    <row r="12866" spans="1:2">
      <c r="A12866" s="59"/>
      <c r="B12866"/>
    </row>
    <row r="12867" spans="1:2">
      <c r="A12867" s="59"/>
      <c r="B12867"/>
    </row>
    <row r="12868" spans="1:2">
      <c r="A12868" s="59"/>
      <c r="B12868"/>
    </row>
    <row r="12869" spans="1:2">
      <c r="A12869" s="59"/>
      <c r="B12869"/>
    </row>
    <row r="12870" spans="1:2">
      <c r="A12870" s="59"/>
      <c r="B12870"/>
    </row>
    <row r="12871" spans="1:2">
      <c r="A12871" s="59"/>
      <c r="B12871"/>
    </row>
    <row r="12872" spans="1:2">
      <c r="A12872" s="59"/>
      <c r="B12872"/>
    </row>
    <row r="12873" spans="1:2">
      <c r="A12873" s="59"/>
      <c r="B12873"/>
    </row>
    <row r="12874" spans="1:2">
      <c r="A12874" s="59"/>
      <c r="B12874"/>
    </row>
    <row r="12875" spans="1:2">
      <c r="A12875" s="59"/>
      <c r="B12875"/>
    </row>
    <row r="12876" spans="1:2">
      <c r="A12876" s="59"/>
      <c r="B12876"/>
    </row>
    <row r="12877" spans="1:2">
      <c r="A12877" s="59"/>
      <c r="B12877"/>
    </row>
    <row r="12878" spans="1:2">
      <c r="A12878" s="59"/>
      <c r="B12878"/>
    </row>
    <row r="12879" spans="1:2">
      <c r="A12879" s="59"/>
      <c r="B12879"/>
    </row>
    <row r="12880" spans="1:2">
      <c r="A12880" s="59"/>
      <c r="B12880"/>
    </row>
    <row r="12881" spans="1:2">
      <c r="A12881" s="59"/>
      <c r="B12881"/>
    </row>
    <row r="12882" spans="1:2">
      <c r="A12882" s="59"/>
      <c r="B12882"/>
    </row>
    <row r="12883" spans="1:2">
      <c r="A12883" s="59"/>
      <c r="B12883"/>
    </row>
    <row r="12884" spans="1:2">
      <c r="A12884" s="59"/>
      <c r="B12884"/>
    </row>
    <row r="12885" spans="1:2">
      <c r="A12885" s="59"/>
      <c r="B12885"/>
    </row>
    <row r="12886" spans="1:2">
      <c r="A12886" s="59"/>
      <c r="B12886"/>
    </row>
    <row r="12887" spans="1:2">
      <c r="A12887" s="59"/>
      <c r="B12887"/>
    </row>
    <row r="12888" spans="1:2">
      <c r="A12888" s="59"/>
      <c r="B12888"/>
    </row>
    <row r="12889" spans="1:2">
      <c r="A12889" s="59"/>
      <c r="B12889"/>
    </row>
    <row r="12890" spans="1:2">
      <c r="A12890" s="59"/>
      <c r="B12890"/>
    </row>
    <row r="12891" spans="1:2">
      <c r="A12891" s="59"/>
      <c r="B12891"/>
    </row>
    <row r="12892" spans="1:2">
      <c r="A12892" s="59"/>
      <c r="B12892"/>
    </row>
    <row r="12893" spans="1:2">
      <c r="A12893" s="59"/>
      <c r="B12893"/>
    </row>
    <row r="12894" spans="1:2">
      <c r="A12894" s="59"/>
      <c r="B12894"/>
    </row>
    <row r="12895" spans="1:2">
      <c r="A12895" s="59"/>
      <c r="B12895"/>
    </row>
    <row r="12896" spans="1:2">
      <c r="A12896" s="59"/>
      <c r="B12896"/>
    </row>
    <row r="12897" spans="1:2">
      <c r="A12897" s="59"/>
      <c r="B12897"/>
    </row>
    <row r="12898" spans="1:2">
      <c r="A12898" s="59"/>
      <c r="B12898"/>
    </row>
    <row r="12899" spans="1:2">
      <c r="A12899" s="59"/>
      <c r="B12899"/>
    </row>
    <row r="12900" spans="1:2">
      <c r="A12900" s="59"/>
      <c r="B12900"/>
    </row>
    <row r="12901" spans="1:2">
      <c r="A12901" s="59"/>
      <c r="B12901"/>
    </row>
    <row r="12902" spans="1:2">
      <c r="A12902" s="59"/>
      <c r="B12902"/>
    </row>
    <row r="12903" spans="1:2">
      <c r="A12903" s="59"/>
      <c r="B12903"/>
    </row>
    <row r="12904" spans="1:2">
      <c r="A12904" s="59"/>
      <c r="B12904"/>
    </row>
    <row r="12905" spans="1:2">
      <c r="A12905" s="59"/>
      <c r="B12905"/>
    </row>
    <row r="12906" spans="1:2">
      <c r="A12906" s="59"/>
      <c r="B12906"/>
    </row>
    <row r="12907" spans="1:2">
      <c r="A12907" s="59"/>
      <c r="B12907"/>
    </row>
    <row r="12908" spans="1:2">
      <c r="A12908" s="59"/>
      <c r="B12908"/>
    </row>
    <row r="12909" spans="1:2">
      <c r="A12909" s="59"/>
      <c r="B12909"/>
    </row>
    <row r="12910" spans="1:2">
      <c r="A12910" s="59"/>
      <c r="B12910"/>
    </row>
    <row r="12911" spans="1:2">
      <c r="A12911" s="59"/>
      <c r="B12911"/>
    </row>
    <row r="12912" spans="1:2">
      <c r="A12912" s="59"/>
      <c r="B12912"/>
    </row>
    <row r="12913" spans="1:2">
      <c r="A12913" s="59"/>
      <c r="B12913"/>
    </row>
    <row r="12914" spans="1:2">
      <c r="A12914" s="59"/>
      <c r="B12914"/>
    </row>
    <row r="12915" spans="1:2">
      <c r="A12915" s="59"/>
      <c r="B12915"/>
    </row>
    <row r="12916" spans="1:2">
      <c r="A12916" s="59"/>
      <c r="B12916"/>
    </row>
    <row r="12917" spans="1:2">
      <c r="A12917" s="59"/>
      <c r="B12917"/>
    </row>
    <row r="12918" spans="1:2">
      <c r="A12918" s="59"/>
      <c r="B12918"/>
    </row>
    <row r="12919" spans="1:2">
      <c r="A12919" s="59"/>
      <c r="B12919"/>
    </row>
    <row r="12920" spans="1:2">
      <c r="A12920" s="59"/>
      <c r="B12920"/>
    </row>
    <row r="12921" spans="1:2">
      <c r="A12921" s="59"/>
      <c r="B12921"/>
    </row>
    <row r="12922" spans="1:2">
      <c r="A12922" s="59"/>
      <c r="B12922"/>
    </row>
    <row r="12923" spans="1:2">
      <c r="A12923" s="59"/>
      <c r="B12923"/>
    </row>
    <row r="12924" spans="1:2">
      <c r="A12924" s="59"/>
      <c r="B12924"/>
    </row>
    <row r="12925" spans="1:2">
      <c r="A12925" s="59"/>
      <c r="B12925"/>
    </row>
    <row r="12926" spans="1:2">
      <c r="A12926" s="59"/>
      <c r="B12926"/>
    </row>
    <row r="12927" spans="1:2">
      <c r="A12927" s="59"/>
      <c r="B12927"/>
    </row>
    <row r="12928" spans="1:2">
      <c r="A12928" s="59"/>
      <c r="B12928"/>
    </row>
    <row r="12929" spans="1:2">
      <c r="A12929" s="59"/>
      <c r="B12929"/>
    </row>
    <row r="12930" spans="1:2">
      <c r="A12930" s="59"/>
      <c r="B12930"/>
    </row>
    <row r="12931" spans="1:2">
      <c r="A12931" s="59"/>
      <c r="B12931"/>
    </row>
    <row r="12932" spans="1:2">
      <c r="A12932" s="59"/>
      <c r="B12932"/>
    </row>
    <row r="12933" spans="1:2">
      <c r="A12933" s="59"/>
      <c r="B12933"/>
    </row>
    <row r="12934" spans="1:2">
      <c r="A12934" s="59"/>
      <c r="B12934"/>
    </row>
    <row r="12935" spans="1:2">
      <c r="A12935" s="59"/>
      <c r="B12935"/>
    </row>
    <row r="12936" spans="1:2">
      <c r="A12936" s="59"/>
      <c r="B12936"/>
    </row>
    <row r="12937" spans="1:2">
      <c r="A12937" s="59"/>
      <c r="B12937"/>
    </row>
    <row r="12938" spans="1:2">
      <c r="A12938" s="59"/>
      <c r="B12938"/>
    </row>
    <row r="12939" spans="1:2">
      <c r="A12939" s="59"/>
      <c r="B12939"/>
    </row>
    <row r="12940" spans="1:2">
      <c r="A12940" s="59"/>
      <c r="B12940"/>
    </row>
    <row r="12941" spans="1:2">
      <c r="A12941" s="59"/>
      <c r="B12941"/>
    </row>
    <row r="12942" spans="1:2">
      <c r="A12942" s="59"/>
      <c r="B12942"/>
    </row>
    <row r="12943" spans="1:2">
      <c r="A12943" s="59"/>
      <c r="B12943"/>
    </row>
    <row r="12944" spans="1:2">
      <c r="A12944" s="59"/>
      <c r="B12944"/>
    </row>
    <row r="12945" spans="1:2">
      <c r="A12945" s="59"/>
      <c r="B12945"/>
    </row>
    <row r="12946" spans="1:2">
      <c r="A12946" s="59"/>
      <c r="B12946"/>
    </row>
    <row r="12947" spans="1:2">
      <c r="A12947" s="59"/>
      <c r="B12947"/>
    </row>
    <row r="12948" spans="1:2">
      <c r="A12948" s="59"/>
      <c r="B12948"/>
    </row>
    <row r="12949" spans="1:2">
      <c r="A12949" s="59"/>
      <c r="B12949"/>
    </row>
    <row r="12950" spans="1:2">
      <c r="A12950" s="59"/>
      <c r="B12950"/>
    </row>
    <row r="12951" spans="1:2">
      <c r="A12951" s="59"/>
      <c r="B12951"/>
    </row>
    <row r="12952" spans="1:2">
      <c r="A12952" s="59"/>
      <c r="B12952"/>
    </row>
    <row r="12953" spans="1:2">
      <c r="A12953" s="59"/>
      <c r="B12953"/>
    </row>
    <row r="12954" spans="1:2">
      <c r="A12954" s="59"/>
      <c r="B12954"/>
    </row>
    <row r="12955" spans="1:2">
      <c r="A12955" s="59"/>
      <c r="B12955"/>
    </row>
    <row r="12956" spans="1:2">
      <c r="A12956" s="59"/>
      <c r="B12956"/>
    </row>
    <row r="12957" spans="1:2">
      <c r="A12957" s="59"/>
      <c r="B12957"/>
    </row>
    <row r="12958" spans="1:2">
      <c r="A12958" s="59"/>
      <c r="B12958"/>
    </row>
    <row r="12959" spans="1:2">
      <c r="A12959" s="59"/>
      <c r="B12959"/>
    </row>
    <row r="12960" spans="1:2">
      <c r="A12960" s="59"/>
      <c r="B12960"/>
    </row>
    <row r="12961" spans="1:2">
      <c r="A12961" s="59"/>
      <c r="B12961"/>
    </row>
    <row r="12962" spans="1:2">
      <c r="A12962" s="59"/>
      <c r="B12962"/>
    </row>
    <row r="12963" spans="1:2">
      <c r="A12963" s="59"/>
      <c r="B12963"/>
    </row>
    <row r="12964" spans="1:2">
      <c r="A12964" s="59"/>
      <c r="B12964"/>
    </row>
    <row r="12965" spans="1:2">
      <c r="A12965" s="59"/>
      <c r="B12965"/>
    </row>
    <row r="12966" spans="1:2">
      <c r="A12966" s="59"/>
      <c r="B12966"/>
    </row>
    <row r="12967" spans="1:2">
      <c r="A12967" s="59"/>
      <c r="B12967"/>
    </row>
    <row r="12968" spans="1:2">
      <c r="A12968" s="59"/>
      <c r="B12968"/>
    </row>
    <row r="12969" spans="1:2">
      <c r="A12969" s="59"/>
      <c r="B12969"/>
    </row>
    <row r="12970" spans="1:2">
      <c r="A12970" s="59"/>
      <c r="B12970"/>
    </row>
    <row r="12971" spans="1:2">
      <c r="A12971" s="59"/>
      <c r="B12971"/>
    </row>
    <row r="12972" spans="1:2">
      <c r="A12972" s="59"/>
      <c r="B12972"/>
    </row>
    <row r="12973" spans="1:2">
      <c r="A12973" s="59"/>
      <c r="B12973"/>
    </row>
    <row r="12974" spans="1:2">
      <c r="A12974" s="59"/>
      <c r="B12974"/>
    </row>
    <row r="12975" spans="1:2">
      <c r="A12975" s="59"/>
      <c r="B12975"/>
    </row>
    <row r="12976" spans="1:2">
      <c r="A12976" s="59"/>
      <c r="B12976"/>
    </row>
    <row r="12977" spans="1:2">
      <c r="A12977" s="59"/>
      <c r="B12977"/>
    </row>
    <row r="12978" spans="1:2">
      <c r="A12978" s="59"/>
      <c r="B12978"/>
    </row>
    <row r="12979" spans="1:2">
      <c r="A12979" s="59"/>
      <c r="B12979"/>
    </row>
    <row r="12980" spans="1:2">
      <c r="A12980" s="59"/>
      <c r="B12980"/>
    </row>
    <row r="12981" spans="1:2">
      <c r="A12981" s="59"/>
      <c r="B12981"/>
    </row>
    <row r="12982" spans="1:2">
      <c r="A12982" s="59"/>
      <c r="B12982"/>
    </row>
    <row r="12983" spans="1:2">
      <c r="A12983" s="59"/>
      <c r="B12983"/>
    </row>
    <row r="12984" spans="1:2">
      <c r="A12984" s="59"/>
      <c r="B12984"/>
    </row>
    <row r="12985" spans="1:2">
      <c r="A12985" s="59"/>
      <c r="B12985"/>
    </row>
    <row r="12986" spans="1:2">
      <c r="A12986" s="59"/>
      <c r="B12986"/>
    </row>
    <row r="12987" spans="1:2">
      <c r="A12987" s="59"/>
      <c r="B12987"/>
    </row>
    <row r="12988" spans="1:2">
      <c r="A12988" s="59"/>
      <c r="B12988"/>
    </row>
    <row r="12989" spans="1:2">
      <c r="A12989" s="59"/>
      <c r="B12989"/>
    </row>
    <row r="12990" spans="1:2">
      <c r="A12990" s="59"/>
      <c r="B12990"/>
    </row>
    <row r="12991" spans="1:2">
      <c r="A12991" s="59"/>
      <c r="B12991"/>
    </row>
    <row r="12992" spans="1:2">
      <c r="A12992" s="59"/>
      <c r="B12992"/>
    </row>
    <row r="12993" spans="1:2">
      <c r="A12993" s="59"/>
      <c r="B12993"/>
    </row>
    <row r="12994" spans="1:2">
      <c r="A12994" s="59"/>
      <c r="B12994"/>
    </row>
    <row r="12995" spans="1:2">
      <c r="A12995" s="59"/>
      <c r="B12995"/>
    </row>
    <row r="12996" spans="1:2">
      <c r="A12996" s="59"/>
      <c r="B12996"/>
    </row>
    <row r="12997" spans="1:2">
      <c r="A12997" s="59"/>
      <c r="B12997"/>
    </row>
    <row r="12998" spans="1:2">
      <c r="A12998" s="59"/>
      <c r="B12998"/>
    </row>
    <row r="12999" spans="1:2">
      <c r="A12999" s="59"/>
      <c r="B12999"/>
    </row>
    <row r="13000" spans="1:2">
      <c r="A13000" s="59"/>
      <c r="B13000"/>
    </row>
    <row r="13001" spans="1:2">
      <c r="A13001" s="59"/>
      <c r="B13001"/>
    </row>
    <row r="13002" spans="1:2">
      <c r="A13002" s="59"/>
      <c r="B13002"/>
    </row>
    <row r="13003" spans="1:2">
      <c r="A13003" s="59"/>
      <c r="B13003"/>
    </row>
    <row r="13004" spans="1:2">
      <c r="A13004" s="59"/>
      <c r="B13004"/>
    </row>
    <row r="13005" spans="1:2">
      <c r="A13005" s="59"/>
      <c r="B13005"/>
    </row>
    <row r="13006" spans="1:2">
      <c r="A13006" s="59"/>
      <c r="B13006"/>
    </row>
    <row r="13007" spans="1:2">
      <c r="A13007" s="59"/>
      <c r="B13007"/>
    </row>
    <row r="13008" spans="1:2">
      <c r="A13008" s="59"/>
      <c r="B13008"/>
    </row>
    <row r="13009" spans="1:2">
      <c r="A13009" s="59"/>
      <c r="B13009"/>
    </row>
    <row r="13010" spans="1:2">
      <c r="A13010" s="59"/>
      <c r="B13010"/>
    </row>
    <row r="13011" spans="1:2">
      <c r="A13011" s="59"/>
      <c r="B13011"/>
    </row>
    <row r="13012" spans="1:2">
      <c r="A13012" s="59"/>
      <c r="B13012"/>
    </row>
    <row r="13013" spans="1:2">
      <c r="A13013" s="59"/>
      <c r="B13013"/>
    </row>
    <row r="13014" spans="1:2">
      <c r="A13014" s="59"/>
      <c r="B13014"/>
    </row>
    <row r="13015" spans="1:2">
      <c r="A13015" s="59"/>
      <c r="B13015"/>
    </row>
    <row r="13016" spans="1:2">
      <c r="A13016" s="59"/>
      <c r="B13016"/>
    </row>
    <row r="13017" spans="1:2">
      <c r="A13017" s="59"/>
      <c r="B13017"/>
    </row>
    <row r="13018" spans="1:2">
      <c r="A13018" s="59"/>
      <c r="B13018"/>
    </row>
    <row r="13019" spans="1:2">
      <c r="A13019" s="59"/>
      <c r="B13019"/>
    </row>
    <row r="13020" spans="1:2">
      <c r="A13020" s="59"/>
      <c r="B13020"/>
    </row>
    <row r="13021" spans="1:2">
      <c r="A13021" s="59"/>
      <c r="B13021"/>
    </row>
    <row r="13022" spans="1:2">
      <c r="A13022" s="59"/>
      <c r="B13022"/>
    </row>
    <row r="13023" spans="1:2">
      <c r="A13023" s="59"/>
      <c r="B13023"/>
    </row>
    <row r="13024" spans="1:2">
      <c r="A13024" s="59"/>
      <c r="B13024"/>
    </row>
    <row r="13025" spans="1:2">
      <c r="A13025" s="59"/>
      <c r="B13025"/>
    </row>
    <row r="13026" spans="1:2">
      <c r="A13026" s="59"/>
      <c r="B13026"/>
    </row>
    <row r="13027" spans="1:2">
      <c r="A13027" s="59"/>
      <c r="B13027"/>
    </row>
    <row r="13028" spans="1:2">
      <c r="A13028" s="59"/>
      <c r="B13028"/>
    </row>
    <row r="13029" spans="1:2">
      <c r="A13029" s="59"/>
      <c r="B13029"/>
    </row>
    <row r="13030" spans="1:2">
      <c r="A13030" s="59"/>
      <c r="B13030"/>
    </row>
    <row r="13031" spans="1:2">
      <c r="A13031" s="59"/>
      <c r="B13031"/>
    </row>
    <row r="13032" spans="1:2">
      <c r="A13032" s="59"/>
      <c r="B13032"/>
    </row>
    <row r="13033" spans="1:2">
      <c r="A13033" s="59"/>
      <c r="B13033"/>
    </row>
    <row r="13034" spans="1:2">
      <c r="A13034" s="59"/>
      <c r="B13034"/>
    </row>
    <row r="13035" spans="1:2">
      <c r="A13035" s="59"/>
      <c r="B13035"/>
    </row>
    <row r="13036" spans="1:2">
      <c r="A13036" s="59"/>
      <c r="B13036"/>
    </row>
    <row r="13037" spans="1:2">
      <c r="A13037" s="59"/>
      <c r="B13037"/>
    </row>
    <row r="13038" spans="1:2">
      <c r="A13038" s="59"/>
      <c r="B13038"/>
    </row>
    <row r="13039" spans="1:2">
      <c r="A13039" s="59"/>
      <c r="B13039"/>
    </row>
    <row r="13040" spans="1:2">
      <c r="A13040" s="59"/>
      <c r="B13040"/>
    </row>
    <row r="13041" spans="1:2">
      <c r="A13041" s="59"/>
      <c r="B13041"/>
    </row>
    <row r="13042" spans="1:2">
      <c r="A13042" s="59"/>
      <c r="B13042"/>
    </row>
    <row r="13043" spans="1:2">
      <c r="A13043" s="59"/>
      <c r="B13043"/>
    </row>
    <row r="13044" spans="1:2">
      <c r="A13044" s="59"/>
      <c r="B13044"/>
    </row>
    <row r="13045" spans="1:2">
      <c r="A13045" s="59"/>
      <c r="B13045"/>
    </row>
    <row r="13046" spans="1:2">
      <c r="A13046" s="59"/>
      <c r="B13046"/>
    </row>
    <row r="13047" spans="1:2">
      <c r="A13047" s="59"/>
      <c r="B13047"/>
    </row>
    <row r="13048" spans="1:2">
      <c r="A13048" s="59"/>
      <c r="B13048"/>
    </row>
    <row r="13049" spans="1:2">
      <c r="A13049" s="59"/>
      <c r="B13049"/>
    </row>
    <row r="13050" spans="1:2">
      <c r="A13050" s="59"/>
      <c r="B13050"/>
    </row>
    <row r="13051" spans="1:2">
      <c r="A13051" s="59"/>
      <c r="B13051"/>
    </row>
    <row r="13052" spans="1:2">
      <c r="A13052" s="59"/>
      <c r="B13052"/>
    </row>
    <row r="13053" spans="1:2">
      <c r="A13053" s="59"/>
      <c r="B13053"/>
    </row>
    <row r="13054" spans="1:2">
      <c r="A13054" s="59"/>
      <c r="B13054"/>
    </row>
    <row r="13055" spans="1:2">
      <c r="A13055" s="59"/>
      <c r="B13055"/>
    </row>
    <row r="13056" spans="1:2">
      <c r="A13056" s="59"/>
      <c r="B13056"/>
    </row>
    <row r="13057" spans="1:2">
      <c r="A13057" s="59"/>
      <c r="B13057"/>
    </row>
    <row r="13058" spans="1:2">
      <c r="A13058" s="59"/>
      <c r="B13058"/>
    </row>
    <row r="13059" spans="1:2">
      <c r="A13059" s="59"/>
      <c r="B13059"/>
    </row>
    <row r="13060" spans="1:2">
      <c r="A13060" s="59"/>
      <c r="B13060"/>
    </row>
    <row r="13061" spans="1:2">
      <c r="A13061" s="59"/>
      <c r="B13061"/>
    </row>
    <row r="13062" spans="1:2">
      <c r="A13062" s="59"/>
      <c r="B13062"/>
    </row>
    <row r="13063" spans="1:2">
      <c r="A13063" s="59"/>
      <c r="B13063"/>
    </row>
    <row r="13064" spans="1:2">
      <c r="A13064" s="59"/>
      <c r="B13064"/>
    </row>
    <row r="13065" spans="1:2">
      <c r="A13065" s="59"/>
      <c r="B13065"/>
    </row>
    <row r="13066" spans="1:2">
      <c r="A13066" s="59"/>
      <c r="B13066"/>
    </row>
    <row r="13067" spans="1:2">
      <c r="A13067" s="59"/>
      <c r="B13067"/>
    </row>
    <row r="13068" spans="1:2">
      <c r="A13068" s="59"/>
      <c r="B13068"/>
    </row>
    <row r="13069" spans="1:2">
      <c r="A13069" s="59"/>
      <c r="B13069"/>
    </row>
    <row r="13070" spans="1:2">
      <c r="A13070" s="59"/>
      <c r="B13070"/>
    </row>
    <row r="13071" spans="1:2">
      <c r="A13071" s="59"/>
      <c r="B13071"/>
    </row>
    <row r="13072" spans="1:2">
      <c r="A13072" s="59"/>
      <c r="B13072"/>
    </row>
    <row r="13073" spans="1:2">
      <c r="A13073" s="59"/>
      <c r="B13073"/>
    </row>
    <row r="13074" spans="1:2">
      <c r="A13074" s="59"/>
      <c r="B13074"/>
    </row>
    <row r="13075" spans="1:2">
      <c r="A13075" s="59"/>
      <c r="B13075"/>
    </row>
    <row r="13076" spans="1:2">
      <c r="A13076" s="59"/>
      <c r="B13076"/>
    </row>
    <row r="13077" spans="1:2">
      <c r="A13077" s="59"/>
      <c r="B13077"/>
    </row>
    <row r="13078" spans="1:2">
      <c r="A13078" s="59"/>
      <c r="B13078"/>
    </row>
    <row r="13079" spans="1:2">
      <c r="A13079" s="59"/>
      <c r="B13079"/>
    </row>
    <row r="13080" spans="1:2">
      <c r="A13080" s="59"/>
      <c r="B13080"/>
    </row>
    <row r="13081" spans="1:2">
      <c r="A13081" s="59"/>
      <c r="B13081"/>
    </row>
    <row r="13082" spans="1:2">
      <c r="A13082" s="59"/>
      <c r="B13082"/>
    </row>
    <row r="13083" spans="1:2">
      <c r="A13083" s="59"/>
      <c r="B13083"/>
    </row>
    <row r="13084" spans="1:2">
      <c r="A13084" s="59"/>
      <c r="B13084"/>
    </row>
    <row r="13085" spans="1:2">
      <c r="A13085" s="59"/>
      <c r="B13085"/>
    </row>
    <row r="13086" spans="1:2">
      <c r="A13086" s="59"/>
      <c r="B13086"/>
    </row>
    <row r="13087" spans="1:2">
      <c r="A13087" s="59"/>
      <c r="B13087"/>
    </row>
    <row r="13088" spans="1:2">
      <c r="A13088" s="59"/>
      <c r="B13088"/>
    </row>
    <row r="13089" spans="1:2">
      <c r="A13089" s="59"/>
      <c r="B13089"/>
    </row>
    <row r="13090" spans="1:2">
      <c r="A13090" s="59"/>
      <c r="B13090"/>
    </row>
    <row r="13091" spans="1:2">
      <c r="A13091" s="59"/>
      <c r="B13091"/>
    </row>
    <row r="13092" spans="1:2">
      <c r="A13092" s="59"/>
      <c r="B13092"/>
    </row>
    <row r="13093" spans="1:2">
      <c r="A13093" s="59"/>
      <c r="B13093"/>
    </row>
    <row r="13094" spans="1:2">
      <c r="A13094" s="59"/>
      <c r="B13094"/>
    </row>
    <row r="13095" spans="1:2">
      <c r="A13095" s="59"/>
      <c r="B13095"/>
    </row>
    <row r="13096" spans="1:2">
      <c r="A13096" s="59"/>
      <c r="B13096"/>
    </row>
    <row r="13097" spans="1:2">
      <c r="A13097" s="59"/>
      <c r="B13097"/>
    </row>
    <row r="13098" spans="1:2">
      <c r="A13098" s="59"/>
      <c r="B13098"/>
    </row>
    <row r="13099" spans="1:2">
      <c r="A13099" s="59"/>
      <c r="B13099"/>
    </row>
    <row r="13100" spans="1:2">
      <c r="A13100" s="59"/>
      <c r="B13100"/>
    </row>
    <row r="13101" spans="1:2">
      <c r="A13101" s="59"/>
      <c r="B13101"/>
    </row>
    <row r="13102" spans="1:2">
      <c r="A13102" s="59"/>
      <c r="B13102"/>
    </row>
    <row r="13103" spans="1:2">
      <c r="A13103" s="59"/>
      <c r="B13103"/>
    </row>
    <row r="13104" spans="1:2">
      <c r="A13104" s="59"/>
      <c r="B13104"/>
    </row>
    <row r="13105" spans="1:2">
      <c r="A13105" s="59"/>
      <c r="B13105"/>
    </row>
    <row r="13106" spans="1:2">
      <c r="A13106" s="59"/>
      <c r="B13106"/>
    </row>
    <row r="13107" spans="1:2">
      <c r="A13107" s="59"/>
      <c r="B13107"/>
    </row>
    <row r="13108" spans="1:2">
      <c r="A13108" s="59"/>
      <c r="B13108"/>
    </row>
    <row r="13109" spans="1:2">
      <c r="A13109" s="59"/>
      <c r="B13109"/>
    </row>
    <row r="13110" spans="1:2">
      <c r="A13110" s="59"/>
      <c r="B13110"/>
    </row>
    <row r="13111" spans="1:2">
      <c r="A13111" s="59"/>
      <c r="B13111"/>
    </row>
    <row r="13112" spans="1:2">
      <c r="A13112" s="59"/>
      <c r="B13112"/>
    </row>
    <row r="13113" spans="1:2">
      <c r="A13113" s="59"/>
      <c r="B13113"/>
    </row>
    <row r="13114" spans="1:2">
      <c r="A13114" s="59"/>
      <c r="B13114"/>
    </row>
    <row r="13115" spans="1:2">
      <c r="A13115" s="59"/>
      <c r="B13115"/>
    </row>
    <row r="13116" spans="1:2">
      <c r="A13116" s="59"/>
      <c r="B13116"/>
    </row>
    <row r="13117" spans="1:2">
      <c r="A13117" s="59"/>
      <c r="B13117"/>
    </row>
    <row r="13118" spans="1:2">
      <c r="A13118" s="59"/>
      <c r="B13118"/>
    </row>
    <row r="13119" spans="1:2">
      <c r="A13119" s="59"/>
      <c r="B13119"/>
    </row>
    <row r="13120" spans="1:2">
      <c r="A13120" s="59"/>
      <c r="B13120"/>
    </row>
    <row r="13121" spans="1:2">
      <c r="A13121" s="59"/>
      <c r="B13121"/>
    </row>
    <row r="13122" spans="1:2">
      <c r="A13122" s="59"/>
      <c r="B13122"/>
    </row>
    <row r="13123" spans="1:2">
      <c r="A13123" s="59"/>
      <c r="B13123"/>
    </row>
    <row r="13124" spans="1:2">
      <c r="A13124" s="59"/>
      <c r="B13124"/>
    </row>
    <row r="13125" spans="1:2">
      <c r="A13125" s="59"/>
      <c r="B13125"/>
    </row>
    <row r="13126" spans="1:2">
      <c r="A13126" s="59"/>
      <c r="B13126"/>
    </row>
    <row r="13127" spans="1:2">
      <c r="A13127" s="59"/>
      <c r="B13127"/>
    </row>
    <row r="13128" spans="1:2">
      <c r="A13128" s="59"/>
      <c r="B13128"/>
    </row>
    <row r="13129" spans="1:2">
      <c r="A13129" s="59"/>
      <c r="B13129"/>
    </row>
    <row r="13130" spans="1:2">
      <c r="A13130" s="59"/>
      <c r="B13130"/>
    </row>
    <row r="13131" spans="1:2">
      <c r="A13131" s="59"/>
      <c r="B13131"/>
    </row>
    <row r="13132" spans="1:2">
      <c r="A13132" s="59"/>
      <c r="B13132"/>
    </row>
    <row r="13133" spans="1:2">
      <c r="A13133" s="59"/>
      <c r="B13133"/>
    </row>
    <row r="13134" spans="1:2">
      <c r="A13134" s="59"/>
      <c r="B13134"/>
    </row>
    <row r="13135" spans="1:2">
      <c r="A13135" s="59"/>
      <c r="B13135"/>
    </row>
    <row r="13136" spans="1:2">
      <c r="A13136" s="59"/>
      <c r="B13136"/>
    </row>
    <row r="13137" spans="1:2">
      <c r="A13137" s="59"/>
      <c r="B13137"/>
    </row>
    <row r="13138" spans="1:2">
      <c r="A13138" s="59"/>
      <c r="B13138"/>
    </row>
    <row r="13139" spans="1:2">
      <c r="A13139" s="59"/>
      <c r="B13139"/>
    </row>
    <row r="13140" spans="1:2">
      <c r="A13140" s="59"/>
      <c r="B13140"/>
    </row>
    <row r="13141" spans="1:2">
      <c r="A13141" s="59"/>
      <c r="B13141"/>
    </row>
    <row r="13142" spans="1:2">
      <c r="A13142" s="59"/>
      <c r="B13142"/>
    </row>
    <row r="13143" spans="1:2">
      <c r="A13143" s="59"/>
      <c r="B13143"/>
    </row>
    <row r="13144" spans="1:2">
      <c r="A13144" s="59"/>
      <c r="B13144"/>
    </row>
    <row r="13145" spans="1:2">
      <c r="A13145" s="59"/>
      <c r="B13145"/>
    </row>
    <row r="13146" spans="1:2">
      <c r="A13146" s="59"/>
      <c r="B13146"/>
    </row>
    <row r="13147" spans="1:2">
      <c r="A13147" s="59"/>
      <c r="B13147"/>
    </row>
    <row r="13148" spans="1:2">
      <c r="A13148" s="59"/>
      <c r="B13148"/>
    </row>
    <row r="13149" spans="1:2">
      <c r="A13149" s="59"/>
      <c r="B13149"/>
    </row>
    <row r="13150" spans="1:2">
      <c r="A13150" s="59"/>
      <c r="B13150"/>
    </row>
    <row r="13151" spans="1:2">
      <c r="A13151" s="59"/>
      <c r="B13151"/>
    </row>
    <row r="13152" spans="1:2">
      <c r="A13152" s="59"/>
      <c r="B13152"/>
    </row>
    <row r="13153" spans="1:2">
      <c r="A13153" s="59"/>
      <c r="B13153"/>
    </row>
    <row r="13154" spans="1:2">
      <c r="A13154" s="59"/>
      <c r="B13154"/>
    </row>
    <row r="13155" spans="1:2">
      <c r="A13155" s="59"/>
      <c r="B13155"/>
    </row>
    <row r="13156" spans="1:2">
      <c r="A13156" s="59"/>
      <c r="B13156"/>
    </row>
    <row r="13157" spans="1:2">
      <c r="A13157" s="59"/>
      <c r="B13157"/>
    </row>
    <row r="13158" spans="1:2">
      <c r="A13158" s="59"/>
      <c r="B13158"/>
    </row>
    <row r="13159" spans="1:2">
      <c r="A13159" s="59"/>
      <c r="B13159"/>
    </row>
    <row r="13160" spans="1:2">
      <c r="A13160" s="59"/>
      <c r="B13160"/>
    </row>
    <row r="13161" spans="1:2">
      <c r="A13161" s="59"/>
      <c r="B13161"/>
    </row>
    <row r="13162" spans="1:2">
      <c r="A13162" s="59"/>
      <c r="B13162"/>
    </row>
    <row r="13163" spans="1:2">
      <c r="A13163" s="59"/>
      <c r="B13163"/>
    </row>
    <row r="13164" spans="1:2">
      <c r="A13164" s="59"/>
      <c r="B13164"/>
    </row>
    <row r="13165" spans="1:2">
      <c r="A13165" s="59"/>
      <c r="B13165"/>
    </row>
    <row r="13166" spans="1:2">
      <c r="A13166" s="59"/>
      <c r="B13166"/>
    </row>
    <row r="13167" spans="1:2">
      <c r="A13167" s="59"/>
      <c r="B13167"/>
    </row>
    <row r="13168" spans="1:2">
      <c r="A13168" s="59"/>
      <c r="B13168"/>
    </row>
    <row r="13169" spans="1:2">
      <c r="A13169" s="59"/>
      <c r="B13169"/>
    </row>
    <row r="13170" spans="1:2">
      <c r="A13170" s="59"/>
      <c r="B13170"/>
    </row>
    <row r="13171" spans="1:2">
      <c r="A13171" s="59"/>
      <c r="B13171"/>
    </row>
    <row r="13172" spans="1:2">
      <c r="A13172" s="59"/>
      <c r="B13172"/>
    </row>
    <row r="13173" spans="1:2">
      <c r="A13173" s="59"/>
      <c r="B13173"/>
    </row>
    <row r="13174" spans="1:2">
      <c r="A13174" s="59"/>
      <c r="B13174"/>
    </row>
    <row r="13175" spans="1:2">
      <c r="A13175" s="59"/>
      <c r="B13175"/>
    </row>
    <row r="13176" spans="1:2">
      <c r="A13176" s="59"/>
      <c r="B13176"/>
    </row>
    <row r="13177" spans="1:2">
      <c r="A13177" s="59"/>
      <c r="B13177"/>
    </row>
    <row r="13178" spans="1:2">
      <c r="A13178" s="59"/>
      <c r="B13178"/>
    </row>
    <row r="13179" spans="1:2">
      <c r="A13179" s="59"/>
      <c r="B13179"/>
    </row>
    <row r="13180" spans="1:2">
      <c r="A13180" s="59"/>
      <c r="B13180"/>
    </row>
    <row r="13181" spans="1:2">
      <c r="A13181" s="59"/>
      <c r="B13181"/>
    </row>
    <row r="13182" spans="1:2">
      <c r="A13182" s="59"/>
      <c r="B13182"/>
    </row>
    <row r="13183" spans="1:2">
      <c r="A13183" s="59"/>
      <c r="B13183"/>
    </row>
    <row r="13184" spans="1:2">
      <c r="A13184" s="59"/>
      <c r="B13184"/>
    </row>
    <row r="13185" spans="1:2">
      <c r="A13185" s="59"/>
      <c r="B13185"/>
    </row>
    <row r="13186" spans="1:2">
      <c r="A13186" s="59"/>
      <c r="B13186"/>
    </row>
    <row r="13187" spans="1:2">
      <c r="A13187" s="59"/>
      <c r="B13187"/>
    </row>
    <row r="13188" spans="1:2">
      <c r="A13188" s="59"/>
      <c r="B13188"/>
    </row>
    <row r="13189" spans="1:2">
      <c r="A13189" s="59"/>
      <c r="B13189"/>
    </row>
    <row r="13190" spans="1:2">
      <c r="A13190" s="59"/>
      <c r="B13190"/>
    </row>
    <row r="13191" spans="1:2">
      <c r="A13191" s="59"/>
      <c r="B13191"/>
    </row>
    <row r="13192" spans="1:2">
      <c r="A13192" s="59"/>
      <c r="B13192"/>
    </row>
    <row r="13193" spans="1:2">
      <c r="A13193" s="59"/>
      <c r="B13193"/>
    </row>
    <row r="13194" spans="1:2">
      <c r="A13194" s="59"/>
      <c r="B13194"/>
    </row>
    <row r="13195" spans="1:2">
      <c r="A13195" s="59"/>
      <c r="B13195"/>
    </row>
    <row r="13196" spans="1:2">
      <c r="A13196" s="59"/>
      <c r="B13196"/>
    </row>
    <row r="13197" spans="1:2">
      <c r="A13197" s="59"/>
      <c r="B13197"/>
    </row>
    <row r="13198" spans="1:2">
      <c r="A13198" s="59"/>
      <c r="B13198"/>
    </row>
    <row r="13199" spans="1:2">
      <c r="A13199" s="59"/>
      <c r="B13199"/>
    </row>
    <row r="13200" spans="1:2">
      <c r="A13200" s="59"/>
      <c r="B13200"/>
    </row>
    <row r="13201" spans="1:2">
      <c r="A13201" s="59"/>
      <c r="B13201"/>
    </row>
    <row r="13202" spans="1:2">
      <c r="A13202" s="59"/>
      <c r="B13202"/>
    </row>
    <row r="13203" spans="1:2">
      <c r="A13203" s="59"/>
      <c r="B13203"/>
    </row>
    <row r="13204" spans="1:2">
      <c r="A13204" s="59"/>
      <c r="B13204"/>
    </row>
    <row r="13205" spans="1:2">
      <c r="A13205" s="59"/>
      <c r="B13205"/>
    </row>
    <row r="13206" spans="1:2">
      <c r="A13206" s="59"/>
      <c r="B13206"/>
    </row>
    <row r="13207" spans="1:2">
      <c r="A13207" s="59"/>
      <c r="B13207"/>
    </row>
    <row r="13208" spans="1:2">
      <c r="A13208" s="59"/>
      <c r="B13208"/>
    </row>
    <row r="13209" spans="1:2">
      <c r="A13209" s="59"/>
      <c r="B13209"/>
    </row>
    <row r="13210" spans="1:2">
      <c r="A13210" s="59"/>
      <c r="B13210"/>
    </row>
    <row r="13211" spans="1:2">
      <c r="A13211" s="59"/>
      <c r="B13211"/>
    </row>
    <row r="13212" spans="1:2">
      <c r="A13212" s="59"/>
      <c r="B13212"/>
    </row>
    <row r="13213" spans="1:2">
      <c r="A13213" s="59"/>
      <c r="B13213"/>
    </row>
    <row r="13214" spans="1:2">
      <c r="A13214" s="59"/>
      <c r="B13214"/>
    </row>
    <row r="13215" spans="1:2">
      <c r="A13215" s="59"/>
      <c r="B13215"/>
    </row>
    <row r="13216" spans="1:2">
      <c r="A13216" s="59"/>
      <c r="B13216"/>
    </row>
    <row r="13217" spans="1:2">
      <c r="A13217" s="59"/>
      <c r="B13217"/>
    </row>
    <row r="13218" spans="1:2">
      <c r="A13218" s="59"/>
      <c r="B13218"/>
    </row>
    <row r="13219" spans="1:2">
      <c r="A13219" s="59"/>
      <c r="B13219"/>
    </row>
    <row r="13220" spans="1:2">
      <c r="A13220" s="59"/>
      <c r="B13220"/>
    </row>
    <row r="13221" spans="1:2">
      <c r="A13221" s="59"/>
      <c r="B13221"/>
    </row>
    <row r="13222" spans="1:2">
      <c r="A13222" s="59"/>
      <c r="B13222"/>
    </row>
    <row r="13223" spans="1:2">
      <c r="A13223" s="59"/>
      <c r="B13223"/>
    </row>
    <row r="13224" spans="1:2">
      <c r="A13224" s="59"/>
      <c r="B13224"/>
    </row>
    <row r="13225" spans="1:2">
      <c r="A13225" s="59"/>
      <c r="B13225"/>
    </row>
    <row r="13226" spans="1:2">
      <c r="A13226" s="59"/>
      <c r="B13226"/>
    </row>
    <row r="13227" spans="1:2">
      <c r="A13227" s="59"/>
      <c r="B13227"/>
    </row>
    <row r="13228" spans="1:2">
      <c r="A13228" s="59"/>
      <c r="B13228"/>
    </row>
    <row r="13229" spans="1:2">
      <c r="A13229" s="59"/>
      <c r="B13229"/>
    </row>
    <row r="13230" spans="1:2">
      <c r="A13230" s="59"/>
      <c r="B13230"/>
    </row>
    <row r="13231" spans="1:2">
      <c r="A13231" s="59"/>
      <c r="B13231"/>
    </row>
    <row r="13232" spans="1:2">
      <c r="A13232" s="59"/>
      <c r="B13232"/>
    </row>
    <row r="13233" spans="1:2">
      <c r="A13233" s="59"/>
      <c r="B13233"/>
    </row>
    <row r="13234" spans="1:2">
      <c r="A13234" s="59"/>
      <c r="B13234"/>
    </row>
    <row r="13235" spans="1:2">
      <c r="A13235" s="59"/>
      <c r="B13235"/>
    </row>
    <row r="13236" spans="1:2">
      <c r="A13236" s="59"/>
      <c r="B13236"/>
    </row>
    <row r="13237" spans="1:2">
      <c r="A13237" s="59"/>
      <c r="B13237"/>
    </row>
    <row r="13238" spans="1:2">
      <c r="A13238" s="59"/>
      <c r="B13238"/>
    </row>
    <row r="13239" spans="1:2">
      <c r="A13239" s="59"/>
      <c r="B13239"/>
    </row>
    <row r="13240" spans="1:2">
      <c r="A13240" s="59"/>
      <c r="B13240"/>
    </row>
    <row r="13241" spans="1:2">
      <c r="A13241" s="59"/>
      <c r="B13241"/>
    </row>
    <row r="13242" spans="1:2">
      <c r="A13242" s="59"/>
      <c r="B13242"/>
    </row>
    <row r="13243" spans="1:2">
      <c r="A13243" s="59"/>
      <c r="B13243"/>
    </row>
    <row r="13244" spans="1:2">
      <c r="A13244" s="59"/>
      <c r="B13244"/>
    </row>
    <row r="13245" spans="1:2">
      <c r="A13245" s="59"/>
      <c r="B13245"/>
    </row>
    <row r="13246" spans="1:2">
      <c r="A13246" s="59"/>
      <c r="B13246"/>
    </row>
    <row r="13247" spans="1:2">
      <c r="A13247" s="59"/>
      <c r="B13247"/>
    </row>
    <row r="13248" spans="1:2">
      <c r="A13248" s="59"/>
      <c r="B13248"/>
    </row>
    <row r="13249" spans="1:2">
      <c r="A13249" s="59"/>
      <c r="B13249"/>
    </row>
    <row r="13250" spans="1:2">
      <c r="A13250" s="59"/>
      <c r="B13250"/>
    </row>
    <row r="13251" spans="1:2">
      <c r="A13251" s="59"/>
      <c r="B13251"/>
    </row>
    <row r="13252" spans="1:2">
      <c r="A13252" s="59"/>
      <c r="B13252"/>
    </row>
    <row r="13253" spans="1:2">
      <c r="A13253" s="59"/>
      <c r="B13253"/>
    </row>
    <row r="13254" spans="1:2">
      <c r="A13254" s="59"/>
      <c r="B13254"/>
    </row>
    <row r="13255" spans="1:2">
      <c r="A13255" s="59"/>
      <c r="B13255"/>
    </row>
    <row r="13256" spans="1:2">
      <c r="A13256" s="59"/>
      <c r="B13256"/>
    </row>
    <row r="13257" spans="1:2">
      <c r="A13257" s="59"/>
      <c r="B13257"/>
    </row>
    <row r="13258" spans="1:2">
      <c r="A13258" s="59"/>
      <c r="B13258"/>
    </row>
    <row r="13259" spans="1:2">
      <c r="A13259" s="59"/>
      <c r="B13259"/>
    </row>
    <row r="13260" spans="1:2">
      <c r="A13260" s="59"/>
      <c r="B13260"/>
    </row>
    <row r="13261" spans="1:2">
      <c r="A13261" s="59"/>
      <c r="B13261"/>
    </row>
    <row r="13262" spans="1:2">
      <c r="A13262" s="59"/>
      <c r="B13262"/>
    </row>
    <row r="13263" spans="1:2">
      <c r="A13263" s="59"/>
      <c r="B13263"/>
    </row>
    <row r="13264" spans="1:2">
      <c r="A13264" s="59"/>
      <c r="B13264"/>
    </row>
    <row r="13265" spans="1:2">
      <c r="A13265" s="59"/>
      <c r="B13265"/>
    </row>
    <row r="13266" spans="1:2">
      <c r="A13266" s="59"/>
      <c r="B13266"/>
    </row>
    <row r="13267" spans="1:2">
      <c r="A13267" s="59"/>
      <c r="B13267"/>
    </row>
    <row r="13268" spans="1:2">
      <c r="A13268" s="59"/>
      <c r="B13268"/>
    </row>
    <row r="13269" spans="1:2">
      <c r="A13269" s="59"/>
      <c r="B13269"/>
    </row>
    <row r="13270" spans="1:2">
      <c r="A13270" s="59"/>
      <c r="B13270"/>
    </row>
    <row r="13271" spans="1:2">
      <c r="A13271" s="59"/>
      <c r="B13271"/>
    </row>
    <row r="13272" spans="1:2">
      <c r="A13272" s="59"/>
      <c r="B13272"/>
    </row>
    <row r="13273" spans="1:2">
      <c r="A13273" s="59"/>
      <c r="B13273"/>
    </row>
    <row r="13274" spans="1:2">
      <c r="A13274" s="59"/>
      <c r="B13274"/>
    </row>
    <row r="13275" spans="1:2">
      <c r="A13275" s="59"/>
      <c r="B13275"/>
    </row>
    <row r="13276" spans="1:2">
      <c r="A13276" s="59"/>
      <c r="B13276"/>
    </row>
    <row r="13277" spans="1:2">
      <c r="A13277" s="59"/>
      <c r="B13277"/>
    </row>
    <row r="13278" spans="1:2">
      <c r="A13278" s="59"/>
      <c r="B13278"/>
    </row>
    <row r="13279" spans="1:2">
      <c r="A13279" s="59"/>
      <c r="B13279"/>
    </row>
    <row r="13280" spans="1:2">
      <c r="A13280" s="59"/>
      <c r="B13280"/>
    </row>
    <row r="13281" spans="1:2">
      <c r="A13281" s="59"/>
      <c r="B13281"/>
    </row>
    <row r="13282" spans="1:2">
      <c r="A13282" s="59"/>
      <c r="B13282"/>
    </row>
    <row r="13283" spans="1:2">
      <c r="A13283" s="59"/>
      <c r="B13283"/>
    </row>
    <row r="13284" spans="1:2">
      <c r="A13284" s="59"/>
      <c r="B13284"/>
    </row>
    <row r="13285" spans="1:2">
      <c r="A13285" s="59"/>
      <c r="B13285"/>
    </row>
    <row r="13286" spans="1:2">
      <c r="A13286" s="59"/>
      <c r="B13286"/>
    </row>
    <row r="13287" spans="1:2">
      <c r="A13287" s="59"/>
      <c r="B13287"/>
    </row>
    <row r="13288" spans="1:2">
      <c r="A13288" s="59"/>
      <c r="B13288"/>
    </row>
    <row r="13289" spans="1:2">
      <c r="A13289" s="59"/>
      <c r="B13289"/>
    </row>
    <row r="13290" spans="1:2">
      <c r="A13290" s="59"/>
      <c r="B13290"/>
    </row>
    <row r="13291" spans="1:2">
      <c r="A13291" s="59"/>
      <c r="B13291"/>
    </row>
    <row r="13292" spans="1:2">
      <c r="A13292" s="59"/>
      <c r="B13292"/>
    </row>
    <row r="13293" spans="1:2">
      <c r="A13293" s="59"/>
      <c r="B13293"/>
    </row>
    <row r="13294" spans="1:2">
      <c r="A13294" s="59"/>
      <c r="B13294"/>
    </row>
    <row r="13295" spans="1:2">
      <c r="A13295" s="59"/>
      <c r="B13295"/>
    </row>
    <row r="13296" spans="1:2">
      <c r="A13296" s="59"/>
      <c r="B13296"/>
    </row>
    <row r="13297" spans="1:2">
      <c r="A13297" s="59"/>
      <c r="B13297"/>
    </row>
    <row r="13298" spans="1:2">
      <c r="A13298" s="59"/>
      <c r="B13298"/>
    </row>
    <row r="13299" spans="1:2">
      <c r="A13299" s="59"/>
      <c r="B13299"/>
    </row>
    <row r="13300" spans="1:2">
      <c r="A13300" s="59"/>
      <c r="B13300"/>
    </row>
    <row r="13301" spans="1:2">
      <c r="A13301" s="59"/>
      <c r="B13301"/>
    </row>
    <row r="13302" spans="1:2">
      <c r="A13302" s="59"/>
      <c r="B13302"/>
    </row>
    <row r="13303" spans="1:2">
      <c r="A13303" s="59"/>
      <c r="B13303"/>
    </row>
    <row r="13304" spans="1:2">
      <c r="A13304" s="59"/>
      <c r="B13304"/>
    </row>
    <row r="13305" spans="1:2">
      <c r="A13305" s="59"/>
      <c r="B13305"/>
    </row>
    <row r="13306" spans="1:2">
      <c r="A13306" s="59"/>
      <c r="B13306"/>
    </row>
    <row r="13307" spans="1:2">
      <c r="A13307" s="59"/>
      <c r="B13307"/>
    </row>
    <row r="13308" spans="1:2">
      <c r="A13308" s="59"/>
      <c r="B13308"/>
    </row>
    <row r="13309" spans="1:2">
      <c r="A13309" s="59"/>
      <c r="B13309"/>
    </row>
    <row r="13310" spans="1:2">
      <c r="A13310" s="59"/>
      <c r="B13310"/>
    </row>
    <row r="13311" spans="1:2">
      <c r="A13311" s="59"/>
      <c r="B13311"/>
    </row>
    <row r="13312" spans="1:2">
      <c r="A13312" s="59"/>
      <c r="B13312"/>
    </row>
    <row r="13313" spans="1:2">
      <c r="A13313" s="59"/>
      <c r="B13313"/>
    </row>
    <row r="13314" spans="1:2">
      <c r="A13314" s="59"/>
      <c r="B13314"/>
    </row>
    <row r="13315" spans="1:2">
      <c r="A13315" s="59"/>
      <c r="B13315"/>
    </row>
    <row r="13316" spans="1:2">
      <c r="A13316" s="59"/>
      <c r="B13316"/>
    </row>
    <row r="13317" spans="1:2">
      <c r="A13317" s="59"/>
      <c r="B13317"/>
    </row>
    <row r="13318" spans="1:2">
      <c r="A13318" s="59"/>
      <c r="B13318"/>
    </row>
    <row r="13319" spans="1:2">
      <c r="A13319" s="59"/>
      <c r="B13319"/>
    </row>
    <row r="13320" spans="1:2">
      <c r="A13320" s="59"/>
      <c r="B13320"/>
    </row>
    <row r="13321" spans="1:2">
      <c r="A13321" s="59"/>
      <c r="B13321"/>
    </row>
    <row r="13322" spans="1:2">
      <c r="A13322" s="59"/>
      <c r="B13322"/>
    </row>
    <row r="13323" spans="1:2">
      <c r="A13323" s="59"/>
      <c r="B13323"/>
    </row>
    <row r="13324" spans="1:2">
      <c r="A13324" s="59"/>
      <c r="B13324"/>
    </row>
    <row r="13325" spans="1:2">
      <c r="A13325" s="59"/>
      <c r="B13325"/>
    </row>
    <row r="13326" spans="1:2">
      <c r="A13326" s="59"/>
      <c r="B13326"/>
    </row>
    <row r="13327" spans="1:2">
      <c r="A13327" s="59"/>
      <c r="B13327"/>
    </row>
    <row r="13328" spans="1:2">
      <c r="A13328" s="59"/>
      <c r="B13328"/>
    </row>
    <row r="13329" spans="1:2">
      <c r="A13329" s="59"/>
      <c r="B13329"/>
    </row>
    <row r="13330" spans="1:2">
      <c r="A13330" s="59"/>
      <c r="B13330"/>
    </row>
    <row r="13331" spans="1:2">
      <c r="A13331" s="59"/>
      <c r="B13331"/>
    </row>
    <row r="13332" spans="1:2">
      <c r="A13332" s="59"/>
      <c r="B13332"/>
    </row>
    <row r="13333" spans="1:2">
      <c r="A13333" s="59"/>
      <c r="B13333"/>
    </row>
    <row r="13334" spans="1:2">
      <c r="A13334" s="59"/>
      <c r="B13334"/>
    </row>
    <row r="13335" spans="1:2">
      <c r="A13335" s="59"/>
      <c r="B13335"/>
    </row>
    <row r="13336" spans="1:2">
      <c r="A13336" s="59"/>
      <c r="B13336"/>
    </row>
    <row r="13337" spans="1:2">
      <c r="A13337" s="59"/>
      <c r="B13337"/>
    </row>
    <row r="13338" spans="1:2">
      <c r="A13338" s="59"/>
      <c r="B13338"/>
    </row>
    <row r="13339" spans="1:2">
      <c r="A13339" s="59"/>
      <c r="B13339"/>
    </row>
    <row r="13340" spans="1:2">
      <c r="A13340" s="59"/>
      <c r="B13340"/>
    </row>
    <row r="13341" spans="1:2">
      <c r="A13341" s="59"/>
      <c r="B13341"/>
    </row>
    <row r="13342" spans="1:2">
      <c r="A13342" s="59"/>
      <c r="B13342"/>
    </row>
    <row r="13343" spans="1:2">
      <c r="A13343" s="59"/>
      <c r="B13343"/>
    </row>
    <row r="13344" spans="1:2">
      <c r="A13344" s="59"/>
      <c r="B13344"/>
    </row>
    <row r="13345" spans="1:2">
      <c r="A13345" s="59"/>
      <c r="B13345"/>
    </row>
    <row r="13346" spans="1:2">
      <c r="A13346" s="59"/>
      <c r="B13346"/>
    </row>
    <row r="13347" spans="1:2">
      <c r="A13347" s="59"/>
      <c r="B13347"/>
    </row>
    <row r="13348" spans="1:2">
      <c r="A13348" s="59"/>
      <c r="B13348"/>
    </row>
    <row r="13349" spans="1:2">
      <c r="A13349" s="59"/>
      <c r="B13349"/>
    </row>
    <row r="13350" spans="1:2">
      <c r="A13350" s="59"/>
      <c r="B13350"/>
    </row>
    <row r="13351" spans="1:2">
      <c r="A13351" s="59"/>
      <c r="B13351"/>
    </row>
    <row r="13352" spans="1:2">
      <c r="A13352" s="59"/>
      <c r="B13352"/>
    </row>
    <row r="13353" spans="1:2">
      <c r="A13353" s="59"/>
      <c r="B13353"/>
    </row>
    <row r="13354" spans="1:2">
      <c r="A13354" s="59"/>
      <c r="B13354"/>
    </row>
    <row r="13355" spans="1:2">
      <c r="A13355" s="59"/>
      <c r="B13355"/>
    </row>
    <row r="13356" spans="1:2">
      <c r="A13356" s="59"/>
      <c r="B13356"/>
    </row>
    <row r="13357" spans="1:2">
      <c r="A13357" s="59"/>
      <c r="B13357"/>
    </row>
    <row r="13358" spans="1:2">
      <c r="A13358" s="59"/>
      <c r="B13358"/>
    </row>
    <row r="13359" spans="1:2">
      <c r="A13359" s="59"/>
      <c r="B13359"/>
    </row>
    <row r="13360" spans="1:2">
      <c r="A13360" s="59"/>
      <c r="B13360"/>
    </row>
    <row r="13361" spans="1:2">
      <c r="A13361" s="59"/>
      <c r="B13361"/>
    </row>
    <row r="13362" spans="1:2">
      <c r="A13362" s="59"/>
      <c r="B13362"/>
    </row>
    <row r="13363" spans="1:2">
      <c r="A13363" s="59"/>
      <c r="B13363"/>
    </row>
    <row r="13364" spans="1:2">
      <c r="A13364" s="59"/>
      <c r="B13364"/>
    </row>
    <row r="13365" spans="1:2">
      <c r="A13365" s="59"/>
      <c r="B13365"/>
    </row>
    <row r="13366" spans="1:2">
      <c r="A13366" s="59"/>
      <c r="B13366"/>
    </row>
    <row r="13367" spans="1:2">
      <c r="A13367" s="59"/>
      <c r="B13367"/>
    </row>
    <row r="13368" spans="1:2">
      <c r="A13368" s="59"/>
      <c r="B13368"/>
    </row>
    <row r="13369" spans="1:2">
      <c r="A13369" s="59"/>
      <c r="B13369"/>
    </row>
    <row r="13370" spans="1:2">
      <c r="A13370" s="59"/>
      <c r="B13370"/>
    </row>
    <row r="13371" spans="1:2">
      <c r="A13371" s="59"/>
      <c r="B13371"/>
    </row>
    <row r="13372" spans="1:2">
      <c r="A13372" s="59"/>
      <c r="B13372"/>
    </row>
    <row r="13373" spans="1:2">
      <c r="A13373" s="59"/>
      <c r="B13373"/>
    </row>
    <row r="13374" spans="1:2">
      <c r="A13374" s="59"/>
      <c r="B13374"/>
    </row>
    <row r="13375" spans="1:2">
      <c r="A13375" s="59"/>
      <c r="B13375"/>
    </row>
    <row r="13376" spans="1:2">
      <c r="A13376" s="59"/>
      <c r="B13376"/>
    </row>
    <row r="13377" spans="1:2">
      <c r="A13377" s="59"/>
      <c r="B13377"/>
    </row>
    <row r="13378" spans="1:2">
      <c r="A13378" s="59"/>
      <c r="B13378"/>
    </row>
    <row r="13379" spans="1:2">
      <c r="A13379" s="59"/>
      <c r="B13379"/>
    </row>
    <row r="13380" spans="1:2">
      <c r="A13380" s="59"/>
      <c r="B13380"/>
    </row>
    <row r="13381" spans="1:2">
      <c r="A13381" s="59"/>
      <c r="B13381"/>
    </row>
    <row r="13382" spans="1:2">
      <c r="A13382" s="59"/>
      <c r="B13382"/>
    </row>
    <row r="13383" spans="1:2">
      <c r="A13383" s="59"/>
      <c r="B13383"/>
    </row>
    <row r="13384" spans="1:2">
      <c r="A13384" s="59"/>
      <c r="B13384"/>
    </row>
    <row r="13385" spans="1:2">
      <c r="A13385" s="59"/>
      <c r="B13385"/>
    </row>
    <row r="13386" spans="1:2">
      <c r="A13386" s="59"/>
      <c r="B13386"/>
    </row>
    <row r="13387" spans="1:2">
      <c r="A13387" s="59"/>
      <c r="B13387"/>
    </row>
    <row r="13388" spans="1:2">
      <c r="A13388" s="59"/>
      <c r="B13388"/>
    </row>
    <row r="13389" spans="1:2">
      <c r="A13389" s="59"/>
      <c r="B13389"/>
    </row>
    <row r="13390" spans="1:2">
      <c r="A13390" s="59"/>
      <c r="B13390"/>
    </row>
    <row r="13391" spans="1:2">
      <c r="A13391" s="59"/>
      <c r="B13391"/>
    </row>
    <row r="13392" spans="1:2">
      <c r="A13392" s="59"/>
      <c r="B13392"/>
    </row>
    <row r="13393" spans="1:2">
      <c r="A13393" s="59"/>
      <c r="B13393"/>
    </row>
    <row r="13394" spans="1:2">
      <c r="A13394" s="59"/>
      <c r="B13394"/>
    </row>
    <row r="13395" spans="1:2">
      <c r="A13395" s="59"/>
      <c r="B13395"/>
    </row>
    <row r="13396" spans="1:2">
      <c r="A13396" s="59"/>
      <c r="B13396"/>
    </row>
    <row r="13397" spans="1:2">
      <c r="A13397" s="59"/>
      <c r="B13397"/>
    </row>
    <row r="13398" spans="1:2">
      <c r="A13398" s="59"/>
      <c r="B13398"/>
    </row>
    <row r="13399" spans="1:2">
      <c r="A13399" s="59"/>
      <c r="B13399"/>
    </row>
    <row r="13400" spans="1:2">
      <c r="A13400" s="59"/>
      <c r="B13400"/>
    </row>
    <row r="13401" spans="1:2">
      <c r="A13401" s="59"/>
      <c r="B13401"/>
    </row>
    <row r="13402" spans="1:2">
      <c r="A13402" s="59"/>
      <c r="B13402"/>
    </row>
    <row r="13403" spans="1:2">
      <c r="A13403" s="59"/>
      <c r="B13403"/>
    </row>
    <row r="13404" spans="1:2">
      <c r="A13404" s="59"/>
      <c r="B13404"/>
    </row>
    <row r="13405" spans="1:2">
      <c r="A13405" s="59"/>
      <c r="B13405"/>
    </row>
    <row r="13406" spans="1:2">
      <c r="A13406" s="59"/>
      <c r="B13406"/>
    </row>
    <row r="13407" spans="1:2">
      <c r="A13407" s="59"/>
      <c r="B13407"/>
    </row>
    <row r="13408" spans="1:2">
      <c r="A13408" s="59"/>
      <c r="B13408"/>
    </row>
    <row r="13409" spans="1:2">
      <c r="A13409" s="59"/>
      <c r="B13409"/>
    </row>
    <row r="13410" spans="1:2">
      <c r="A13410" s="59"/>
      <c r="B13410"/>
    </row>
    <row r="13411" spans="1:2">
      <c r="A13411" s="59"/>
      <c r="B13411"/>
    </row>
    <row r="13412" spans="1:2">
      <c r="A13412" s="59"/>
      <c r="B13412"/>
    </row>
    <row r="13413" spans="1:2">
      <c r="A13413" s="59"/>
      <c r="B13413"/>
    </row>
    <row r="13414" spans="1:2">
      <c r="A13414" s="59"/>
      <c r="B13414"/>
    </row>
    <row r="13415" spans="1:2">
      <c r="A13415" s="59"/>
      <c r="B13415"/>
    </row>
    <row r="13416" spans="1:2">
      <c r="A13416" s="59"/>
      <c r="B13416"/>
    </row>
    <row r="13417" spans="1:2">
      <c r="A13417" s="59"/>
      <c r="B13417"/>
    </row>
    <row r="13418" spans="1:2">
      <c r="A13418" s="59"/>
      <c r="B13418"/>
    </row>
    <row r="13419" spans="1:2">
      <c r="A13419" s="59"/>
      <c r="B13419"/>
    </row>
    <row r="13420" spans="1:2">
      <c r="A13420" s="59"/>
      <c r="B13420"/>
    </row>
    <row r="13421" spans="1:2">
      <c r="A13421" s="59"/>
      <c r="B13421"/>
    </row>
    <row r="13422" spans="1:2">
      <c r="A13422" s="59"/>
      <c r="B13422"/>
    </row>
    <row r="13423" spans="1:2">
      <c r="A13423" s="59"/>
      <c r="B13423"/>
    </row>
    <row r="13424" spans="1:2">
      <c r="A13424" s="59"/>
      <c r="B13424"/>
    </row>
    <row r="13425" spans="1:2">
      <c r="A13425" s="59"/>
      <c r="B13425"/>
    </row>
    <row r="13426" spans="1:2">
      <c r="A13426" s="59"/>
      <c r="B13426"/>
    </row>
    <row r="13427" spans="1:2">
      <c r="A13427" s="59"/>
      <c r="B13427"/>
    </row>
    <row r="13428" spans="1:2">
      <c r="A13428" s="59"/>
      <c r="B13428"/>
    </row>
    <row r="13429" spans="1:2">
      <c r="A13429" s="59"/>
      <c r="B13429"/>
    </row>
    <row r="13430" spans="1:2">
      <c r="A13430" s="59"/>
      <c r="B13430"/>
    </row>
    <row r="13431" spans="1:2">
      <c r="A13431" s="59"/>
      <c r="B13431"/>
    </row>
    <row r="13432" spans="1:2">
      <c r="A13432" s="59"/>
      <c r="B13432"/>
    </row>
    <row r="13433" spans="1:2">
      <c r="A13433" s="59"/>
      <c r="B13433"/>
    </row>
    <row r="13434" spans="1:2">
      <c r="A13434" s="59"/>
      <c r="B13434"/>
    </row>
    <row r="13435" spans="1:2">
      <c r="A13435" s="59"/>
      <c r="B13435"/>
    </row>
    <row r="13436" spans="1:2">
      <c r="A13436" s="59"/>
      <c r="B13436"/>
    </row>
    <row r="13437" spans="1:2">
      <c r="A13437" s="59"/>
      <c r="B13437"/>
    </row>
    <row r="13438" spans="1:2">
      <c r="A13438" s="59"/>
      <c r="B13438"/>
    </row>
    <row r="13439" spans="1:2">
      <c r="A13439" s="59"/>
      <c r="B13439"/>
    </row>
    <row r="13440" spans="1:2">
      <c r="A13440" s="59"/>
      <c r="B13440"/>
    </row>
    <row r="13441" spans="1:2">
      <c r="A13441" s="59"/>
      <c r="B13441"/>
    </row>
    <row r="13442" spans="1:2">
      <c r="A13442" s="59"/>
      <c r="B13442"/>
    </row>
    <row r="13443" spans="1:2">
      <c r="A13443" s="59"/>
      <c r="B13443"/>
    </row>
    <row r="13444" spans="1:2">
      <c r="A13444" s="59"/>
      <c r="B13444"/>
    </row>
    <row r="13445" spans="1:2">
      <c r="A13445" s="59"/>
      <c r="B13445"/>
    </row>
    <row r="13446" spans="1:2">
      <c r="A13446" s="59"/>
      <c r="B13446"/>
    </row>
    <row r="13447" spans="1:2">
      <c r="A13447" s="59"/>
      <c r="B13447"/>
    </row>
    <row r="13448" spans="1:2">
      <c r="A13448" s="59"/>
      <c r="B13448"/>
    </row>
    <row r="13449" spans="1:2">
      <c r="A13449" s="59"/>
      <c r="B13449"/>
    </row>
    <row r="13450" spans="1:2">
      <c r="A13450" s="59"/>
      <c r="B13450"/>
    </row>
    <row r="13451" spans="1:2">
      <c r="A13451" s="59"/>
      <c r="B13451"/>
    </row>
    <row r="13452" spans="1:2">
      <c r="A13452" s="59"/>
      <c r="B13452"/>
    </row>
    <row r="13453" spans="1:2">
      <c r="A13453" s="59"/>
      <c r="B13453"/>
    </row>
    <row r="13454" spans="1:2">
      <c r="A13454" s="59"/>
      <c r="B13454"/>
    </row>
    <row r="13455" spans="1:2">
      <c r="A13455" s="59"/>
      <c r="B13455"/>
    </row>
    <row r="13456" spans="1:2">
      <c r="A13456" s="59"/>
      <c r="B13456"/>
    </row>
    <row r="13457" spans="1:2">
      <c r="A13457" s="59"/>
      <c r="B13457"/>
    </row>
    <row r="13458" spans="1:2">
      <c r="A13458" s="59"/>
      <c r="B13458"/>
    </row>
    <row r="13459" spans="1:2">
      <c r="A13459" s="59"/>
      <c r="B13459"/>
    </row>
    <row r="13460" spans="1:2">
      <c r="A13460" s="59"/>
      <c r="B13460"/>
    </row>
    <row r="13461" spans="1:2">
      <c r="A13461" s="59"/>
      <c r="B13461"/>
    </row>
    <row r="13462" spans="1:2">
      <c r="A13462" s="59"/>
      <c r="B13462"/>
    </row>
    <row r="13463" spans="1:2">
      <c r="A13463" s="59"/>
      <c r="B13463"/>
    </row>
    <row r="13464" spans="1:2">
      <c r="A13464" s="59"/>
      <c r="B13464"/>
    </row>
    <row r="13465" spans="1:2">
      <c r="A13465" s="59"/>
      <c r="B13465"/>
    </row>
    <row r="13466" spans="1:2">
      <c r="A13466" s="59"/>
      <c r="B13466"/>
    </row>
    <row r="13467" spans="1:2">
      <c r="A13467" s="59"/>
      <c r="B13467"/>
    </row>
    <row r="13468" spans="1:2">
      <c r="A13468" s="59"/>
      <c r="B13468"/>
    </row>
    <row r="13469" spans="1:2">
      <c r="A13469" s="59"/>
      <c r="B13469"/>
    </row>
    <row r="13470" spans="1:2">
      <c r="A13470" s="59"/>
      <c r="B13470"/>
    </row>
    <row r="13471" spans="1:2">
      <c r="A13471" s="59"/>
      <c r="B13471"/>
    </row>
    <row r="13472" spans="1:2">
      <c r="A13472" s="59"/>
      <c r="B13472"/>
    </row>
    <row r="13473" spans="1:2">
      <c r="A13473" s="59"/>
      <c r="B13473"/>
    </row>
    <row r="13474" spans="1:2">
      <c r="A13474" s="59"/>
      <c r="B13474"/>
    </row>
    <row r="13475" spans="1:2">
      <c r="A13475" s="59"/>
      <c r="B13475"/>
    </row>
    <row r="13476" spans="1:2">
      <c r="A13476" s="59"/>
      <c r="B13476"/>
    </row>
    <row r="13477" spans="1:2">
      <c r="A13477" s="59"/>
      <c r="B13477"/>
    </row>
    <row r="13478" spans="1:2">
      <c r="A13478" s="59"/>
      <c r="B13478"/>
    </row>
    <row r="13479" spans="1:2">
      <c r="A13479" s="59"/>
      <c r="B13479"/>
    </row>
    <row r="13480" spans="1:2">
      <c r="A13480" s="59"/>
      <c r="B13480"/>
    </row>
    <row r="13481" spans="1:2">
      <c r="A13481" s="59"/>
      <c r="B13481"/>
    </row>
    <row r="13482" spans="1:2">
      <c r="A13482" s="59"/>
      <c r="B13482"/>
    </row>
    <row r="13483" spans="1:2">
      <c r="A13483" s="59"/>
      <c r="B13483"/>
    </row>
    <row r="13484" spans="1:2">
      <c r="A13484" s="59"/>
      <c r="B13484"/>
    </row>
    <row r="13485" spans="1:2">
      <c r="A13485" s="59"/>
      <c r="B13485"/>
    </row>
    <row r="13486" spans="1:2">
      <c r="A13486" s="59"/>
      <c r="B13486"/>
    </row>
    <row r="13487" spans="1:2">
      <c r="A13487" s="59"/>
      <c r="B13487"/>
    </row>
    <row r="13488" spans="1:2">
      <c r="A13488" s="59"/>
      <c r="B13488"/>
    </row>
    <row r="13489" spans="1:2">
      <c r="A13489" s="59"/>
      <c r="B13489"/>
    </row>
    <row r="13490" spans="1:2">
      <c r="A13490" s="59"/>
      <c r="B13490"/>
    </row>
    <row r="13491" spans="1:2">
      <c r="A13491" s="59"/>
      <c r="B13491"/>
    </row>
    <row r="13492" spans="1:2">
      <c r="A13492" s="59"/>
      <c r="B13492"/>
    </row>
    <row r="13493" spans="1:2">
      <c r="A13493" s="59"/>
      <c r="B13493"/>
    </row>
    <row r="13494" spans="1:2">
      <c r="A13494" s="59"/>
      <c r="B13494"/>
    </row>
    <row r="13495" spans="1:2">
      <c r="A13495" s="59"/>
      <c r="B13495"/>
    </row>
    <row r="13496" spans="1:2">
      <c r="A13496" s="59"/>
      <c r="B13496"/>
    </row>
    <row r="13497" spans="1:2">
      <c r="A13497" s="59"/>
      <c r="B13497"/>
    </row>
    <row r="13498" spans="1:2">
      <c r="A13498" s="59"/>
      <c r="B13498"/>
    </row>
    <row r="13499" spans="1:2">
      <c r="A13499" s="59"/>
      <c r="B13499"/>
    </row>
    <row r="13500" spans="1:2">
      <c r="A13500" s="59"/>
      <c r="B13500"/>
    </row>
    <row r="13501" spans="1:2">
      <c r="A13501" s="59"/>
      <c r="B13501"/>
    </row>
    <row r="13502" spans="1:2">
      <c r="A13502" s="59"/>
      <c r="B13502"/>
    </row>
    <row r="13503" spans="1:2">
      <c r="A13503" s="59"/>
      <c r="B13503"/>
    </row>
    <row r="13504" spans="1:2">
      <c r="A13504" s="59"/>
      <c r="B13504"/>
    </row>
    <row r="13505" spans="1:2">
      <c r="A13505" s="59"/>
      <c r="B13505"/>
    </row>
    <row r="13506" spans="1:2">
      <c r="A13506" s="59"/>
      <c r="B13506"/>
    </row>
    <row r="13507" spans="1:2">
      <c r="A13507" s="59"/>
      <c r="B13507"/>
    </row>
    <row r="13508" spans="1:2">
      <c r="A13508" s="59"/>
      <c r="B13508"/>
    </row>
    <row r="13509" spans="1:2">
      <c r="A13509" s="59"/>
      <c r="B13509"/>
    </row>
    <row r="13510" spans="1:2">
      <c r="A13510" s="59"/>
      <c r="B13510"/>
    </row>
    <row r="13511" spans="1:2">
      <c r="A13511" s="59"/>
      <c r="B13511"/>
    </row>
    <row r="13512" spans="1:2">
      <c r="A13512" s="59"/>
      <c r="B13512"/>
    </row>
    <row r="13513" spans="1:2">
      <c r="A13513" s="59"/>
      <c r="B13513"/>
    </row>
    <row r="13514" spans="1:2">
      <c r="A13514" s="59"/>
      <c r="B13514"/>
    </row>
    <row r="13515" spans="1:2">
      <c r="A13515" s="59"/>
      <c r="B13515"/>
    </row>
    <row r="13516" spans="1:2">
      <c r="A13516" s="59"/>
      <c r="B13516"/>
    </row>
    <row r="13517" spans="1:2">
      <c r="A13517" s="59"/>
      <c r="B13517"/>
    </row>
    <row r="13518" spans="1:2">
      <c r="A13518" s="59"/>
      <c r="B13518"/>
    </row>
    <row r="13519" spans="1:2">
      <c r="A13519" s="59"/>
      <c r="B13519"/>
    </row>
    <row r="13520" spans="1:2">
      <c r="A13520" s="59"/>
      <c r="B13520"/>
    </row>
    <row r="13521" spans="1:2">
      <c r="A13521" s="59"/>
      <c r="B13521"/>
    </row>
    <row r="13522" spans="1:2">
      <c r="A13522" s="59"/>
      <c r="B13522"/>
    </row>
    <row r="13523" spans="1:2">
      <c r="A13523" s="59"/>
      <c r="B13523"/>
    </row>
    <row r="13524" spans="1:2">
      <c r="A13524" s="59"/>
      <c r="B13524"/>
    </row>
    <row r="13525" spans="1:2">
      <c r="A13525" s="59"/>
      <c r="B13525"/>
    </row>
    <row r="13526" spans="1:2">
      <c r="A13526" s="59"/>
      <c r="B13526"/>
    </row>
    <row r="13527" spans="1:2">
      <c r="A13527" s="59"/>
      <c r="B13527"/>
    </row>
    <row r="13528" spans="1:2">
      <c r="A13528" s="59"/>
      <c r="B13528"/>
    </row>
    <row r="13529" spans="1:2">
      <c r="A13529" s="59"/>
      <c r="B13529"/>
    </row>
    <row r="13530" spans="1:2">
      <c r="A13530" s="59"/>
      <c r="B13530"/>
    </row>
    <row r="13531" spans="1:2">
      <c r="A13531" s="59"/>
      <c r="B13531"/>
    </row>
    <row r="13532" spans="1:2">
      <c r="A13532" s="59"/>
      <c r="B13532"/>
    </row>
    <row r="13533" spans="1:2">
      <c r="A13533" s="59"/>
      <c r="B13533"/>
    </row>
    <row r="13534" spans="1:2">
      <c r="A13534" s="59"/>
      <c r="B13534"/>
    </row>
    <row r="13535" spans="1:2">
      <c r="A13535" s="59"/>
      <c r="B13535"/>
    </row>
    <row r="13536" spans="1:2">
      <c r="A13536" s="59"/>
      <c r="B13536"/>
    </row>
    <row r="13537" spans="1:2">
      <c r="A13537" s="59"/>
      <c r="B13537"/>
    </row>
    <row r="13538" spans="1:2">
      <c r="A13538" s="59"/>
      <c r="B13538"/>
    </row>
    <row r="13539" spans="1:2">
      <c r="A13539" s="59"/>
      <c r="B13539"/>
    </row>
    <row r="13540" spans="1:2">
      <c r="A13540" s="59"/>
      <c r="B13540"/>
    </row>
    <row r="13541" spans="1:2">
      <c r="A13541" s="59"/>
      <c r="B13541"/>
    </row>
    <row r="13542" spans="1:2">
      <c r="A13542" s="59"/>
      <c r="B13542"/>
    </row>
    <row r="13543" spans="1:2">
      <c r="A13543" s="59"/>
      <c r="B13543"/>
    </row>
    <row r="13544" spans="1:2">
      <c r="A13544" s="59"/>
      <c r="B13544"/>
    </row>
    <row r="13545" spans="1:2">
      <c r="A13545" s="59"/>
      <c r="B13545"/>
    </row>
    <row r="13546" spans="1:2">
      <c r="A13546" s="59"/>
      <c r="B13546"/>
    </row>
    <row r="13547" spans="1:2">
      <c r="A13547" s="59"/>
      <c r="B13547"/>
    </row>
    <row r="13548" spans="1:2">
      <c r="A13548" s="59"/>
      <c r="B13548"/>
    </row>
    <row r="13549" spans="1:2">
      <c r="A13549" s="59"/>
      <c r="B13549"/>
    </row>
    <row r="13550" spans="1:2">
      <c r="A13550" s="59"/>
      <c r="B13550"/>
    </row>
    <row r="13551" spans="1:2">
      <c r="A13551" s="59"/>
      <c r="B13551"/>
    </row>
    <row r="13552" spans="1:2">
      <c r="A13552" s="59"/>
      <c r="B13552"/>
    </row>
    <row r="13553" spans="1:2">
      <c r="A13553" s="59"/>
      <c r="B13553"/>
    </row>
    <row r="13554" spans="1:2">
      <c r="A13554" s="59"/>
      <c r="B13554"/>
    </row>
    <row r="13555" spans="1:2">
      <c r="A13555" s="59"/>
      <c r="B13555"/>
    </row>
    <row r="13556" spans="1:2">
      <c r="A13556" s="59"/>
      <c r="B13556"/>
    </row>
    <row r="13557" spans="1:2">
      <c r="A13557" s="59"/>
      <c r="B13557"/>
    </row>
    <row r="13558" spans="1:2">
      <c r="A13558" s="59"/>
      <c r="B13558"/>
    </row>
    <row r="13559" spans="1:2">
      <c r="A13559" s="59"/>
      <c r="B13559"/>
    </row>
    <row r="13560" spans="1:2">
      <c r="A13560" s="59"/>
      <c r="B13560"/>
    </row>
    <row r="13561" spans="1:2">
      <c r="A13561" s="59"/>
      <c r="B13561"/>
    </row>
    <row r="13562" spans="1:2">
      <c r="A13562" s="59"/>
      <c r="B13562"/>
    </row>
    <row r="13563" spans="1:2">
      <c r="A13563" s="59"/>
      <c r="B13563"/>
    </row>
    <row r="13564" spans="1:2">
      <c r="A13564" s="59"/>
      <c r="B13564"/>
    </row>
    <row r="13565" spans="1:2">
      <c r="A13565" s="59"/>
      <c r="B13565"/>
    </row>
    <row r="13566" spans="1:2">
      <c r="A13566" s="59"/>
      <c r="B13566"/>
    </row>
    <row r="13567" spans="1:2">
      <c r="A13567" s="59"/>
      <c r="B13567"/>
    </row>
    <row r="13568" spans="1:2">
      <c r="A13568" s="59"/>
      <c r="B13568"/>
    </row>
    <row r="13569" spans="1:2">
      <c r="A13569" s="59"/>
      <c r="B13569"/>
    </row>
    <row r="13570" spans="1:2">
      <c r="A13570" s="59"/>
      <c r="B13570"/>
    </row>
    <row r="13571" spans="1:2">
      <c r="A13571" s="59"/>
      <c r="B13571"/>
    </row>
    <row r="13572" spans="1:2">
      <c r="A13572" s="59"/>
      <c r="B13572"/>
    </row>
    <row r="13573" spans="1:2">
      <c r="A13573" s="59"/>
      <c r="B13573"/>
    </row>
    <row r="13574" spans="1:2">
      <c r="A13574" s="59"/>
      <c r="B13574"/>
    </row>
    <row r="13575" spans="1:2">
      <c r="A13575" s="59"/>
      <c r="B13575"/>
    </row>
    <row r="13576" spans="1:2">
      <c r="A13576" s="59"/>
      <c r="B13576"/>
    </row>
    <row r="13577" spans="1:2">
      <c r="A13577" s="59"/>
      <c r="B13577"/>
    </row>
    <row r="13578" spans="1:2">
      <c r="A13578" s="59"/>
      <c r="B13578"/>
    </row>
    <row r="13579" spans="1:2">
      <c r="A13579" s="59"/>
      <c r="B13579"/>
    </row>
    <row r="13580" spans="1:2">
      <c r="A13580" s="59"/>
      <c r="B13580"/>
    </row>
    <row r="13581" spans="1:2">
      <c r="A13581" s="59"/>
      <c r="B13581"/>
    </row>
    <row r="13582" spans="1:2">
      <c r="A13582" s="59"/>
      <c r="B13582"/>
    </row>
    <row r="13583" spans="1:2">
      <c r="A13583" s="59"/>
      <c r="B13583"/>
    </row>
    <row r="13584" spans="1:2">
      <c r="A13584" s="59"/>
      <c r="B13584"/>
    </row>
    <row r="13585" spans="1:2">
      <c r="A13585" s="59"/>
      <c r="B13585"/>
    </row>
    <row r="13586" spans="1:2">
      <c r="A13586" s="59"/>
      <c r="B13586"/>
    </row>
    <row r="13587" spans="1:2">
      <c r="A13587" s="59"/>
      <c r="B13587"/>
    </row>
    <row r="13588" spans="1:2">
      <c r="A13588" s="59"/>
      <c r="B13588"/>
    </row>
    <row r="13589" spans="1:2">
      <c r="A13589" s="59"/>
      <c r="B13589"/>
    </row>
    <row r="13590" spans="1:2">
      <c r="A13590" s="59"/>
      <c r="B13590"/>
    </row>
    <row r="13591" spans="1:2">
      <c r="A13591" s="59"/>
      <c r="B13591"/>
    </row>
    <row r="13592" spans="1:2">
      <c r="A13592" s="59"/>
      <c r="B13592"/>
    </row>
    <row r="13593" spans="1:2">
      <c r="A13593" s="59"/>
      <c r="B13593"/>
    </row>
    <row r="13594" spans="1:2">
      <c r="A13594" s="59"/>
      <c r="B13594"/>
    </row>
    <row r="13595" spans="1:2">
      <c r="A13595" s="59"/>
      <c r="B13595"/>
    </row>
    <row r="13596" spans="1:2">
      <c r="A13596" s="59"/>
      <c r="B13596"/>
    </row>
    <row r="13597" spans="1:2">
      <c r="A13597" s="59"/>
      <c r="B13597"/>
    </row>
    <row r="13598" spans="1:2">
      <c r="A13598" s="59"/>
      <c r="B13598"/>
    </row>
    <row r="13599" spans="1:2">
      <c r="A13599" s="59"/>
      <c r="B13599"/>
    </row>
    <row r="13600" spans="1:2">
      <c r="A13600" s="59"/>
      <c r="B13600"/>
    </row>
    <row r="13601" spans="1:2">
      <c r="A13601" s="59"/>
      <c r="B13601"/>
    </row>
    <row r="13602" spans="1:2">
      <c r="A13602" s="59"/>
      <c r="B13602"/>
    </row>
    <row r="13603" spans="1:2">
      <c r="A13603" s="59"/>
      <c r="B13603"/>
    </row>
    <row r="13604" spans="1:2">
      <c r="A13604" s="59"/>
      <c r="B13604"/>
    </row>
    <row r="13605" spans="1:2">
      <c r="A13605" s="59"/>
      <c r="B13605"/>
    </row>
    <row r="13606" spans="1:2">
      <c r="A13606" s="59"/>
      <c r="B13606"/>
    </row>
    <row r="13607" spans="1:2">
      <c r="A13607" s="59"/>
      <c r="B13607"/>
    </row>
    <row r="13608" spans="1:2">
      <c r="A13608" s="59"/>
      <c r="B13608"/>
    </row>
    <row r="13609" spans="1:2">
      <c r="A13609" s="59"/>
      <c r="B13609"/>
    </row>
    <row r="13610" spans="1:2">
      <c r="A13610" s="59"/>
      <c r="B13610"/>
    </row>
    <row r="13611" spans="1:2">
      <c r="A13611" s="59"/>
      <c r="B13611"/>
    </row>
    <row r="13612" spans="1:2">
      <c r="A13612" s="59"/>
      <c r="B13612"/>
    </row>
    <row r="13613" spans="1:2">
      <c r="A13613" s="59"/>
      <c r="B13613"/>
    </row>
    <row r="13614" spans="1:2">
      <c r="A13614" s="59"/>
      <c r="B13614"/>
    </row>
    <row r="13615" spans="1:2">
      <c r="A13615" s="59"/>
      <c r="B13615"/>
    </row>
    <row r="13616" spans="1:2">
      <c r="A13616" s="59"/>
      <c r="B13616"/>
    </row>
    <row r="13617" spans="1:2">
      <c r="A13617" s="59"/>
      <c r="B13617"/>
    </row>
    <row r="13618" spans="1:2">
      <c r="A13618" s="59"/>
      <c r="B13618"/>
    </row>
    <row r="13619" spans="1:2">
      <c r="A13619" s="59"/>
      <c r="B13619"/>
    </row>
    <row r="13620" spans="1:2">
      <c r="A13620" s="59"/>
      <c r="B13620"/>
    </row>
    <row r="13621" spans="1:2">
      <c r="A13621" s="59"/>
      <c r="B13621"/>
    </row>
    <row r="13622" spans="1:2">
      <c r="A13622" s="59"/>
      <c r="B13622"/>
    </row>
    <row r="13623" spans="1:2">
      <c r="A13623" s="59"/>
      <c r="B13623"/>
    </row>
    <row r="13624" spans="1:2">
      <c r="A13624" s="59"/>
      <c r="B13624"/>
    </row>
    <row r="13625" spans="1:2">
      <c r="A13625" s="59"/>
      <c r="B13625"/>
    </row>
    <row r="13626" spans="1:2">
      <c r="A13626" s="59"/>
      <c r="B13626"/>
    </row>
    <row r="13627" spans="1:2">
      <c r="A13627" s="59"/>
      <c r="B13627"/>
    </row>
    <row r="13628" spans="1:2">
      <c r="A13628" s="59"/>
      <c r="B13628"/>
    </row>
    <row r="13629" spans="1:2">
      <c r="A13629" s="59"/>
      <c r="B13629"/>
    </row>
    <row r="13630" spans="1:2">
      <c r="A13630" s="59"/>
      <c r="B13630"/>
    </row>
    <row r="13631" spans="1:2">
      <c r="A13631" s="59"/>
      <c r="B13631"/>
    </row>
    <row r="13632" spans="1:2">
      <c r="A13632" s="59"/>
      <c r="B13632"/>
    </row>
    <row r="13633" spans="1:2">
      <c r="A13633" s="59"/>
      <c r="B13633"/>
    </row>
    <row r="13634" spans="1:2">
      <c r="A13634" s="59"/>
      <c r="B13634"/>
    </row>
    <row r="13635" spans="1:2">
      <c r="A13635" s="59"/>
      <c r="B13635"/>
    </row>
    <row r="13636" spans="1:2">
      <c r="A13636" s="59"/>
      <c r="B13636"/>
    </row>
    <row r="13637" spans="1:2">
      <c r="A13637" s="59"/>
      <c r="B13637"/>
    </row>
    <row r="13638" spans="1:2">
      <c r="A13638" s="59"/>
      <c r="B13638"/>
    </row>
    <row r="13639" spans="1:2">
      <c r="A13639" s="59"/>
      <c r="B13639"/>
    </row>
    <row r="13640" spans="1:2">
      <c r="A13640" s="59"/>
      <c r="B13640"/>
    </row>
    <row r="13641" spans="1:2">
      <c r="A13641" s="59"/>
      <c r="B13641"/>
    </row>
    <row r="13642" spans="1:2">
      <c r="A13642" s="59"/>
      <c r="B13642"/>
    </row>
    <row r="13643" spans="1:2">
      <c r="A13643" s="59"/>
      <c r="B13643"/>
    </row>
    <row r="13644" spans="1:2">
      <c r="A13644" s="59"/>
      <c r="B13644"/>
    </row>
    <row r="13645" spans="1:2">
      <c r="A13645" s="59"/>
      <c r="B13645"/>
    </row>
    <row r="13646" spans="1:2">
      <c r="A13646" s="59"/>
      <c r="B13646"/>
    </row>
    <row r="13647" spans="1:2">
      <c r="A13647" s="59"/>
      <c r="B13647"/>
    </row>
    <row r="13648" spans="1:2">
      <c r="A13648" s="59"/>
      <c r="B13648"/>
    </row>
    <row r="13649" spans="1:2">
      <c r="A13649" s="59"/>
      <c r="B13649"/>
    </row>
    <row r="13650" spans="1:2">
      <c r="A13650" s="59"/>
      <c r="B13650"/>
    </row>
    <row r="13651" spans="1:2">
      <c r="A13651" s="59"/>
      <c r="B13651"/>
    </row>
    <row r="13652" spans="1:2">
      <c r="A13652" s="59"/>
      <c r="B13652"/>
    </row>
    <row r="13653" spans="1:2">
      <c r="A13653" s="59"/>
      <c r="B13653"/>
    </row>
    <row r="13654" spans="1:2">
      <c r="A13654" s="59"/>
      <c r="B13654"/>
    </row>
    <row r="13655" spans="1:2">
      <c r="A13655" s="59"/>
      <c r="B13655"/>
    </row>
    <row r="13656" spans="1:2">
      <c r="A13656" s="59"/>
      <c r="B13656"/>
    </row>
    <row r="13657" spans="1:2">
      <c r="A13657" s="59"/>
      <c r="B13657"/>
    </row>
    <row r="13658" spans="1:2">
      <c r="A13658" s="59"/>
      <c r="B13658"/>
    </row>
    <row r="13659" spans="1:2">
      <c r="A13659" s="59"/>
      <c r="B13659"/>
    </row>
    <row r="13660" spans="1:2">
      <c r="A13660" s="59"/>
      <c r="B13660"/>
    </row>
    <row r="13661" spans="1:2">
      <c r="A13661" s="59"/>
      <c r="B13661"/>
    </row>
    <row r="13662" spans="1:2">
      <c r="A13662" s="59"/>
      <c r="B13662"/>
    </row>
    <row r="13663" spans="1:2">
      <c r="A13663" s="59"/>
      <c r="B13663"/>
    </row>
    <row r="13664" spans="1:2">
      <c r="A13664" s="59"/>
      <c r="B13664"/>
    </row>
    <row r="13665" spans="1:2">
      <c r="A13665" s="59"/>
      <c r="B13665"/>
    </row>
    <row r="13666" spans="1:2">
      <c r="A13666" s="59"/>
      <c r="B13666"/>
    </row>
    <row r="13667" spans="1:2">
      <c r="A13667" s="59"/>
      <c r="B13667"/>
    </row>
    <row r="13668" spans="1:2">
      <c r="A13668" s="59"/>
      <c r="B13668"/>
    </row>
    <row r="13669" spans="1:2">
      <c r="A13669" s="59"/>
      <c r="B13669"/>
    </row>
    <row r="13670" spans="1:2">
      <c r="A13670" s="59"/>
      <c r="B13670"/>
    </row>
    <row r="13671" spans="1:2">
      <c r="A13671" s="59"/>
      <c r="B13671"/>
    </row>
    <row r="13672" spans="1:2">
      <c r="A13672" s="59"/>
      <c r="B13672"/>
    </row>
    <row r="13673" spans="1:2">
      <c r="A13673" s="59"/>
      <c r="B13673"/>
    </row>
    <row r="13674" spans="1:2">
      <c r="A13674" s="59"/>
      <c r="B13674"/>
    </row>
    <row r="13675" spans="1:2">
      <c r="A13675" s="59"/>
      <c r="B13675"/>
    </row>
    <row r="13676" spans="1:2">
      <c r="A13676" s="59"/>
      <c r="B13676"/>
    </row>
    <row r="13677" spans="1:2">
      <c r="A13677" s="59"/>
      <c r="B13677"/>
    </row>
    <row r="13678" spans="1:2">
      <c r="A13678" s="59"/>
      <c r="B13678"/>
    </row>
    <row r="13679" spans="1:2">
      <c r="A13679" s="59"/>
      <c r="B13679"/>
    </row>
    <row r="13680" spans="1:2">
      <c r="A13680" s="59"/>
      <c r="B13680"/>
    </row>
    <row r="13681" spans="1:2">
      <c r="A13681" s="59"/>
      <c r="B13681"/>
    </row>
    <row r="13682" spans="1:2">
      <c r="A13682" s="59"/>
      <c r="B13682"/>
    </row>
    <row r="13683" spans="1:2">
      <c r="A13683" s="59"/>
      <c r="B13683"/>
    </row>
    <row r="13684" spans="1:2">
      <c r="A13684" s="59"/>
      <c r="B13684"/>
    </row>
    <row r="13685" spans="1:2">
      <c r="A13685" s="59"/>
      <c r="B13685"/>
    </row>
    <row r="13686" spans="1:2">
      <c r="A13686" s="59"/>
      <c r="B13686"/>
    </row>
    <row r="13687" spans="1:2">
      <c r="A13687" s="59"/>
      <c r="B13687"/>
    </row>
    <row r="13688" spans="1:2">
      <c r="A13688" s="59"/>
      <c r="B13688"/>
    </row>
    <row r="13689" spans="1:2">
      <c r="A13689" s="59"/>
      <c r="B13689"/>
    </row>
    <row r="13690" spans="1:2">
      <c r="A13690" s="59"/>
      <c r="B13690"/>
    </row>
    <row r="13691" spans="1:2">
      <c r="A13691" s="59"/>
      <c r="B13691"/>
    </row>
    <row r="13692" spans="1:2">
      <c r="A13692" s="59"/>
      <c r="B13692"/>
    </row>
    <row r="13693" spans="1:2">
      <c r="A13693" s="59"/>
      <c r="B13693"/>
    </row>
    <row r="13694" spans="1:2">
      <c r="A13694" s="59"/>
      <c r="B13694"/>
    </row>
    <row r="13695" spans="1:2">
      <c r="A13695" s="59"/>
      <c r="B13695"/>
    </row>
    <row r="13696" spans="1:2">
      <c r="A13696" s="59"/>
      <c r="B13696"/>
    </row>
    <row r="13697" spans="1:2">
      <c r="A13697" s="59"/>
      <c r="B13697"/>
    </row>
    <row r="13698" spans="1:2">
      <c r="A13698" s="59"/>
      <c r="B13698"/>
    </row>
    <row r="13699" spans="1:2">
      <c r="A13699" s="59"/>
      <c r="B13699"/>
    </row>
    <row r="13700" spans="1:2">
      <c r="A13700" s="59"/>
      <c r="B13700"/>
    </row>
    <row r="13701" spans="1:2">
      <c r="A13701" s="59"/>
      <c r="B13701"/>
    </row>
    <row r="13702" spans="1:2">
      <c r="A13702" s="59"/>
      <c r="B13702"/>
    </row>
    <row r="13703" spans="1:2">
      <c r="A13703" s="59"/>
      <c r="B13703"/>
    </row>
    <row r="13704" spans="1:2">
      <c r="A13704" s="59"/>
      <c r="B13704"/>
    </row>
    <row r="13705" spans="1:2">
      <c r="A13705" s="59"/>
      <c r="B13705"/>
    </row>
    <row r="13706" spans="1:2">
      <c r="A13706" s="59"/>
      <c r="B13706"/>
    </row>
    <row r="13707" spans="1:2">
      <c r="A13707" s="59"/>
      <c r="B13707"/>
    </row>
    <row r="13708" spans="1:2">
      <c r="A13708" s="59"/>
      <c r="B13708"/>
    </row>
    <row r="13709" spans="1:2">
      <c r="A13709" s="59"/>
      <c r="B13709"/>
    </row>
    <row r="13710" spans="1:2">
      <c r="A13710" s="59"/>
      <c r="B13710"/>
    </row>
    <row r="13711" spans="1:2">
      <c r="A13711" s="59"/>
      <c r="B13711"/>
    </row>
    <row r="13712" spans="1:2">
      <c r="A13712" s="59"/>
      <c r="B13712"/>
    </row>
    <row r="13713" spans="1:2">
      <c r="A13713" s="59"/>
      <c r="B13713"/>
    </row>
    <row r="13714" spans="1:2">
      <c r="A13714" s="59"/>
      <c r="B13714"/>
    </row>
    <row r="13715" spans="1:2">
      <c r="A13715" s="59"/>
      <c r="B13715"/>
    </row>
    <row r="13716" spans="1:2">
      <c r="A13716" s="59"/>
      <c r="B13716"/>
    </row>
    <row r="13717" spans="1:2">
      <c r="A13717" s="59"/>
      <c r="B13717"/>
    </row>
    <row r="13718" spans="1:2">
      <c r="A13718" s="59"/>
      <c r="B13718"/>
    </row>
    <row r="13719" spans="1:2">
      <c r="A13719" s="59"/>
      <c r="B13719"/>
    </row>
    <row r="13720" spans="1:2">
      <c r="A13720" s="59"/>
      <c r="B13720"/>
    </row>
    <row r="13721" spans="1:2">
      <c r="A13721" s="59"/>
      <c r="B13721"/>
    </row>
    <row r="13722" spans="1:2">
      <c r="A13722" s="59"/>
      <c r="B13722"/>
    </row>
    <row r="13723" spans="1:2">
      <c r="A13723" s="59"/>
      <c r="B13723"/>
    </row>
    <row r="13724" spans="1:2">
      <c r="A13724" s="59"/>
      <c r="B13724"/>
    </row>
    <row r="13725" spans="1:2">
      <c r="A13725" s="59"/>
      <c r="B13725"/>
    </row>
    <row r="13726" spans="1:2">
      <c r="A13726" s="59"/>
      <c r="B13726"/>
    </row>
    <row r="13727" spans="1:2">
      <c r="A13727" s="59"/>
      <c r="B13727"/>
    </row>
    <row r="13728" spans="1:2">
      <c r="A13728" s="59"/>
      <c r="B13728"/>
    </row>
    <row r="13729" spans="1:2">
      <c r="A13729" s="59"/>
      <c r="B13729"/>
    </row>
    <row r="13730" spans="1:2">
      <c r="A13730" s="59"/>
      <c r="B13730"/>
    </row>
    <row r="13731" spans="1:2">
      <c r="A13731" s="59"/>
      <c r="B13731"/>
    </row>
    <row r="13732" spans="1:2">
      <c r="A13732" s="59"/>
      <c r="B13732"/>
    </row>
    <row r="13733" spans="1:2">
      <c r="A13733" s="59"/>
      <c r="B13733"/>
    </row>
    <row r="13734" spans="1:2">
      <c r="A13734" s="59"/>
      <c r="B13734"/>
    </row>
    <row r="13735" spans="1:2">
      <c r="A13735" s="59"/>
      <c r="B13735"/>
    </row>
    <row r="13736" spans="1:2">
      <c r="A13736" s="59"/>
      <c r="B13736"/>
    </row>
    <row r="13737" spans="1:2">
      <c r="A13737" s="59"/>
      <c r="B13737"/>
    </row>
    <row r="13738" spans="1:2">
      <c r="A13738" s="59"/>
      <c r="B13738"/>
    </row>
    <row r="13739" spans="1:2">
      <c r="A13739" s="59"/>
      <c r="B13739"/>
    </row>
    <row r="13740" spans="1:2">
      <c r="A13740" s="59"/>
      <c r="B13740"/>
    </row>
    <row r="13741" spans="1:2">
      <c r="A13741" s="59"/>
      <c r="B13741"/>
    </row>
    <row r="13742" spans="1:2">
      <c r="A13742" s="59"/>
      <c r="B13742"/>
    </row>
    <row r="13743" spans="1:2">
      <c r="A13743" s="59"/>
      <c r="B13743"/>
    </row>
    <row r="13744" spans="1:2">
      <c r="A13744" s="59"/>
      <c r="B13744"/>
    </row>
    <row r="13745" spans="1:2">
      <c r="A13745" s="59"/>
      <c r="B13745"/>
    </row>
    <row r="13746" spans="1:2">
      <c r="A13746" s="59"/>
      <c r="B13746"/>
    </row>
    <row r="13747" spans="1:2">
      <c r="A13747" s="59"/>
      <c r="B13747"/>
    </row>
    <row r="13748" spans="1:2">
      <c r="A13748" s="59"/>
      <c r="B13748"/>
    </row>
    <row r="13749" spans="1:2">
      <c r="A13749" s="59"/>
      <c r="B13749"/>
    </row>
    <row r="13750" spans="1:2">
      <c r="A13750" s="59"/>
      <c r="B13750"/>
    </row>
    <row r="13751" spans="1:2">
      <c r="A13751" s="59"/>
      <c r="B13751"/>
    </row>
    <row r="13752" spans="1:2">
      <c r="A13752" s="59"/>
      <c r="B13752"/>
    </row>
    <row r="13753" spans="1:2">
      <c r="A13753" s="59"/>
      <c r="B13753"/>
    </row>
    <row r="13754" spans="1:2">
      <c r="A13754" s="59"/>
      <c r="B13754"/>
    </row>
    <row r="13755" spans="1:2">
      <c r="A13755" s="59"/>
      <c r="B13755"/>
    </row>
    <row r="13756" spans="1:2">
      <c r="A13756" s="59"/>
      <c r="B13756"/>
    </row>
    <row r="13757" spans="1:2">
      <c r="A13757" s="59"/>
      <c r="B13757"/>
    </row>
    <row r="13758" spans="1:2">
      <c r="A13758" s="59"/>
      <c r="B13758"/>
    </row>
    <row r="13759" spans="1:2">
      <c r="A13759" s="59"/>
      <c r="B13759"/>
    </row>
    <row r="13760" spans="1:2">
      <c r="A13760" s="59"/>
      <c r="B13760"/>
    </row>
    <row r="13761" spans="1:2">
      <c r="A13761" s="59"/>
      <c r="B13761"/>
    </row>
    <row r="13762" spans="1:2">
      <c r="A13762" s="59"/>
      <c r="B13762"/>
    </row>
    <row r="13763" spans="1:2">
      <c r="A13763" s="59"/>
      <c r="B13763"/>
    </row>
    <row r="13764" spans="1:2">
      <c r="A13764" s="59"/>
      <c r="B13764"/>
    </row>
    <row r="13765" spans="1:2">
      <c r="A13765" s="59"/>
      <c r="B13765"/>
    </row>
    <row r="13766" spans="1:2">
      <c r="A13766" s="59"/>
      <c r="B13766"/>
    </row>
    <row r="13767" spans="1:2">
      <c r="A13767" s="59"/>
      <c r="B13767"/>
    </row>
    <row r="13768" spans="1:2">
      <c r="A13768" s="59"/>
      <c r="B13768"/>
    </row>
    <row r="13769" spans="1:2">
      <c r="A13769" s="59"/>
      <c r="B13769"/>
    </row>
    <row r="13770" spans="1:2">
      <c r="A13770" s="59"/>
      <c r="B13770"/>
    </row>
    <row r="13771" spans="1:2">
      <c r="A13771" s="59"/>
      <c r="B13771"/>
    </row>
    <row r="13772" spans="1:2">
      <c r="A13772" s="59"/>
      <c r="B13772"/>
    </row>
    <row r="13773" spans="1:2">
      <c r="A13773" s="59"/>
      <c r="B13773"/>
    </row>
    <row r="13774" spans="1:2">
      <c r="A13774" s="59"/>
      <c r="B13774"/>
    </row>
    <row r="13775" spans="1:2">
      <c r="A13775" s="59"/>
      <c r="B13775"/>
    </row>
    <row r="13776" spans="1:2">
      <c r="A13776" s="59"/>
      <c r="B13776"/>
    </row>
    <row r="13777" spans="1:2">
      <c r="A13777" s="59"/>
      <c r="B13777"/>
    </row>
    <row r="13778" spans="1:2">
      <c r="A13778" s="59"/>
      <c r="B13778"/>
    </row>
    <row r="13779" spans="1:2">
      <c r="A13779" s="59"/>
      <c r="B13779"/>
    </row>
    <row r="13780" spans="1:2">
      <c r="A13780" s="59"/>
      <c r="B13780"/>
    </row>
    <row r="13781" spans="1:2">
      <c r="A13781" s="59"/>
      <c r="B13781"/>
    </row>
    <row r="13782" spans="1:2">
      <c r="A13782" s="59"/>
      <c r="B13782"/>
    </row>
    <row r="13783" spans="1:2">
      <c r="A13783" s="59"/>
      <c r="B13783"/>
    </row>
    <row r="13784" spans="1:2">
      <c r="A13784" s="59"/>
      <c r="B13784"/>
    </row>
    <row r="13785" spans="1:2">
      <c r="A13785" s="59"/>
      <c r="B13785"/>
    </row>
    <row r="13786" spans="1:2">
      <c r="A13786" s="59"/>
      <c r="B13786"/>
    </row>
    <row r="13787" spans="1:2">
      <c r="A13787" s="59"/>
      <c r="B13787"/>
    </row>
    <row r="13788" spans="1:2">
      <c r="A13788" s="59"/>
      <c r="B13788"/>
    </row>
    <row r="13789" spans="1:2">
      <c r="A13789" s="59"/>
      <c r="B13789"/>
    </row>
    <row r="13790" spans="1:2">
      <c r="A13790" s="59"/>
      <c r="B13790"/>
    </row>
    <row r="13791" spans="1:2">
      <c r="A13791" s="59"/>
      <c r="B13791"/>
    </row>
    <row r="13792" spans="1:2">
      <c r="A13792" s="59"/>
      <c r="B13792"/>
    </row>
    <row r="13793" spans="1:2">
      <c r="A13793" s="59"/>
      <c r="B13793"/>
    </row>
    <row r="13794" spans="1:2">
      <c r="A13794" s="59"/>
      <c r="B13794"/>
    </row>
    <row r="13795" spans="1:2">
      <c r="A13795" s="59"/>
      <c r="B13795"/>
    </row>
    <row r="13796" spans="1:2">
      <c r="A13796" s="59"/>
      <c r="B13796"/>
    </row>
    <row r="13797" spans="1:2">
      <c r="A13797" s="59"/>
      <c r="B13797"/>
    </row>
    <row r="13798" spans="1:2">
      <c r="A13798" s="59"/>
      <c r="B13798"/>
    </row>
    <row r="13799" spans="1:2">
      <c r="A13799" s="59"/>
      <c r="B13799"/>
    </row>
    <row r="13800" spans="1:2">
      <c r="A13800" s="59"/>
      <c r="B13800"/>
    </row>
    <row r="13801" spans="1:2">
      <c r="A13801" s="59"/>
      <c r="B13801"/>
    </row>
    <row r="13802" spans="1:2">
      <c r="A13802" s="59"/>
      <c r="B13802"/>
    </row>
    <row r="13803" spans="1:2">
      <c r="A13803" s="59"/>
      <c r="B13803"/>
    </row>
    <row r="13804" spans="1:2">
      <c r="A13804" s="59"/>
      <c r="B13804"/>
    </row>
    <row r="13805" spans="1:2">
      <c r="A13805" s="59"/>
      <c r="B13805"/>
    </row>
    <row r="13806" spans="1:2">
      <c r="A13806" s="59"/>
      <c r="B13806"/>
    </row>
    <row r="13807" spans="1:2">
      <c r="A13807" s="59"/>
      <c r="B13807"/>
    </row>
    <row r="13808" spans="1:2">
      <c r="A13808" s="59"/>
      <c r="B13808"/>
    </row>
    <row r="13809" spans="1:2">
      <c r="A13809" s="59"/>
      <c r="B13809"/>
    </row>
    <row r="13810" spans="1:2">
      <c r="A13810" s="59"/>
      <c r="B13810"/>
    </row>
    <row r="13811" spans="1:2">
      <c r="A13811" s="59"/>
      <c r="B13811"/>
    </row>
    <row r="13812" spans="1:2">
      <c r="A13812" s="59"/>
      <c r="B13812"/>
    </row>
    <row r="13813" spans="1:2">
      <c r="A13813" s="59"/>
      <c r="B13813"/>
    </row>
    <row r="13814" spans="1:2">
      <c r="A13814" s="59"/>
      <c r="B13814"/>
    </row>
    <row r="13815" spans="1:2">
      <c r="A13815" s="59"/>
      <c r="B13815"/>
    </row>
    <row r="13816" spans="1:2">
      <c r="A13816" s="59"/>
      <c r="B13816"/>
    </row>
    <row r="13817" spans="1:2">
      <c r="A13817" s="59"/>
      <c r="B13817"/>
    </row>
    <row r="13818" spans="1:2">
      <c r="A13818" s="59"/>
      <c r="B13818"/>
    </row>
    <row r="13819" spans="1:2">
      <c r="A13819" s="59"/>
      <c r="B13819"/>
    </row>
    <row r="13820" spans="1:2">
      <c r="A13820" s="59"/>
      <c r="B13820"/>
    </row>
    <row r="13821" spans="1:2">
      <c r="A13821" s="59"/>
      <c r="B13821"/>
    </row>
    <row r="13822" spans="1:2">
      <c r="A13822" s="59"/>
      <c r="B13822"/>
    </row>
    <row r="13823" spans="1:2">
      <c r="A13823" s="59"/>
      <c r="B13823"/>
    </row>
    <row r="13824" spans="1:2">
      <c r="A13824" s="59"/>
      <c r="B13824"/>
    </row>
    <row r="13825" spans="1:2">
      <c r="A13825" s="59"/>
      <c r="B13825"/>
    </row>
    <row r="13826" spans="1:2">
      <c r="A13826" s="59"/>
      <c r="B13826"/>
    </row>
    <row r="13827" spans="1:2">
      <c r="A13827" s="59"/>
      <c r="B13827"/>
    </row>
    <row r="13828" spans="1:2">
      <c r="A13828" s="59"/>
      <c r="B13828"/>
    </row>
    <row r="13829" spans="1:2">
      <c r="A13829" s="59"/>
      <c r="B13829"/>
    </row>
    <row r="13830" spans="1:2">
      <c r="A13830" s="59"/>
      <c r="B13830"/>
    </row>
    <row r="13831" spans="1:2">
      <c r="A13831" s="59"/>
      <c r="B13831"/>
    </row>
    <row r="13832" spans="1:2">
      <c r="A13832" s="59"/>
      <c r="B13832"/>
    </row>
    <row r="13833" spans="1:2">
      <c r="A13833" s="59"/>
      <c r="B13833"/>
    </row>
    <row r="13834" spans="1:2">
      <c r="A13834" s="59"/>
      <c r="B13834"/>
    </row>
    <row r="13835" spans="1:2">
      <c r="A13835" s="59"/>
      <c r="B13835"/>
    </row>
    <row r="13836" spans="1:2">
      <c r="A13836" s="59"/>
      <c r="B13836"/>
    </row>
    <row r="13837" spans="1:2">
      <c r="A13837" s="59"/>
      <c r="B13837"/>
    </row>
    <row r="13838" spans="1:2">
      <c r="A13838" s="59"/>
      <c r="B13838"/>
    </row>
    <row r="13839" spans="1:2">
      <c r="A13839" s="59"/>
      <c r="B13839"/>
    </row>
    <row r="13840" spans="1:2">
      <c r="A13840" s="59"/>
      <c r="B13840"/>
    </row>
    <row r="13841" spans="1:2">
      <c r="A13841" s="59"/>
      <c r="B13841"/>
    </row>
    <row r="13842" spans="1:2">
      <c r="A13842" s="59"/>
      <c r="B13842"/>
    </row>
    <row r="13843" spans="1:2">
      <c r="A13843" s="59"/>
      <c r="B13843"/>
    </row>
    <row r="13844" spans="1:2">
      <c r="A13844" s="59"/>
      <c r="B13844"/>
    </row>
    <row r="13845" spans="1:2">
      <c r="A13845" s="59"/>
      <c r="B13845"/>
    </row>
    <row r="13846" spans="1:2">
      <c r="A13846" s="59"/>
      <c r="B13846"/>
    </row>
    <row r="13847" spans="1:2">
      <c r="A13847" s="59"/>
      <c r="B13847"/>
    </row>
    <row r="13848" spans="1:2">
      <c r="A13848" s="59"/>
      <c r="B13848"/>
    </row>
    <row r="13849" spans="1:2">
      <c r="A13849" s="59"/>
      <c r="B13849"/>
    </row>
    <row r="13850" spans="1:2">
      <c r="A13850" s="59"/>
      <c r="B13850"/>
    </row>
    <row r="13851" spans="1:2">
      <c r="A13851" s="59"/>
      <c r="B13851"/>
    </row>
    <row r="13852" spans="1:2">
      <c r="A13852" s="59"/>
      <c r="B13852"/>
    </row>
    <row r="13853" spans="1:2">
      <c r="A13853" s="59"/>
      <c r="B13853"/>
    </row>
    <row r="13854" spans="1:2">
      <c r="A13854" s="59"/>
      <c r="B13854"/>
    </row>
    <row r="13855" spans="1:2">
      <c r="A13855" s="59"/>
      <c r="B13855"/>
    </row>
    <row r="13856" spans="1:2">
      <c r="A13856" s="59"/>
      <c r="B13856"/>
    </row>
    <row r="13857" spans="1:2">
      <c r="A13857" s="59"/>
      <c r="B13857"/>
    </row>
    <row r="13858" spans="1:2">
      <c r="A13858" s="59"/>
      <c r="B13858"/>
    </row>
    <row r="13859" spans="1:2">
      <c r="A13859" s="59"/>
      <c r="B13859"/>
    </row>
    <row r="13860" spans="1:2">
      <c r="A13860" s="59"/>
      <c r="B13860"/>
    </row>
    <row r="13861" spans="1:2">
      <c r="A13861" s="59"/>
      <c r="B13861"/>
    </row>
    <row r="13862" spans="1:2">
      <c r="A13862" s="59"/>
      <c r="B13862"/>
    </row>
    <row r="13863" spans="1:2">
      <c r="A13863" s="59"/>
      <c r="B13863"/>
    </row>
    <row r="13864" spans="1:2">
      <c r="A13864" s="59"/>
      <c r="B13864"/>
    </row>
    <row r="13865" spans="1:2">
      <c r="A13865" s="59"/>
      <c r="B13865"/>
    </row>
    <row r="13866" spans="1:2">
      <c r="A13866" s="59"/>
      <c r="B13866"/>
    </row>
    <row r="13867" spans="1:2">
      <c r="A13867" s="59"/>
      <c r="B13867"/>
    </row>
    <row r="13868" spans="1:2">
      <c r="A13868" s="59"/>
      <c r="B13868"/>
    </row>
    <row r="13869" spans="1:2">
      <c r="A13869" s="59"/>
      <c r="B13869"/>
    </row>
    <row r="13870" spans="1:2">
      <c r="A13870" s="59"/>
      <c r="B13870"/>
    </row>
    <row r="13871" spans="1:2">
      <c r="A13871" s="59"/>
      <c r="B13871"/>
    </row>
    <row r="13872" spans="1:2">
      <c r="A13872" s="59"/>
      <c r="B13872"/>
    </row>
    <row r="13873" spans="1:2">
      <c r="A13873" s="59"/>
      <c r="B13873"/>
    </row>
    <row r="13874" spans="1:2">
      <c r="A13874" s="59"/>
      <c r="B13874"/>
    </row>
    <row r="13875" spans="1:2">
      <c r="A13875" s="59"/>
      <c r="B13875"/>
    </row>
    <row r="13876" spans="1:2">
      <c r="A13876" s="59"/>
      <c r="B13876"/>
    </row>
    <row r="13877" spans="1:2">
      <c r="A13877" s="59"/>
      <c r="B13877"/>
    </row>
    <row r="13878" spans="1:2">
      <c r="A13878" s="59"/>
      <c r="B13878"/>
    </row>
    <row r="13879" spans="1:2">
      <c r="A13879" s="59"/>
      <c r="B13879"/>
    </row>
    <row r="13880" spans="1:2">
      <c r="A13880" s="59"/>
      <c r="B13880"/>
    </row>
    <row r="13881" spans="1:2">
      <c r="A13881" s="59"/>
      <c r="B13881"/>
    </row>
    <row r="13882" spans="1:2">
      <c r="A13882" s="59"/>
      <c r="B13882"/>
    </row>
    <row r="13883" spans="1:2">
      <c r="A13883" s="59"/>
      <c r="B13883"/>
    </row>
    <row r="13884" spans="1:2">
      <c r="A13884" s="59"/>
      <c r="B13884"/>
    </row>
    <row r="13885" spans="1:2">
      <c r="A13885" s="59"/>
      <c r="B13885"/>
    </row>
    <row r="13886" spans="1:2">
      <c r="A13886" s="59"/>
      <c r="B13886"/>
    </row>
    <row r="13887" spans="1:2">
      <c r="A13887" s="59"/>
      <c r="B13887"/>
    </row>
    <row r="13888" spans="1:2">
      <c r="A13888" s="59"/>
      <c r="B13888"/>
    </row>
    <row r="13889" spans="1:2">
      <c r="A13889" s="59"/>
      <c r="B13889"/>
    </row>
    <row r="13890" spans="1:2">
      <c r="A13890" s="59"/>
      <c r="B13890"/>
    </row>
    <row r="13891" spans="1:2">
      <c r="A13891" s="59"/>
      <c r="B13891"/>
    </row>
    <row r="13892" spans="1:2">
      <c r="A13892" s="59"/>
      <c r="B13892"/>
    </row>
    <row r="13893" spans="1:2">
      <c r="A13893" s="59"/>
      <c r="B13893"/>
    </row>
    <row r="13894" spans="1:2">
      <c r="A13894" s="59"/>
      <c r="B13894"/>
    </row>
    <row r="13895" spans="1:2">
      <c r="A13895" s="59"/>
      <c r="B13895"/>
    </row>
    <row r="13896" spans="1:2">
      <c r="A13896" s="59"/>
      <c r="B13896"/>
    </row>
    <row r="13897" spans="1:2">
      <c r="A13897" s="59"/>
      <c r="B13897"/>
    </row>
    <row r="13898" spans="1:2">
      <c r="A13898" s="59"/>
      <c r="B13898"/>
    </row>
    <row r="13899" spans="1:2">
      <c r="A13899" s="59"/>
      <c r="B13899"/>
    </row>
    <row r="13900" spans="1:2">
      <c r="A13900" s="59"/>
      <c r="B13900"/>
    </row>
    <row r="13901" spans="1:2">
      <c r="A13901" s="59"/>
      <c r="B13901"/>
    </row>
    <row r="13902" spans="1:2">
      <c r="A13902" s="59"/>
      <c r="B13902"/>
    </row>
    <row r="13903" spans="1:2">
      <c r="A13903" s="59"/>
      <c r="B13903"/>
    </row>
    <row r="13904" spans="1:2">
      <c r="A13904" s="59"/>
      <c r="B13904"/>
    </row>
    <row r="13905" spans="1:2">
      <c r="A13905" s="59"/>
      <c r="B13905"/>
    </row>
    <row r="13906" spans="1:2">
      <c r="A13906" s="59"/>
      <c r="B13906"/>
    </row>
    <row r="13907" spans="1:2">
      <c r="A13907" s="59"/>
      <c r="B13907"/>
    </row>
    <row r="13908" spans="1:2">
      <c r="A13908" s="59"/>
      <c r="B13908"/>
    </row>
    <row r="13909" spans="1:2">
      <c r="A13909" s="59"/>
      <c r="B13909"/>
    </row>
    <row r="13910" spans="1:2">
      <c r="A13910" s="59"/>
      <c r="B13910"/>
    </row>
    <row r="13911" spans="1:2">
      <c r="A13911" s="59"/>
      <c r="B13911"/>
    </row>
    <row r="13912" spans="1:2">
      <c r="A13912" s="59"/>
      <c r="B13912"/>
    </row>
    <row r="13913" spans="1:2">
      <c r="A13913" s="59"/>
      <c r="B13913"/>
    </row>
    <row r="13914" spans="1:2">
      <c r="A13914" s="59"/>
      <c r="B13914"/>
    </row>
    <row r="13915" spans="1:2">
      <c r="A13915" s="59"/>
      <c r="B13915"/>
    </row>
    <row r="13916" spans="1:2">
      <c r="A13916" s="59"/>
      <c r="B13916"/>
    </row>
    <row r="13917" spans="1:2">
      <c r="A13917" s="59"/>
      <c r="B13917"/>
    </row>
    <row r="13918" spans="1:2">
      <c r="A13918" s="59"/>
      <c r="B13918"/>
    </row>
    <row r="13919" spans="1:2">
      <c r="A13919" s="59"/>
      <c r="B13919"/>
    </row>
    <row r="13920" spans="1:2">
      <c r="A13920" s="59"/>
      <c r="B13920"/>
    </row>
    <row r="13921" spans="1:2">
      <c r="A13921" s="59"/>
      <c r="B13921"/>
    </row>
    <row r="13922" spans="1:2">
      <c r="A13922" s="59"/>
      <c r="B13922"/>
    </row>
    <row r="13923" spans="1:2">
      <c r="A13923" s="59"/>
      <c r="B13923"/>
    </row>
    <row r="13924" spans="1:2">
      <c r="A13924" s="59"/>
      <c r="B13924"/>
    </row>
    <row r="13925" spans="1:2">
      <c r="A13925" s="59"/>
      <c r="B13925"/>
    </row>
    <row r="13926" spans="1:2">
      <c r="A13926" s="59"/>
      <c r="B13926"/>
    </row>
    <row r="13927" spans="1:2">
      <c r="A13927" s="59"/>
      <c r="B13927"/>
    </row>
    <row r="13928" spans="1:2">
      <c r="A13928" s="59"/>
      <c r="B13928"/>
    </row>
    <row r="13929" spans="1:2">
      <c r="A13929" s="59"/>
      <c r="B13929"/>
    </row>
    <row r="13930" spans="1:2">
      <c r="A13930" s="59"/>
      <c r="B13930"/>
    </row>
    <row r="13931" spans="1:2">
      <c r="A13931" s="59"/>
      <c r="B13931"/>
    </row>
    <row r="13932" spans="1:2">
      <c r="A13932" s="59"/>
      <c r="B13932"/>
    </row>
    <row r="13933" spans="1:2">
      <c r="A13933" s="59"/>
      <c r="B13933"/>
    </row>
    <row r="13934" spans="1:2">
      <c r="A13934" s="59"/>
      <c r="B13934"/>
    </row>
    <row r="13935" spans="1:2">
      <c r="A13935" s="59"/>
      <c r="B13935"/>
    </row>
    <row r="13936" spans="1:2">
      <c r="A13936" s="59"/>
      <c r="B13936"/>
    </row>
    <row r="13937" spans="1:2">
      <c r="A13937" s="59"/>
      <c r="B13937"/>
    </row>
    <row r="13938" spans="1:2">
      <c r="A13938" s="59"/>
      <c r="B13938"/>
    </row>
    <row r="13939" spans="1:2">
      <c r="A13939" s="59"/>
      <c r="B13939"/>
    </row>
    <row r="13940" spans="1:2">
      <c r="A13940" s="59"/>
      <c r="B13940"/>
    </row>
    <row r="13941" spans="1:2">
      <c r="A13941" s="59"/>
      <c r="B13941"/>
    </row>
    <row r="13942" spans="1:2">
      <c r="A13942" s="59"/>
      <c r="B13942"/>
    </row>
    <row r="13943" spans="1:2">
      <c r="A13943" s="59"/>
      <c r="B13943"/>
    </row>
    <row r="13944" spans="1:2">
      <c r="A13944" s="59"/>
      <c r="B13944"/>
    </row>
    <row r="13945" spans="1:2">
      <c r="A13945" s="59"/>
      <c r="B13945"/>
    </row>
    <row r="13946" spans="1:2">
      <c r="A13946" s="59"/>
      <c r="B13946"/>
    </row>
    <row r="13947" spans="1:2">
      <c r="A13947" s="59"/>
      <c r="B13947"/>
    </row>
    <row r="13948" spans="1:2">
      <c r="A13948" s="59"/>
      <c r="B13948"/>
    </row>
    <row r="13949" spans="1:2">
      <c r="A13949" s="59"/>
      <c r="B13949"/>
    </row>
    <row r="13950" spans="1:2">
      <c r="A13950" s="59"/>
      <c r="B13950"/>
    </row>
    <row r="13951" spans="1:2">
      <c r="A13951" s="59"/>
      <c r="B13951"/>
    </row>
    <row r="13952" spans="1:2">
      <c r="A13952" s="59"/>
      <c r="B13952"/>
    </row>
    <row r="13953" spans="1:2">
      <c r="A13953" s="59"/>
      <c r="B13953"/>
    </row>
    <row r="13954" spans="1:2">
      <c r="A13954" s="59"/>
      <c r="B13954"/>
    </row>
    <row r="13955" spans="1:2">
      <c r="A13955" s="59"/>
      <c r="B13955"/>
    </row>
    <row r="13956" spans="1:2">
      <c r="A13956" s="59"/>
      <c r="B13956"/>
    </row>
    <row r="13957" spans="1:2">
      <c r="A13957" s="59"/>
      <c r="B13957"/>
    </row>
    <row r="13958" spans="1:2">
      <c r="A13958" s="59"/>
      <c r="B13958"/>
    </row>
    <row r="13959" spans="1:2">
      <c r="A13959" s="59"/>
      <c r="B13959"/>
    </row>
    <row r="13960" spans="1:2">
      <c r="A13960" s="59"/>
      <c r="B13960"/>
    </row>
    <row r="13961" spans="1:2">
      <c r="A13961" s="59"/>
      <c r="B13961"/>
    </row>
    <row r="13962" spans="1:2">
      <c r="A13962" s="59"/>
      <c r="B13962"/>
    </row>
    <row r="13963" spans="1:2">
      <c r="A13963" s="59"/>
      <c r="B13963"/>
    </row>
    <row r="13964" spans="1:2">
      <c r="A13964" s="59"/>
      <c r="B13964"/>
    </row>
    <row r="13965" spans="1:2">
      <c r="A13965" s="59"/>
      <c r="B13965"/>
    </row>
    <row r="13966" spans="1:2">
      <c r="A13966" s="59"/>
      <c r="B13966"/>
    </row>
    <row r="13967" spans="1:2">
      <c r="A13967" s="59"/>
      <c r="B13967"/>
    </row>
    <row r="13968" spans="1:2">
      <c r="A13968" s="59"/>
      <c r="B13968"/>
    </row>
    <row r="13969" spans="1:2">
      <c r="A13969" s="59"/>
      <c r="B13969"/>
    </row>
    <row r="13970" spans="1:2">
      <c r="A13970" s="59"/>
      <c r="B13970"/>
    </row>
    <row r="13971" spans="1:2">
      <c r="A13971" s="59"/>
      <c r="B13971"/>
    </row>
    <row r="13972" spans="1:2">
      <c r="A13972" s="59"/>
      <c r="B13972"/>
    </row>
    <row r="13973" spans="1:2">
      <c r="A13973" s="59"/>
      <c r="B13973"/>
    </row>
    <row r="13974" spans="1:2">
      <c r="A13974" s="59"/>
      <c r="B13974"/>
    </row>
    <row r="13975" spans="1:2">
      <c r="A13975" s="59"/>
      <c r="B13975"/>
    </row>
    <row r="13976" spans="1:2">
      <c r="A13976" s="59"/>
      <c r="B13976"/>
    </row>
    <row r="13977" spans="1:2">
      <c r="A13977" s="59"/>
      <c r="B13977"/>
    </row>
    <row r="13978" spans="1:2">
      <c r="A13978" s="59"/>
      <c r="B13978"/>
    </row>
    <row r="13979" spans="1:2">
      <c r="A13979" s="59"/>
      <c r="B13979"/>
    </row>
    <row r="13980" spans="1:2">
      <c r="A13980" s="59"/>
      <c r="B13980"/>
    </row>
    <row r="13981" spans="1:2">
      <c r="A13981" s="59"/>
      <c r="B13981"/>
    </row>
    <row r="13982" spans="1:2">
      <c r="A13982" s="59"/>
      <c r="B13982"/>
    </row>
    <row r="13983" spans="1:2">
      <c r="A13983" s="59"/>
      <c r="B13983"/>
    </row>
    <row r="13984" spans="1:2">
      <c r="A13984" s="59"/>
      <c r="B13984"/>
    </row>
    <row r="13985" spans="1:2">
      <c r="A13985" s="59"/>
      <c r="B13985"/>
    </row>
    <row r="13986" spans="1:2">
      <c r="A13986" s="59"/>
      <c r="B13986"/>
    </row>
    <row r="13987" spans="1:2">
      <c r="A13987" s="59"/>
      <c r="B13987"/>
    </row>
    <row r="13988" spans="1:2">
      <c r="A13988" s="59"/>
      <c r="B13988"/>
    </row>
    <row r="13989" spans="1:2">
      <c r="A13989" s="59"/>
      <c r="B13989"/>
    </row>
    <row r="13990" spans="1:2">
      <c r="A13990" s="59"/>
      <c r="B13990"/>
    </row>
    <row r="13991" spans="1:2">
      <c r="A13991" s="59"/>
      <c r="B13991"/>
    </row>
    <row r="13992" spans="1:2">
      <c r="A13992" s="59"/>
      <c r="B13992"/>
    </row>
    <row r="13993" spans="1:2">
      <c r="A13993" s="59"/>
      <c r="B13993"/>
    </row>
    <row r="13994" spans="1:2">
      <c r="A13994" s="59"/>
      <c r="B13994"/>
    </row>
    <row r="13995" spans="1:2">
      <c r="A13995" s="59"/>
      <c r="B13995"/>
    </row>
    <row r="13996" spans="1:2">
      <c r="A13996" s="59"/>
      <c r="B13996"/>
    </row>
    <row r="13997" spans="1:2">
      <c r="A13997" s="59"/>
      <c r="B13997"/>
    </row>
    <row r="13998" spans="1:2">
      <c r="A13998" s="59"/>
      <c r="B13998"/>
    </row>
    <row r="13999" spans="1:2">
      <c r="A13999" s="59"/>
      <c r="B13999"/>
    </row>
    <row r="14000" spans="1:2">
      <c r="A14000" s="59"/>
      <c r="B14000"/>
    </row>
    <row r="14001" spans="1:2">
      <c r="A14001" s="59"/>
      <c r="B14001"/>
    </row>
    <row r="14002" spans="1:2">
      <c r="A14002" s="59"/>
      <c r="B14002"/>
    </row>
    <row r="14003" spans="1:2">
      <c r="A14003" s="59"/>
      <c r="B14003"/>
    </row>
    <row r="14004" spans="1:2">
      <c r="A14004" s="59"/>
      <c r="B14004"/>
    </row>
    <row r="14005" spans="1:2">
      <c r="A14005" s="59"/>
      <c r="B14005"/>
    </row>
    <row r="14006" spans="1:2">
      <c r="A14006" s="59"/>
      <c r="B14006"/>
    </row>
    <row r="14007" spans="1:2">
      <c r="A14007" s="59"/>
      <c r="B14007"/>
    </row>
    <row r="14008" spans="1:2">
      <c r="A14008" s="59"/>
      <c r="B14008"/>
    </row>
    <row r="14009" spans="1:2">
      <c r="A14009" s="59"/>
      <c r="B14009"/>
    </row>
    <row r="14010" spans="1:2">
      <c r="A14010" s="59"/>
      <c r="B14010"/>
    </row>
    <row r="14011" spans="1:2">
      <c r="A14011" s="59"/>
      <c r="B14011"/>
    </row>
    <row r="14012" spans="1:2">
      <c r="A14012" s="59"/>
      <c r="B14012"/>
    </row>
    <row r="14013" spans="1:2">
      <c r="A14013" s="59"/>
      <c r="B14013"/>
    </row>
    <row r="14014" spans="1:2">
      <c r="A14014" s="59"/>
      <c r="B14014"/>
    </row>
    <row r="14015" spans="1:2">
      <c r="A14015" s="59"/>
      <c r="B14015"/>
    </row>
    <row r="14016" spans="1:2">
      <c r="A14016" s="59"/>
      <c r="B14016"/>
    </row>
    <row r="14017" spans="1:2">
      <c r="A14017" s="59"/>
      <c r="B14017"/>
    </row>
    <row r="14018" spans="1:2">
      <c r="A14018" s="59"/>
      <c r="B14018"/>
    </row>
    <row r="14019" spans="1:2">
      <c r="A14019" s="59"/>
      <c r="B14019"/>
    </row>
    <row r="14020" spans="1:2">
      <c r="A14020" s="59"/>
      <c r="B14020"/>
    </row>
    <row r="14021" spans="1:2">
      <c r="A14021" s="59"/>
      <c r="B14021"/>
    </row>
    <row r="14022" spans="1:2">
      <c r="A14022" s="59"/>
      <c r="B14022"/>
    </row>
    <row r="14023" spans="1:2">
      <c r="A14023" s="59"/>
      <c r="B14023"/>
    </row>
    <row r="14024" spans="1:2">
      <c r="A14024" s="59"/>
      <c r="B14024"/>
    </row>
    <row r="14025" spans="1:2">
      <c r="A14025" s="59"/>
      <c r="B14025"/>
    </row>
    <row r="14026" spans="1:2">
      <c r="A14026" s="59"/>
      <c r="B14026"/>
    </row>
    <row r="14027" spans="1:2">
      <c r="A14027" s="59"/>
      <c r="B14027"/>
    </row>
    <row r="14028" spans="1:2">
      <c r="A14028" s="59"/>
      <c r="B14028"/>
    </row>
    <row r="14029" spans="1:2">
      <c r="A14029" s="59"/>
      <c r="B14029"/>
    </row>
    <row r="14030" spans="1:2">
      <c r="A14030" s="59"/>
      <c r="B14030"/>
    </row>
    <row r="14031" spans="1:2">
      <c r="A14031" s="59"/>
      <c r="B14031"/>
    </row>
    <row r="14032" spans="1:2">
      <c r="A14032" s="59"/>
      <c r="B14032"/>
    </row>
    <row r="14033" spans="1:2">
      <c r="A14033" s="59"/>
      <c r="B14033"/>
    </row>
    <row r="14034" spans="1:2">
      <c r="A14034" s="59"/>
      <c r="B14034"/>
    </row>
    <row r="14035" spans="1:2">
      <c r="A14035" s="59"/>
      <c r="B14035"/>
    </row>
    <row r="14036" spans="1:2">
      <c r="A14036" s="59"/>
      <c r="B14036"/>
    </row>
    <row r="14037" spans="1:2">
      <c r="A14037" s="59"/>
      <c r="B14037"/>
    </row>
    <row r="14038" spans="1:2">
      <c r="A14038" s="59"/>
      <c r="B14038"/>
    </row>
    <row r="14039" spans="1:2">
      <c r="A14039" s="59"/>
      <c r="B14039"/>
    </row>
    <row r="14040" spans="1:2">
      <c r="A14040" s="59"/>
      <c r="B14040"/>
    </row>
    <row r="14041" spans="1:2">
      <c r="A14041" s="59"/>
      <c r="B14041"/>
    </row>
    <row r="14042" spans="1:2">
      <c r="A14042" s="59"/>
      <c r="B14042"/>
    </row>
    <row r="14043" spans="1:2">
      <c r="A14043" s="59"/>
      <c r="B14043"/>
    </row>
    <row r="14044" spans="1:2">
      <c r="A14044" s="59"/>
      <c r="B14044"/>
    </row>
    <row r="14045" spans="1:2">
      <c r="A14045" s="59"/>
      <c r="B14045"/>
    </row>
    <row r="14046" spans="1:2">
      <c r="A14046" s="59"/>
      <c r="B14046"/>
    </row>
    <row r="14047" spans="1:2">
      <c r="A14047" s="59"/>
      <c r="B14047"/>
    </row>
    <row r="14048" spans="1:2">
      <c r="A14048" s="59"/>
      <c r="B14048"/>
    </row>
    <row r="14049" spans="1:2">
      <c r="A14049" s="59"/>
      <c r="B14049"/>
    </row>
    <row r="14050" spans="1:2">
      <c r="A14050" s="59"/>
      <c r="B14050"/>
    </row>
    <row r="14051" spans="1:2">
      <c r="A14051" s="59"/>
      <c r="B14051"/>
    </row>
    <row r="14052" spans="1:2">
      <c r="A14052" s="59"/>
      <c r="B14052"/>
    </row>
    <row r="14053" spans="1:2">
      <c r="A14053" s="59"/>
      <c r="B14053"/>
    </row>
    <row r="14054" spans="1:2">
      <c r="A14054" s="59"/>
      <c r="B14054"/>
    </row>
    <row r="14055" spans="1:2">
      <c r="A14055" s="59"/>
      <c r="B14055"/>
    </row>
    <row r="14056" spans="1:2">
      <c r="A14056" s="59"/>
      <c r="B14056"/>
    </row>
    <row r="14057" spans="1:2">
      <c r="A14057" s="59"/>
      <c r="B14057"/>
    </row>
    <row r="14058" spans="1:2">
      <c r="A14058" s="59"/>
      <c r="B14058"/>
    </row>
    <row r="14059" spans="1:2">
      <c r="A14059" s="59"/>
      <c r="B14059"/>
    </row>
    <row r="14060" spans="1:2">
      <c r="A14060" s="59"/>
      <c r="B14060"/>
    </row>
    <row r="14061" spans="1:2">
      <c r="A14061" s="59"/>
      <c r="B14061"/>
    </row>
    <row r="14062" spans="1:2">
      <c r="A14062" s="59"/>
      <c r="B14062"/>
    </row>
    <row r="14063" spans="1:2">
      <c r="A14063" s="59"/>
      <c r="B14063"/>
    </row>
    <row r="14064" spans="1:2">
      <c r="A14064" s="59"/>
      <c r="B14064"/>
    </row>
    <row r="14065" spans="1:2">
      <c r="A14065" s="59"/>
      <c r="B14065"/>
    </row>
    <row r="14066" spans="1:2">
      <c r="A14066" s="59"/>
      <c r="B14066"/>
    </row>
    <row r="14067" spans="1:2">
      <c r="A14067" s="59"/>
      <c r="B14067"/>
    </row>
    <row r="14068" spans="1:2">
      <c r="A14068" s="59"/>
      <c r="B14068"/>
    </row>
    <row r="14069" spans="1:2">
      <c r="A14069" s="59"/>
      <c r="B14069"/>
    </row>
    <row r="14070" spans="1:2">
      <c r="A14070" s="59"/>
      <c r="B14070"/>
    </row>
    <row r="14071" spans="1:2">
      <c r="A14071" s="59"/>
      <c r="B14071"/>
    </row>
    <row r="14072" spans="1:2">
      <c r="A14072" s="59"/>
      <c r="B14072"/>
    </row>
    <row r="14073" spans="1:2">
      <c r="A14073" s="59"/>
      <c r="B14073"/>
    </row>
    <row r="14074" spans="1:2">
      <c r="A14074" s="59"/>
      <c r="B14074"/>
    </row>
    <row r="14075" spans="1:2">
      <c r="A14075" s="59"/>
      <c r="B14075"/>
    </row>
    <row r="14076" spans="1:2">
      <c r="A14076" s="59"/>
      <c r="B14076"/>
    </row>
    <row r="14077" spans="1:2">
      <c r="A14077" s="59"/>
      <c r="B14077"/>
    </row>
    <row r="14078" spans="1:2">
      <c r="A14078" s="59"/>
      <c r="B14078"/>
    </row>
    <row r="14079" spans="1:2">
      <c r="A14079" s="59"/>
      <c r="B14079"/>
    </row>
    <row r="14080" spans="1:2">
      <c r="A14080" s="59"/>
      <c r="B14080"/>
    </row>
    <row r="14081" spans="1:2">
      <c r="A14081" s="59"/>
      <c r="B14081"/>
    </row>
    <row r="14082" spans="1:2">
      <c r="A14082" s="59"/>
      <c r="B14082"/>
    </row>
    <row r="14083" spans="1:2">
      <c r="A14083" s="59"/>
      <c r="B14083"/>
    </row>
    <row r="14084" spans="1:2">
      <c r="A14084" s="59"/>
      <c r="B14084"/>
    </row>
    <row r="14085" spans="1:2">
      <c r="A14085" s="59"/>
      <c r="B14085"/>
    </row>
    <row r="14086" spans="1:2">
      <c r="A14086" s="59"/>
      <c r="B14086"/>
    </row>
    <row r="14087" spans="1:2">
      <c r="A14087" s="59"/>
      <c r="B14087"/>
    </row>
    <row r="14088" spans="1:2">
      <c r="A14088" s="59"/>
      <c r="B14088"/>
    </row>
    <row r="14089" spans="1:2">
      <c r="A14089" s="59"/>
      <c r="B14089"/>
    </row>
    <row r="14090" spans="1:2">
      <c r="A14090" s="59"/>
      <c r="B14090"/>
    </row>
    <row r="14091" spans="1:2">
      <c r="A14091" s="59"/>
      <c r="B14091"/>
    </row>
    <row r="14092" spans="1:2">
      <c r="A14092" s="59"/>
      <c r="B14092"/>
    </row>
    <row r="14093" spans="1:2">
      <c r="A14093" s="59"/>
      <c r="B14093"/>
    </row>
    <row r="14094" spans="1:2">
      <c r="A14094" s="59"/>
      <c r="B14094"/>
    </row>
    <row r="14095" spans="1:2">
      <c r="A14095" s="59"/>
      <c r="B14095"/>
    </row>
    <row r="14096" spans="1:2">
      <c r="A14096" s="59"/>
      <c r="B14096"/>
    </row>
    <row r="14097" spans="1:2">
      <c r="A14097" s="59"/>
      <c r="B14097"/>
    </row>
    <row r="14098" spans="1:2">
      <c r="A14098" s="59"/>
      <c r="B14098"/>
    </row>
    <row r="14099" spans="1:2">
      <c r="A14099" s="59"/>
      <c r="B14099"/>
    </row>
    <row r="14100" spans="1:2">
      <c r="A14100" s="59"/>
      <c r="B14100"/>
    </row>
    <row r="14101" spans="1:2">
      <c r="A14101" s="59"/>
      <c r="B14101"/>
    </row>
    <row r="14102" spans="1:2">
      <c r="A14102" s="59"/>
      <c r="B14102"/>
    </row>
    <row r="14103" spans="1:2">
      <c r="A14103" s="59"/>
      <c r="B14103"/>
    </row>
    <row r="14104" spans="1:2">
      <c r="A14104" s="59"/>
      <c r="B14104"/>
    </row>
    <row r="14105" spans="1:2">
      <c r="A14105" s="59"/>
      <c r="B14105"/>
    </row>
    <row r="14106" spans="1:2">
      <c r="A14106" s="59"/>
      <c r="B14106"/>
    </row>
    <row r="14107" spans="1:2">
      <c r="A14107" s="59"/>
      <c r="B14107"/>
    </row>
    <row r="14108" spans="1:2">
      <c r="A14108" s="59"/>
      <c r="B14108"/>
    </row>
    <row r="14109" spans="1:2">
      <c r="A14109" s="59"/>
      <c r="B14109"/>
    </row>
    <row r="14110" spans="1:2">
      <c r="A14110" s="59"/>
      <c r="B14110"/>
    </row>
    <row r="14111" spans="1:2">
      <c r="A14111" s="59"/>
      <c r="B14111"/>
    </row>
    <row r="14112" spans="1:2">
      <c r="A14112" s="59"/>
      <c r="B14112"/>
    </row>
    <row r="14113" spans="1:2">
      <c r="A14113" s="59"/>
      <c r="B14113"/>
    </row>
    <row r="14114" spans="1:2">
      <c r="A14114" s="59"/>
      <c r="B14114"/>
    </row>
    <row r="14115" spans="1:2">
      <c r="A14115" s="59"/>
      <c r="B14115"/>
    </row>
    <row r="14116" spans="1:2">
      <c r="A14116" s="59"/>
      <c r="B14116"/>
    </row>
    <row r="14117" spans="1:2">
      <c r="A14117" s="59"/>
      <c r="B14117"/>
    </row>
    <row r="14118" spans="1:2">
      <c r="A14118" s="59"/>
      <c r="B14118"/>
    </row>
    <row r="14119" spans="1:2">
      <c r="A14119" s="59"/>
      <c r="B14119"/>
    </row>
    <row r="14120" spans="1:2">
      <c r="A14120" s="59"/>
      <c r="B14120"/>
    </row>
    <row r="14121" spans="1:2">
      <c r="A14121" s="59"/>
      <c r="B14121"/>
    </row>
    <row r="14122" spans="1:2">
      <c r="A14122" s="59"/>
      <c r="B14122"/>
    </row>
    <row r="14123" spans="1:2">
      <c r="A14123" s="59"/>
      <c r="B14123"/>
    </row>
    <row r="14124" spans="1:2">
      <c r="A14124" s="59"/>
      <c r="B14124"/>
    </row>
    <row r="14125" spans="1:2">
      <c r="A14125" s="59"/>
      <c r="B14125"/>
    </row>
    <row r="14126" spans="1:2">
      <c r="A14126" s="59"/>
      <c r="B14126"/>
    </row>
    <row r="14127" spans="1:2">
      <c r="A14127" s="59"/>
      <c r="B14127"/>
    </row>
    <row r="14128" spans="1:2">
      <c r="A14128" s="59"/>
      <c r="B14128"/>
    </row>
    <row r="14129" spans="1:2">
      <c r="A14129" s="59"/>
      <c r="B14129"/>
    </row>
    <row r="14130" spans="1:2">
      <c r="A14130" s="59"/>
      <c r="B14130"/>
    </row>
    <row r="14131" spans="1:2">
      <c r="A14131" s="59"/>
      <c r="B14131"/>
    </row>
    <row r="14132" spans="1:2">
      <c r="A14132" s="59"/>
      <c r="B14132"/>
    </row>
    <row r="14133" spans="1:2">
      <c r="A14133" s="59"/>
      <c r="B14133"/>
    </row>
    <row r="14134" spans="1:2">
      <c r="A14134" s="59"/>
      <c r="B14134"/>
    </row>
    <row r="14135" spans="1:2">
      <c r="A14135" s="59"/>
      <c r="B14135"/>
    </row>
    <row r="14136" spans="1:2">
      <c r="A14136" s="59"/>
      <c r="B14136"/>
    </row>
    <row r="14137" spans="1:2">
      <c r="A14137" s="59"/>
      <c r="B14137"/>
    </row>
    <row r="14138" spans="1:2">
      <c r="A14138" s="59"/>
      <c r="B14138"/>
    </row>
    <row r="14139" spans="1:2">
      <c r="A14139" s="59"/>
      <c r="B14139"/>
    </row>
    <row r="14140" spans="1:2">
      <c r="A14140" s="59"/>
      <c r="B14140"/>
    </row>
    <row r="14141" spans="1:2">
      <c r="A14141" s="59"/>
      <c r="B14141"/>
    </row>
    <row r="14142" spans="1:2">
      <c r="A14142" s="59"/>
      <c r="B14142"/>
    </row>
    <row r="14143" spans="1:2">
      <c r="A14143" s="59"/>
      <c r="B14143"/>
    </row>
    <row r="14144" spans="1:2">
      <c r="A14144" s="59"/>
      <c r="B14144"/>
    </row>
    <row r="14145" spans="1:2">
      <c r="A14145" s="59"/>
      <c r="B14145"/>
    </row>
    <row r="14146" spans="1:2">
      <c r="A14146" s="59"/>
      <c r="B14146"/>
    </row>
    <row r="14147" spans="1:2">
      <c r="A14147" s="59"/>
      <c r="B14147"/>
    </row>
    <row r="14148" spans="1:2">
      <c r="A14148" s="59"/>
      <c r="B14148"/>
    </row>
    <row r="14149" spans="1:2">
      <c r="A14149" s="59"/>
      <c r="B14149"/>
    </row>
    <row r="14150" spans="1:2">
      <c r="A14150" s="59"/>
      <c r="B14150"/>
    </row>
    <row r="14151" spans="1:2">
      <c r="A14151" s="59"/>
      <c r="B14151"/>
    </row>
    <row r="14152" spans="1:2">
      <c r="A14152" s="59"/>
      <c r="B14152"/>
    </row>
    <row r="14153" spans="1:2">
      <c r="A14153" s="59"/>
      <c r="B14153"/>
    </row>
    <row r="14154" spans="1:2">
      <c r="A14154" s="59"/>
      <c r="B14154"/>
    </row>
    <row r="14155" spans="1:2">
      <c r="A14155" s="59"/>
      <c r="B14155"/>
    </row>
    <row r="14156" spans="1:2">
      <c r="A14156" s="59"/>
      <c r="B14156"/>
    </row>
    <row r="14157" spans="1:2">
      <c r="A14157" s="59"/>
      <c r="B14157"/>
    </row>
    <row r="14158" spans="1:2">
      <c r="A14158" s="59"/>
      <c r="B14158"/>
    </row>
    <row r="14159" spans="1:2">
      <c r="A14159" s="59"/>
      <c r="B14159"/>
    </row>
    <row r="14160" spans="1:2">
      <c r="A14160" s="59"/>
      <c r="B14160"/>
    </row>
    <row r="14161" spans="1:2">
      <c r="A14161" s="59"/>
      <c r="B14161"/>
    </row>
    <row r="14162" spans="1:2">
      <c r="A14162" s="59"/>
      <c r="B14162"/>
    </row>
    <row r="14163" spans="1:2">
      <c r="A14163" s="59"/>
      <c r="B14163"/>
    </row>
    <row r="14164" spans="1:2">
      <c r="A14164" s="59"/>
      <c r="B14164"/>
    </row>
    <row r="14165" spans="1:2">
      <c r="A14165" s="59"/>
      <c r="B14165"/>
    </row>
    <row r="14166" spans="1:2">
      <c r="A14166" s="59"/>
      <c r="B14166"/>
    </row>
    <row r="14167" spans="1:2">
      <c r="A14167" s="59"/>
      <c r="B14167"/>
    </row>
    <row r="14168" spans="1:2">
      <c r="A14168" s="59"/>
      <c r="B14168"/>
    </row>
    <row r="14169" spans="1:2">
      <c r="A14169" s="59"/>
      <c r="B14169"/>
    </row>
    <row r="14170" spans="1:2">
      <c r="A14170" s="59"/>
      <c r="B14170"/>
    </row>
    <row r="14171" spans="1:2">
      <c r="A14171" s="59"/>
      <c r="B14171"/>
    </row>
    <row r="14172" spans="1:2">
      <c r="A14172" s="59"/>
      <c r="B14172"/>
    </row>
    <row r="14173" spans="1:2">
      <c r="A14173" s="59"/>
      <c r="B14173"/>
    </row>
    <row r="14174" spans="1:2">
      <c r="A14174" s="59"/>
      <c r="B14174"/>
    </row>
    <row r="14175" spans="1:2">
      <c r="A14175" s="59"/>
      <c r="B14175"/>
    </row>
    <row r="14176" spans="1:2">
      <c r="A14176" s="59"/>
      <c r="B14176"/>
    </row>
    <row r="14177" spans="1:2">
      <c r="A14177" s="59"/>
      <c r="B14177"/>
    </row>
    <row r="14178" spans="1:2">
      <c r="A14178" s="59"/>
      <c r="B14178"/>
    </row>
    <row r="14179" spans="1:2">
      <c r="A14179" s="59"/>
      <c r="B14179"/>
    </row>
    <row r="14180" spans="1:2">
      <c r="A14180" s="59"/>
      <c r="B14180"/>
    </row>
    <row r="14181" spans="1:2">
      <c r="A14181" s="59"/>
      <c r="B14181"/>
    </row>
    <row r="14182" spans="1:2">
      <c r="A14182" s="59"/>
      <c r="B14182"/>
    </row>
    <row r="14183" spans="1:2">
      <c r="A14183" s="59"/>
      <c r="B14183"/>
    </row>
    <row r="14184" spans="1:2">
      <c r="A14184" s="59"/>
      <c r="B14184"/>
    </row>
    <row r="14185" spans="1:2">
      <c r="A14185" s="59"/>
      <c r="B14185"/>
    </row>
    <row r="14186" spans="1:2">
      <c r="A14186" s="59"/>
      <c r="B14186"/>
    </row>
    <row r="14187" spans="1:2">
      <c r="A14187" s="59"/>
      <c r="B14187"/>
    </row>
    <row r="14188" spans="1:2">
      <c r="A14188" s="59"/>
      <c r="B14188"/>
    </row>
    <row r="14189" spans="1:2">
      <c r="A14189" s="59"/>
      <c r="B14189"/>
    </row>
    <row r="14190" spans="1:2">
      <c r="A14190" s="59"/>
      <c r="B14190"/>
    </row>
    <row r="14191" spans="1:2">
      <c r="A14191" s="59"/>
      <c r="B14191"/>
    </row>
    <row r="14192" spans="1:2">
      <c r="A14192" s="59"/>
      <c r="B14192"/>
    </row>
    <row r="14193" spans="1:2">
      <c r="A14193" s="59"/>
      <c r="B14193"/>
    </row>
    <row r="14194" spans="1:2">
      <c r="A14194" s="59"/>
      <c r="B14194"/>
    </row>
    <row r="14195" spans="1:2">
      <c r="A14195" s="59"/>
      <c r="B14195"/>
    </row>
    <row r="14196" spans="1:2">
      <c r="A14196" s="59"/>
      <c r="B14196"/>
    </row>
    <row r="14197" spans="1:2">
      <c r="A14197" s="59"/>
      <c r="B14197"/>
    </row>
    <row r="14198" spans="1:2">
      <c r="A14198" s="59"/>
      <c r="B14198"/>
    </row>
    <row r="14199" spans="1:2">
      <c r="A14199" s="59"/>
      <c r="B14199"/>
    </row>
    <row r="14200" spans="1:2">
      <c r="A14200" s="59"/>
      <c r="B14200"/>
    </row>
    <row r="14201" spans="1:2">
      <c r="A14201" s="59"/>
      <c r="B14201"/>
    </row>
    <row r="14202" spans="1:2">
      <c r="A14202" s="59"/>
      <c r="B14202"/>
    </row>
    <row r="14203" spans="1:2">
      <c r="A14203" s="59"/>
      <c r="B14203"/>
    </row>
    <row r="14204" spans="1:2">
      <c r="A14204" s="59"/>
      <c r="B14204"/>
    </row>
    <row r="14205" spans="1:2">
      <c r="A14205" s="59"/>
      <c r="B14205"/>
    </row>
    <row r="14206" spans="1:2">
      <c r="A14206" s="59"/>
      <c r="B14206"/>
    </row>
    <row r="14207" spans="1:2">
      <c r="A14207" s="59"/>
      <c r="B14207"/>
    </row>
    <row r="14208" spans="1:2">
      <c r="A14208" s="59"/>
      <c r="B14208"/>
    </row>
    <row r="14209" spans="1:2">
      <c r="A14209" s="59"/>
      <c r="B14209"/>
    </row>
    <row r="14210" spans="1:2">
      <c r="A14210" s="59"/>
      <c r="B14210"/>
    </row>
    <row r="14211" spans="1:2">
      <c r="A14211" s="59"/>
      <c r="B14211"/>
    </row>
    <row r="14212" spans="1:2">
      <c r="A14212" s="59"/>
      <c r="B14212"/>
    </row>
    <row r="14213" spans="1:2">
      <c r="A14213" s="59"/>
      <c r="B14213"/>
    </row>
    <row r="14214" spans="1:2">
      <c r="A14214" s="59"/>
      <c r="B14214"/>
    </row>
    <row r="14215" spans="1:2">
      <c r="A14215" s="59"/>
      <c r="B14215"/>
    </row>
    <row r="14216" spans="1:2">
      <c r="A14216" s="59"/>
      <c r="B14216"/>
    </row>
    <row r="14217" spans="1:2">
      <c r="A14217" s="59"/>
      <c r="B14217"/>
    </row>
    <row r="14218" spans="1:2">
      <c r="A14218" s="59"/>
      <c r="B14218"/>
    </row>
    <row r="14219" spans="1:2">
      <c r="A14219" s="59"/>
      <c r="B14219"/>
    </row>
    <row r="14220" spans="1:2">
      <c r="A14220" s="59"/>
      <c r="B14220"/>
    </row>
    <row r="14221" spans="1:2">
      <c r="A14221" s="59"/>
      <c r="B14221"/>
    </row>
    <row r="14222" spans="1:2">
      <c r="A14222" s="59"/>
      <c r="B14222"/>
    </row>
    <row r="14223" spans="1:2">
      <c r="A14223" s="59"/>
      <c r="B14223"/>
    </row>
    <row r="14224" spans="1:2">
      <c r="A14224" s="59"/>
      <c r="B14224"/>
    </row>
    <row r="14225" spans="1:2">
      <c r="A14225" s="59"/>
      <c r="B14225"/>
    </row>
    <row r="14226" spans="1:2">
      <c r="A14226" s="59"/>
      <c r="B14226"/>
    </row>
    <row r="14227" spans="1:2">
      <c r="A14227" s="59"/>
      <c r="B14227"/>
    </row>
    <row r="14228" spans="1:2">
      <c r="A14228" s="59"/>
      <c r="B14228"/>
    </row>
    <row r="14229" spans="1:2">
      <c r="A14229" s="59"/>
      <c r="B14229"/>
    </row>
    <row r="14230" spans="1:2">
      <c r="A14230" s="59"/>
      <c r="B14230"/>
    </row>
    <row r="14231" spans="1:2">
      <c r="A14231" s="59"/>
      <c r="B14231"/>
    </row>
    <row r="14232" spans="1:2">
      <c r="A14232" s="59"/>
      <c r="B14232"/>
    </row>
    <row r="14233" spans="1:2">
      <c r="A14233" s="59"/>
      <c r="B14233"/>
    </row>
    <row r="14234" spans="1:2">
      <c r="A14234" s="59"/>
      <c r="B14234"/>
    </row>
    <row r="14235" spans="1:2">
      <c r="A14235" s="59"/>
      <c r="B14235"/>
    </row>
    <row r="14236" spans="1:2">
      <c r="A14236" s="59"/>
      <c r="B14236"/>
    </row>
    <row r="14237" spans="1:2">
      <c r="A14237" s="59"/>
      <c r="B14237"/>
    </row>
    <row r="14238" spans="1:2">
      <c r="A14238" s="59"/>
      <c r="B14238"/>
    </row>
    <row r="14239" spans="1:2">
      <c r="A14239" s="59"/>
      <c r="B14239"/>
    </row>
    <row r="14240" spans="1:2">
      <c r="A14240" s="59"/>
      <c r="B14240"/>
    </row>
    <row r="14241" spans="1:2">
      <c r="A14241" s="59"/>
      <c r="B14241"/>
    </row>
    <row r="14242" spans="1:2">
      <c r="A14242" s="59"/>
      <c r="B14242"/>
    </row>
    <row r="14243" spans="1:2">
      <c r="A14243" s="59"/>
      <c r="B14243"/>
    </row>
    <row r="14244" spans="1:2">
      <c r="A14244" s="59"/>
      <c r="B14244"/>
    </row>
    <row r="14245" spans="1:2">
      <c r="A14245" s="59"/>
      <c r="B14245"/>
    </row>
    <row r="14246" spans="1:2">
      <c r="A14246" s="59"/>
      <c r="B14246"/>
    </row>
    <row r="14247" spans="1:2">
      <c r="A14247" s="59"/>
      <c r="B14247"/>
    </row>
    <row r="14248" spans="1:2">
      <c r="A14248" s="59"/>
      <c r="B14248"/>
    </row>
    <row r="14249" spans="1:2">
      <c r="A14249" s="59"/>
      <c r="B14249"/>
    </row>
    <row r="14250" spans="1:2">
      <c r="A14250" s="59"/>
      <c r="B14250"/>
    </row>
    <row r="14251" spans="1:2">
      <c r="A14251" s="59"/>
      <c r="B14251"/>
    </row>
    <row r="14252" spans="1:2">
      <c r="A14252" s="59"/>
      <c r="B14252"/>
    </row>
    <row r="14253" spans="1:2">
      <c r="A14253" s="59"/>
      <c r="B14253"/>
    </row>
    <row r="14254" spans="1:2">
      <c r="A14254" s="59"/>
      <c r="B14254"/>
    </row>
    <row r="14255" spans="1:2">
      <c r="A14255" s="59"/>
      <c r="B14255"/>
    </row>
    <row r="14256" spans="1:2">
      <c r="A14256" s="59"/>
      <c r="B14256"/>
    </row>
    <row r="14257" spans="1:2">
      <c r="A14257" s="59"/>
      <c r="B14257"/>
    </row>
    <row r="14258" spans="1:2">
      <c r="A14258" s="59"/>
      <c r="B14258"/>
    </row>
    <row r="14259" spans="1:2">
      <c r="A14259" s="59"/>
      <c r="B14259"/>
    </row>
    <row r="14260" spans="1:2">
      <c r="A14260" s="59"/>
      <c r="B14260"/>
    </row>
    <row r="14261" spans="1:2">
      <c r="A14261" s="59"/>
      <c r="B14261"/>
    </row>
    <row r="14262" spans="1:2">
      <c r="A14262" s="59"/>
      <c r="B14262"/>
    </row>
    <row r="14263" spans="1:2">
      <c r="A14263" s="59"/>
      <c r="B14263"/>
    </row>
    <row r="14264" spans="1:2">
      <c r="A14264" s="59"/>
      <c r="B14264"/>
    </row>
    <row r="14265" spans="1:2">
      <c r="A14265" s="59"/>
      <c r="B14265"/>
    </row>
    <row r="14266" spans="1:2">
      <c r="A14266" s="59"/>
      <c r="B14266"/>
    </row>
    <row r="14267" spans="1:2">
      <c r="A14267" s="59"/>
      <c r="B14267"/>
    </row>
    <row r="14268" spans="1:2">
      <c r="A14268" s="59"/>
      <c r="B14268"/>
    </row>
    <row r="14269" spans="1:2">
      <c r="A14269" s="59"/>
      <c r="B14269"/>
    </row>
    <row r="14270" spans="1:2">
      <c r="A14270" s="59"/>
      <c r="B14270"/>
    </row>
    <row r="14271" spans="1:2">
      <c r="A14271" s="59"/>
      <c r="B14271"/>
    </row>
    <row r="14272" spans="1:2">
      <c r="A14272" s="59"/>
      <c r="B14272"/>
    </row>
    <row r="14273" spans="1:2">
      <c r="A14273" s="59"/>
      <c r="B14273"/>
    </row>
    <row r="14274" spans="1:2">
      <c r="A14274" s="59"/>
      <c r="B14274"/>
    </row>
    <row r="14275" spans="1:2">
      <c r="A14275" s="59"/>
      <c r="B14275"/>
    </row>
    <row r="14276" spans="1:2">
      <c r="A14276" s="59"/>
      <c r="B14276"/>
    </row>
    <row r="14277" spans="1:2">
      <c r="A14277" s="59"/>
      <c r="B14277"/>
    </row>
    <row r="14278" spans="1:2">
      <c r="A14278" s="59"/>
      <c r="B14278"/>
    </row>
    <row r="14279" spans="1:2">
      <c r="A14279" s="59"/>
      <c r="B14279"/>
    </row>
    <row r="14280" spans="1:2">
      <c r="A14280" s="59"/>
      <c r="B14280"/>
    </row>
    <row r="14281" spans="1:2">
      <c r="A14281" s="59"/>
      <c r="B14281"/>
    </row>
    <row r="14282" spans="1:2">
      <c r="A14282" s="59"/>
      <c r="B14282"/>
    </row>
    <row r="14283" spans="1:2">
      <c r="A14283" s="59"/>
      <c r="B14283"/>
    </row>
    <row r="14284" spans="1:2">
      <c r="A14284" s="59"/>
      <c r="B14284"/>
    </row>
    <row r="14285" spans="1:2">
      <c r="A14285" s="59"/>
      <c r="B14285"/>
    </row>
    <row r="14286" spans="1:2">
      <c r="A14286" s="59"/>
      <c r="B14286"/>
    </row>
    <row r="14287" spans="1:2">
      <c r="A14287" s="59"/>
      <c r="B14287"/>
    </row>
    <row r="14288" spans="1:2">
      <c r="A14288" s="59"/>
      <c r="B14288"/>
    </row>
    <row r="14289" spans="1:2">
      <c r="A14289" s="59"/>
      <c r="B14289"/>
    </row>
    <row r="14290" spans="1:2">
      <c r="A14290" s="59"/>
      <c r="B14290"/>
    </row>
    <row r="14291" spans="1:2">
      <c r="A14291" s="59"/>
      <c r="B14291"/>
    </row>
    <row r="14292" spans="1:2">
      <c r="A14292" s="59"/>
      <c r="B14292"/>
    </row>
    <row r="14293" spans="1:2">
      <c r="A14293" s="59"/>
      <c r="B14293"/>
    </row>
    <row r="14294" spans="1:2">
      <c r="A14294" s="59"/>
      <c r="B14294"/>
    </row>
    <row r="14295" spans="1:2">
      <c r="A14295" s="59"/>
      <c r="B14295"/>
    </row>
    <row r="14296" spans="1:2">
      <c r="A14296" s="59"/>
      <c r="B14296"/>
    </row>
    <row r="14297" spans="1:2">
      <c r="A14297" s="59"/>
      <c r="B14297"/>
    </row>
    <row r="14298" spans="1:2">
      <c r="A14298" s="59"/>
      <c r="B14298"/>
    </row>
    <row r="14299" spans="1:2">
      <c r="A14299" s="59"/>
      <c r="B14299"/>
    </row>
    <row r="14300" spans="1:2">
      <c r="A14300" s="59"/>
      <c r="B14300"/>
    </row>
    <row r="14301" spans="1:2">
      <c r="A14301" s="59"/>
      <c r="B14301"/>
    </row>
    <row r="14302" spans="1:2">
      <c r="A14302" s="59"/>
      <c r="B14302"/>
    </row>
    <row r="14303" spans="1:2">
      <c r="A14303" s="59"/>
      <c r="B14303"/>
    </row>
    <row r="14304" spans="1:2">
      <c r="A14304" s="59"/>
      <c r="B14304"/>
    </row>
    <row r="14305" spans="1:2">
      <c r="A14305" s="59"/>
      <c r="B14305"/>
    </row>
    <row r="14306" spans="1:2">
      <c r="A14306" s="59"/>
      <c r="B14306"/>
    </row>
    <row r="14307" spans="1:2">
      <c r="A14307" s="59"/>
      <c r="B14307"/>
    </row>
    <row r="14308" spans="1:2">
      <c r="A14308" s="59"/>
      <c r="B14308"/>
    </row>
    <row r="14309" spans="1:2">
      <c r="A14309" s="59"/>
      <c r="B14309"/>
    </row>
    <row r="14310" spans="1:2">
      <c r="A14310" s="59"/>
      <c r="B14310"/>
    </row>
    <row r="14311" spans="1:2">
      <c r="A14311" s="59"/>
      <c r="B14311"/>
    </row>
    <row r="14312" spans="1:2">
      <c r="A14312" s="59"/>
      <c r="B14312"/>
    </row>
    <row r="14313" spans="1:2">
      <c r="A14313" s="59"/>
      <c r="B14313"/>
    </row>
    <row r="14314" spans="1:2">
      <c r="A14314" s="59"/>
      <c r="B14314"/>
    </row>
    <row r="14315" spans="1:2">
      <c r="A14315" s="59"/>
      <c r="B14315"/>
    </row>
    <row r="14316" spans="1:2">
      <c r="A14316" s="59"/>
      <c r="B14316"/>
    </row>
    <row r="14317" spans="1:2">
      <c r="A14317" s="59"/>
      <c r="B14317"/>
    </row>
    <row r="14318" spans="1:2">
      <c r="A14318" s="59"/>
      <c r="B14318"/>
    </row>
    <row r="14319" spans="1:2">
      <c r="A14319" s="59"/>
      <c r="B14319"/>
    </row>
    <row r="14320" spans="1:2">
      <c r="A14320" s="59"/>
      <c r="B14320"/>
    </row>
    <row r="14321" spans="1:2">
      <c r="A14321" s="59"/>
      <c r="B14321"/>
    </row>
    <row r="14322" spans="1:2">
      <c r="A14322" s="59"/>
      <c r="B14322"/>
    </row>
    <row r="14323" spans="1:2">
      <c r="A14323" s="59"/>
      <c r="B14323"/>
    </row>
    <row r="14324" spans="1:2">
      <c r="A14324" s="59"/>
      <c r="B14324"/>
    </row>
    <row r="14325" spans="1:2">
      <c r="A14325" s="59"/>
      <c r="B14325"/>
    </row>
    <row r="14326" spans="1:2">
      <c r="A14326" s="59"/>
      <c r="B14326"/>
    </row>
    <row r="14327" spans="1:2">
      <c r="A14327" s="59"/>
      <c r="B14327"/>
    </row>
    <row r="14328" spans="1:2">
      <c r="A14328" s="59"/>
      <c r="B14328"/>
    </row>
    <row r="14329" spans="1:2">
      <c r="A14329" s="59"/>
      <c r="B14329"/>
    </row>
    <row r="14330" spans="1:2">
      <c r="A14330" s="59"/>
      <c r="B14330"/>
    </row>
    <row r="14331" spans="1:2">
      <c r="A14331" s="59"/>
      <c r="B14331"/>
    </row>
    <row r="14332" spans="1:2">
      <c r="A14332" s="59"/>
      <c r="B14332"/>
    </row>
    <row r="14333" spans="1:2">
      <c r="A14333" s="59"/>
      <c r="B14333"/>
    </row>
    <row r="14334" spans="1:2">
      <c r="A14334" s="59"/>
      <c r="B14334"/>
    </row>
    <row r="14335" spans="1:2">
      <c r="A14335" s="59"/>
      <c r="B14335"/>
    </row>
    <row r="14336" spans="1:2">
      <c r="A14336" s="59"/>
      <c r="B14336"/>
    </row>
    <row r="14337" spans="1:2">
      <c r="A14337" s="59"/>
      <c r="B14337"/>
    </row>
    <row r="14338" spans="1:2">
      <c r="A14338" s="59"/>
      <c r="B14338"/>
    </row>
    <row r="14339" spans="1:2">
      <c r="A14339" s="59"/>
      <c r="B14339"/>
    </row>
    <row r="14340" spans="1:2">
      <c r="A14340" s="59"/>
      <c r="B14340"/>
    </row>
    <row r="14341" spans="1:2">
      <c r="A14341" s="59"/>
      <c r="B14341"/>
    </row>
    <row r="14342" spans="1:2">
      <c r="A14342" s="59"/>
      <c r="B14342"/>
    </row>
    <row r="14343" spans="1:2">
      <c r="A14343" s="59"/>
      <c r="B14343"/>
    </row>
    <row r="14344" spans="1:2">
      <c r="A14344" s="59"/>
      <c r="B14344"/>
    </row>
    <row r="14345" spans="1:2">
      <c r="A14345" s="59"/>
      <c r="B14345"/>
    </row>
    <row r="14346" spans="1:2">
      <c r="A14346" s="59"/>
      <c r="B14346"/>
    </row>
    <row r="14347" spans="1:2">
      <c r="A14347" s="59"/>
      <c r="B14347"/>
    </row>
    <row r="14348" spans="1:2">
      <c r="A14348" s="59"/>
      <c r="B14348"/>
    </row>
    <row r="14349" spans="1:2">
      <c r="A14349" s="59"/>
      <c r="B14349"/>
    </row>
    <row r="14350" spans="1:2">
      <c r="A14350" s="59"/>
      <c r="B14350"/>
    </row>
    <row r="14351" spans="1:2">
      <c r="A14351" s="59"/>
      <c r="B14351"/>
    </row>
    <row r="14352" spans="1:2">
      <c r="A14352" s="59"/>
      <c r="B14352"/>
    </row>
    <row r="14353" spans="1:2">
      <c r="A14353" s="59"/>
      <c r="B14353"/>
    </row>
    <row r="14354" spans="1:2">
      <c r="A14354" s="59"/>
      <c r="B14354"/>
    </row>
    <row r="14355" spans="1:2">
      <c r="A14355" s="59"/>
      <c r="B14355"/>
    </row>
    <row r="14356" spans="1:2">
      <c r="A14356" s="59"/>
      <c r="B14356"/>
    </row>
    <row r="14357" spans="1:2">
      <c r="A14357" s="59"/>
      <c r="B14357"/>
    </row>
    <row r="14358" spans="1:2">
      <c r="A14358" s="59"/>
      <c r="B14358"/>
    </row>
    <row r="14359" spans="1:2">
      <c r="A14359" s="59"/>
      <c r="B14359"/>
    </row>
    <row r="14360" spans="1:2">
      <c r="A14360" s="59"/>
      <c r="B14360"/>
    </row>
    <row r="14361" spans="1:2">
      <c r="A14361" s="59"/>
      <c r="B14361"/>
    </row>
    <row r="14362" spans="1:2">
      <c r="A14362" s="59"/>
      <c r="B14362"/>
    </row>
    <row r="14363" spans="1:2">
      <c r="A14363" s="59"/>
      <c r="B14363"/>
    </row>
    <row r="14364" spans="1:2">
      <c r="A14364" s="59"/>
      <c r="B14364"/>
    </row>
    <row r="14365" spans="1:2">
      <c r="A14365" s="59"/>
      <c r="B14365"/>
    </row>
    <row r="14366" spans="1:2">
      <c r="A14366" s="59"/>
      <c r="B14366"/>
    </row>
    <row r="14367" spans="1:2">
      <c r="A14367" s="59"/>
      <c r="B14367"/>
    </row>
    <row r="14368" spans="1:2">
      <c r="A14368" s="59"/>
      <c r="B14368"/>
    </row>
    <row r="14369" spans="1:2">
      <c r="A14369" s="59"/>
      <c r="B14369"/>
    </row>
    <row r="14370" spans="1:2">
      <c r="A14370" s="59"/>
      <c r="B14370"/>
    </row>
    <row r="14371" spans="1:2">
      <c r="A14371" s="59"/>
      <c r="B14371"/>
    </row>
    <row r="14372" spans="1:2">
      <c r="A14372" s="59"/>
      <c r="B14372"/>
    </row>
    <row r="14373" spans="1:2">
      <c r="A14373" s="59"/>
      <c r="B14373"/>
    </row>
    <row r="14374" spans="1:2">
      <c r="A14374" s="59"/>
      <c r="B14374"/>
    </row>
    <row r="14375" spans="1:2">
      <c r="A14375" s="59"/>
      <c r="B14375"/>
    </row>
    <row r="14376" spans="1:2">
      <c r="A14376" s="59"/>
      <c r="B14376"/>
    </row>
    <row r="14377" spans="1:2">
      <c r="A14377" s="59"/>
      <c r="B14377"/>
    </row>
    <row r="14378" spans="1:2">
      <c r="A14378" s="59"/>
      <c r="B14378"/>
    </row>
    <row r="14379" spans="1:2">
      <c r="A14379" s="59"/>
      <c r="B14379"/>
    </row>
    <row r="14380" spans="1:2">
      <c r="A14380" s="59"/>
      <c r="B14380"/>
    </row>
    <row r="14381" spans="1:2">
      <c r="A14381" s="59"/>
      <c r="B14381"/>
    </row>
    <row r="14382" spans="1:2">
      <c r="A14382" s="59"/>
      <c r="B14382"/>
    </row>
    <row r="14383" spans="1:2">
      <c r="A14383" s="59"/>
      <c r="B14383"/>
    </row>
    <row r="14384" spans="1:2">
      <c r="A14384" s="59"/>
      <c r="B14384"/>
    </row>
    <row r="14385" spans="1:2">
      <c r="A14385" s="59"/>
      <c r="B14385"/>
    </row>
    <row r="14386" spans="1:2">
      <c r="A14386" s="59"/>
      <c r="B14386"/>
    </row>
    <row r="14387" spans="1:2">
      <c r="A14387" s="59"/>
      <c r="B14387"/>
    </row>
    <row r="14388" spans="1:2">
      <c r="A14388" s="59"/>
      <c r="B14388"/>
    </row>
    <row r="14389" spans="1:2">
      <c r="A14389" s="59"/>
      <c r="B14389"/>
    </row>
    <row r="14390" spans="1:2">
      <c r="A14390" s="59"/>
      <c r="B14390"/>
    </row>
    <row r="14391" spans="1:2">
      <c r="A14391" s="59"/>
      <c r="B14391"/>
    </row>
    <row r="14392" spans="1:2">
      <c r="A14392" s="59"/>
      <c r="B14392"/>
    </row>
    <row r="14393" spans="1:2">
      <c r="A14393" s="59"/>
      <c r="B14393"/>
    </row>
    <row r="14394" spans="1:2">
      <c r="A14394" s="59"/>
      <c r="B14394"/>
    </row>
    <row r="14395" spans="1:2">
      <c r="A14395" s="59"/>
      <c r="B14395"/>
    </row>
    <row r="14396" spans="1:2">
      <c r="A14396" s="59"/>
      <c r="B14396"/>
    </row>
    <row r="14397" spans="1:2">
      <c r="A14397" s="59"/>
      <c r="B14397"/>
    </row>
    <row r="14398" spans="1:2">
      <c r="A14398" s="59"/>
      <c r="B14398"/>
    </row>
    <row r="14399" spans="1:2">
      <c r="A14399" s="59"/>
      <c r="B14399"/>
    </row>
    <row r="14400" spans="1:2">
      <c r="A14400" s="59"/>
      <c r="B14400"/>
    </row>
    <row r="14401" spans="1:2">
      <c r="A14401" s="59"/>
      <c r="B14401"/>
    </row>
    <row r="14402" spans="1:2">
      <c r="A14402" s="59"/>
      <c r="B14402"/>
    </row>
    <row r="14403" spans="1:2">
      <c r="A14403" s="59"/>
      <c r="B14403"/>
    </row>
    <row r="14404" spans="1:2">
      <c r="A14404" s="59"/>
      <c r="B14404"/>
    </row>
    <row r="14405" spans="1:2">
      <c r="A14405" s="59"/>
      <c r="B14405"/>
    </row>
    <row r="14406" spans="1:2">
      <c r="A14406" s="59"/>
      <c r="B14406"/>
    </row>
    <row r="14407" spans="1:2">
      <c r="A14407" s="59"/>
      <c r="B14407"/>
    </row>
    <row r="14408" spans="1:2">
      <c r="A14408" s="59"/>
      <c r="B14408"/>
    </row>
    <row r="14409" spans="1:2">
      <c r="A14409" s="59"/>
      <c r="B14409"/>
    </row>
    <row r="14410" spans="1:2">
      <c r="A14410" s="59"/>
      <c r="B14410"/>
    </row>
    <row r="14411" spans="1:2">
      <c r="A14411" s="59"/>
      <c r="B14411"/>
    </row>
    <row r="14412" spans="1:2">
      <c r="A14412" s="59"/>
      <c r="B14412"/>
    </row>
    <row r="14413" spans="1:2">
      <c r="A14413" s="59"/>
      <c r="B14413"/>
    </row>
    <row r="14414" spans="1:2">
      <c r="A14414" s="59"/>
      <c r="B14414"/>
    </row>
    <row r="14415" spans="1:2">
      <c r="A14415" s="59"/>
      <c r="B14415"/>
    </row>
    <row r="14416" spans="1:2">
      <c r="A14416" s="59"/>
      <c r="B14416"/>
    </row>
    <row r="14417" spans="1:2">
      <c r="A14417" s="59"/>
      <c r="B14417"/>
    </row>
    <row r="14418" spans="1:2">
      <c r="A14418" s="59"/>
      <c r="B14418"/>
    </row>
    <row r="14419" spans="1:2">
      <c r="A14419" s="59"/>
      <c r="B14419"/>
    </row>
    <row r="14420" spans="1:2">
      <c r="A14420" s="59"/>
      <c r="B14420"/>
    </row>
    <row r="14421" spans="1:2">
      <c r="A14421" s="59"/>
      <c r="B14421"/>
    </row>
    <row r="14422" spans="1:2">
      <c r="A14422" s="59"/>
      <c r="B14422"/>
    </row>
    <row r="14423" spans="1:2">
      <c r="A14423" s="59"/>
      <c r="B14423"/>
    </row>
    <row r="14424" spans="1:2">
      <c r="A14424" s="59"/>
      <c r="B14424"/>
    </row>
    <row r="14425" spans="1:2">
      <c r="A14425" s="59"/>
      <c r="B14425"/>
    </row>
    <row r="14426" spans="1:2">
      <c r="A14426" s="59"/>
      <c r="B14426"/>
    </row>
    <row r="14427" spans="1:2">
      <c r="A14427" s="59"/>
      <c r="B14427"/>
    </row>
    <row r="14428" spans="1:2">
      <c r="A14428" s="59"/>
      <c r="B14428"/>
    </row>
    <row r="14429" spans="1:2">
      <c r="A14429" s="59"/>
      <c r="B14429"/>
    </row>
    <row r="14430" spans="1:2">
      <c r="A14430" s="59"/>
      <c r="B14430"/>
    </row>
    <row r="14431" spans="1:2">
      <c r="A14431" s="59"/>
      <c r="B14431"/>
    </row>
    <row r="14432" spans="1:2">
      <c r="A14432" s="59"/>
      <c r="B14432"/>
    </row>
    <row r="14433" spans="1:2">
      <c r="A14433" s="59"/>
      <c r="B14433"/>
    </row>
    <row r="14434" spans="1:2">
      <c r="A14434" s="59"/>
      <c r="B14434"/>
    </row>
    <row r="14435" spans="1:2">
      <c r="A14435" s="59"/>
      <c r="B14435"/>
    </row>
    <row r="14436" spans="1:2">
      <c r="A14436" s="59"/>
      <c r="B14436"/>
    </row>
    <row r="14437" spans="1:2">
      <c r="A14437" s="59"/>
      <c r="B14437"/>
    </row>
    <row r="14438" spans="1:2">
      <c r="A14438" s="59"/>
      <c r="B14438"/>
    </row>
    <row r="14439" spans="1:2">
      <c r="A14439" s="59"/>
      <c r="B14439"/>
    </row>
    <row r="14440" spans="1:2">
      <c r="A14440" s="59"/>
      <c r="B14440"/>
    </row>
    <row r="14441" spans="1:2">
      <c r="A14441" s="59"/>
      <c r="B14441"/>
    </row>
    <row r="14442" spans="1:2">
      <c r="A14442" s="59"/>
      <c r="B14442"/>
    </row>
    <row r="14443" spans="1:2">
      <c r="A14443" s="59"/>
      <c r="B14443"/>
    </row>
    <row r="14444" spans="1:2">
      <c r="A14444" s="59"/>
      <c r="B14444"/>
    </row>
    <row r="14445" spans="1:2">
      <c r="A14445" s="59"/>
      <c r="B14445"/>
    </row>
    <row r="14446" spans="1:2">
      <c r="A14446" s="59"/>
      <c r="B14446"/>
    </row>
    <row r="14447" spans="1:2">
      <c r="A14447" s="59"/>
      <c r="B14447"/>
    </row>
    <row r="14448" spans="1:2">
      <c r="A14448" s="59"/>
      <c r="B14448"/>
    </row>
    <row r="14449" spans="1:2">
      <c r="A14449" s="59"/>
      <c r="B14449"/>
    </row>
    <row r="14450" spans="1:2">
      <c r="A14450" s="59"/>
      <c r="B14450"/>
    </row>
    <row r="14451" spans="1:2">
      <c r="A14451" s="59"/>
      <c r="B14451"/>
    </row>
    <row r="14452" spans="1:2">
      <c r="A14452" s="59"/>
      <c r="B14452"/>
    </row>
    <row r="14453" spans="1:2">
      <c r="A14453" s="59"/>
      <c r="B14453"/>
    </row>
    <row r="14454" spans="1:2">
      <c r="A14454" s="59"/>
      <c r="B14454"/>
    </row>
    <row r="14455" spans="1:2">
      <c r="A14455" s="59"/>
      <c r="B14455"/>
    </row>
    <row r="14456" spans="1:2">
      <c r="A14456" s="59"/>
      <c r="B14456"/>
    </row>
    <row r="14457" spans="1:2">
      <c r="A14457" s="59"/>
      <c r="B14457"/>
    </row>
    <row r="14458" spans="1:2">
      <c r="A14458" s="59"/>
      <c r="B14458"/>
    </row>
    <row r="14459" spans="1:2">
      <c r="A14459" s="59"/>
      <c r="B14459"/>
    </row>
    <row r="14460" spans="1:2">
      <c r="A14460" s="59"/>
      <c r="B14460"/>
    </row>
    <row r="14461" spans="1:2">
      <c r="A14461" s="59"/>
      <c r="B14461"/>
    </row>
    <row r="14462" spans="1:2">
      <c r="A14462" s="59"/>
      <c r="B14462"/>
    </row>
    <row r="14463" spans="1:2">
      <c r="A14463" s="59"/>
      <c r="B14463"/>
    </row>
    <row r="14464" spans="1:2">
      <c r="A14464" s="59"/>
      <c r="B14464"/>
    </row>
    <row r="14465" spans="1:2">
      <c r="A14465" s="59"/>
      <c r="B14465"/>
    </row>
    <row r="14466" spans="1:2">
      <c r="A14466" s="59"/>
      <c r="B14466"/>
    </row>
    <row r="14467" spans="1:2">
      <c r="A14467" s="59"/>
      <c r="B14467"/>
    </row>
    <row r="14468" spans="1:2">
      <c r="A14468" s="59"/>
      <c r="B14468"/>
    </row>
    <row r="14469" spans="1:2">
      <c r="A14469" s="59"/>
      <c r="B14469"/>
    </row>
    <row r="14470" spans="1:2">
      <c r="A14470" s="59"/>
      <c r="B14470"/>
    </row>
    <row r="14471" spans="1:2">
      <c r="A14471" s="59"/>
      <c r="B14471"/>
    </row>
    <row r="14472" spans="1:2">
      <c r="A14472" s="59"/>
      <c r="B14472"/>
    </row>
    <row r="14473" spans="1:2">
      <c r="A14473" s="59"/>
      <c r="B14473"/>
    </row>
    <row r="14474" spans="1:2">
      <c r="A14474" s="59"/>
      <c r="B14474"/>
    </row>
    <row r="14475" spans="1:2">
      <c r="A14475" s="59"/>
      <c r="B14475"/>
    </row>
    <row r="14476" spans="1:2">
      <c r="A14476" s="59"/>
      <c r="B14476"/>
    </row>
    <row r="14477" spans="1:2">
      <c r="A14477" s="59"/>
      <c r="B14477"/>
    </row>
    <row r="14478" spans="1:2">
      <c r="A14478" s="59"/>
      <c r="B14478"/>
    </row>
    <row r="14479" spans="1:2">
      <c r="A14479" s="59"/>
      <c r="B14479"/>
    </row>
    <row r="14480" spans="1:2">
      <c r="A14480" s="59"/>
      <c r="B14480"/>
    </row>
    <row r="14481" spans="1:2">
      <c r="A14481" s="59"/>
      <c r="B14481"/>
    </row>
    <row r="14482" spans="1:2">
      <c r="A14482" s="59"/>
      <c r="B14482"/>
    </row>
    <row r="14483" spans="1:2">
      <c r="A14483" s="59"/>
      <c r="B14483"/>
    </row>
    <row r="14484" spans="1:2">
      <c r="A14484" s="59"/>
      <c r="B14484"/>
    </row>
    <row r="14485" spans="1:2">
      <c r="A14485" s="59"/>
      <c r="B14485"/>
    </row>
    <row r="14486" spans="1:2">
      <c r="A14486" s="59"/>
      <c r="B14486"/>
    </row>
    <row r="14487" spans="1:2">
      <c r="A14487" s="59"/>
      <c r="B14487"/>
    </row>
    <row r="14488" spans="1:2">
      <c r="A14488" s="59"/>
      <c r="B14488"/>
    </row>
    <row r="14489" spans="1:2">
      <c r="A14489" s="59"/>
      <c r="B14489"/>
    </row>
    <row r="14490" spans="1:2">
      <c r="A14490" s="59"/>
      <c r="B14490"/>
    </row>
    <row r="14491" spans="1:2">
      <c r="A14491" s="59"/>
      <c r="B14491"/>
    </row>
    <row r="14492" spans="1:2">
      <c r="A14492" s="59"/>
      <c r="B14492"/>
    </row>
    <row r="14493" spans="1:2">
      <c r="A14493" s="59"/>
      <c r="B14493"/>
    </row>
    <row r="14494" spans="1:2">
      <c r="A14494" s="59"/>
      <c r="B14494"/>
    </row>
    <row r="14495" spans="1:2">
      <c r="A14495" s="59"/>
      <c r="B14495"/>
    </row>
    <row r="14496" spans="1:2">
      <c r="A14496" s="59"/>
      <c r="B14496"/>
    </row>
    <row r="14497" spans="1:2">
      <c r="A14497" s="59"/>
      <c r="B14497"/>
    </row>
    <row r="14498" spans="1:2">
      <c r="A14498" s="59"/>
      <c r="B14498"/>
    </row>
    <row r="14499" spans="1:2">
      <c r="A14499" s="59"/>
      <c r="B14499"/>
    </row>
    <row r="14500" spans="1:2">
      <c r="A14500" s="59"/>
      <c r="B14500"/>
    </row>
    <row r="14501" spans="1:2">
      <c r="A14501" s="59"/>
      <c r="B14501"/>
    </row>
    <row r="14502" spans="1:2">
      <c r="A14502" s="59"/>
      <c r="B14502"/>
    </row>
    <row r="14503" spans="1:2">
      <c r="A14503" s="59"/>
      <c r="B14503"/>
    </row>
    <row r="14504" spans="1:2">
      <c r="A14504" s="59"/>
      <c r="B14504"/>
    </row>
    <row r="14505" spans="1:2">
      <c r="A14505" s="59"/>
      <c r="B14505"/>
    </row>
    <row r="14506" spans="1:2">
      <c r="A14506" s="59"/>
      <c r="B14506"/>
    </row>
    <row r="14507" spans="1:2">
      <c r="A14507" s="59"/>
      <c r="B14507"/>
    </row>
    <row r="14508" spans="1:2">
      <c r="A14508" s="59"/>
      <c r="B14508"/>
    </row>
    <row r="14509" spans="1:2">
      <c r="A14509" s="59"/>
      <c r="B14509"/>
    </row>
    <row r="14510" spans="1:2">
      <c r="A14510" s="59"/>
      <c r="B14510"/>
    </row>
    <row r="14511" spans="1:2">
      <c r="A14511" s="59"/>
      <c r="B14511"/>
    </row>
    <row r="14512" spans="1:2">
      <c r="A14512" s="59"/>
      <c r="B14512"/>
    </row>
    <row r="14513" spans="1:2">
      <c r="A14513" s="59"/>
      <c r="B14513"/>
    </row>
    <row r="14514" spans="1:2">
      <c r="A14514" s="59"/>
      <c r="B14514"/>
    </row>
    <row r="14515" spans="1:2">
      <c r="A14515" s="59"/>
      <c r="B14515"/>
    </row>
    <row r="14516" spans="1:2">
      <c r="A14516" s="59"/>
      <c r="B14516"/>
    </row>
    <row r="14517" spans="1:2">
      <c r="A14517" s="59"/>
      <c r="B14517"/>
    </row>
    <row r="14518" spans="1:2">
      <c r="A14518" s="59"/>
      <c r="B14518"/>
    </row>
    <row r="14519" spans="1:2">
      <c r="A14519" s="59"/>
      <c r="B14519"/>
    </row>
    <row r="14520" spans="1:2">
      <c r="A14520" s="59"/>
      <c r="B14520"/>
    </row>
    <row r="14521" spans="1:2">
      <c r="A14521" s="59"/>
      <c r="B14521"/>
    </row>
    <row r="14522" spans="1:2">
      <c r="A14522" s="59"/>
      <c r="B14522"/>
    </row>
    <row r="14523" spans="1:2">
      <c r="A14523" s="59"/>
      <c r="B14523"/>
    </row>
    <row r="14524" spans="1:2">
      <c r="A14524" s="59"/>
      <c r="B14524"/>
    </row>
    <row r="14525" spans="1:2">
      <c r="A14525" s="59"/>
      <c r="B14525"/>
    </row>
    <row r="14526" spans="1:2">
      <c r="A14526" s="59"/>
      <c r="B14526"/>
    </row>
    <row r="14527" spans="1:2">
      <c r="A14527" s="59"/>
      <c r="B14527"/>
    </row>
    <row r="14528" spans="1:2">
      <c r="A14528" s="59"/>
      <c r="B14528"/>
    </row>
    <row r="14529" spans="1:2">
      <c r="A14529" s="59"/>
      <c r="B14529"/>
    </row>
    <row r="14530" spans="1:2">
      <c r="A14530" s="59"/>
      <c r="B14530"/>
    </row>
    <row r="14531" spans="1:2">
      <c r="A14531" s="59"/>
      <c r="B14531"/>
    </row>
    <row r="14532" spans="1:2">
      <c r="A14532" s="59"/>
      <c r="B14532"/>
    </row>
    <row r="14533" spans="1:2">
      <c r="A14533" s="59"/>
      <c r="B14533"/>
    </row>
    <row r="14534" spans="1:2">
      <c r="A14534" s="59"/>
      <c r="B14534"/>
    </row>
    <row r="14535" spans="1:2">
      <c r="A14535" s="59"/>
      <c r="B14535"/>
    </row>
    <row r="14536" spans="1:2">
      <c r="A14536" s="59"/>
      <c r="B14536"/>
    </row>
    <row r="14537" spans="1:2">
      <c r="A14537" s="59"/>
      <c r="B14537"/>
    </row>
    <row r="14538" spans="1:2">
      <c r="A14538" s="59"/>
      <c r="B14538"/>
    </row>
    <row r="14539" spans="1:2">
      <c r="A14539" s="59"/>
      <c r="B14539"/>
    </row>
    <row r="14540" spans="1:2">
      <c r="A14540" s="59"/>
      <c r="B14540"/>
    </row>
    <row r="14541" spans="1:2">
      <c r="A14541" s="59"/>
      <c r="B14541"/>
    </row>
    <row r="14542" spans="1:2">
      <c r="A14542" s="59"/>
      <c r="B14542"/>
    </row>
    <row r="14543" spans="1:2">
      <c r="A14543" s="59"/>
      <c r="B14543"/>
    </row>
    <row r="14544" spans="1:2">
      <c r="A14544" s="59"/>
      <c r="B14544"/>
    </row>
    <row r="14545" spans="1:2">
      <c r="A14545" s="59"/>
      <c r="B14545"/>
    </row>
    <row r="14546" spans="1:2">
      <c r="A14546" s="59"/>
      <c r="B14546"/>
    </row>
    <row r="14547" spans="1:2">
      <c r="A14547" s="59"/>
      <c r="B14547"/>
    </row>
    <row r="14548" spans="1:2">
      <c r="A14548" s="59"/>
      <c r="B14548"/>
    </row>
    <row r="14549" spans="1:2">
      <c r="A14549" s="59"/>
      <c r="B14549"/>
    </row>
    <row r="14550" spans="1:2">
      <c r="A14550" s="59"/>
      <c r="B14550"/>
    </row>
    <row r="14551" spans="1:2">
      <c r="A14551" s="59"/>
      <c r="B14551"/>
    </row>
    <row r="14552" spans="1:2">
      <c r="A14552" s="59"/>
      <c r="B14552"/>
    </row>
    <row r="14553" spans="1:2">
      <c r="A14553" s="59"/>
      <c r="B14553"/>
    </row>
    <row r="14554" spans="1:2">
      <c r="A14554" s="59"/>
      <c r="B14554"/>
    </row>
    <row r="14555" spans="1:2">
      <c r="A14555" s="59"/>
      <c r="B14555"/>
    </row>
    <row r="14556" spans="1:2">
      <c r="A14556" s="59"/>
      <c r="B14556"/>
    </row>
    <row r="14557" spans="1:2">
      <c r="A14557" s="59"/>
      <c r="B14557"/>
    </row>
    <row r="14558" spans="1:2">
      <c r="A14558" s="59"/>
      <c r="B14558"/>
    </row>
    <row r="14559" spans="1:2">
      <c r="A14559" s="59"/>
      <c r="B14559"/>
    </row>
    <row r="14560" spans="1:2">
      <c r="A14560" s="59"/>
      <c r="B14560"/>
    </row>
    <row r="14561" spans="1:2">
      <c r="A14561" s="59"/>
      <c r="B14561"/>
    </row>
    <row r="14562" spans="1:2">
      <c r="A14562" s="59"/>
      <c r="B14562"/>
    </row>
    <row r="14563" spans="1:2">
      <c r="A14563" s="59"/>
      <c r="B14563"/>
    </row>
    <row r="14564" spans="1:2">
      <c r="A14564" s="59"/>
      <c r="B14564"/>
    </row>
    <row r="14565" spans="1:2">
      <c r="A14565" s="59"/>
      <c r="B14565"/>
    </row>
    <row r="14566" spans="1:2">
      <c r="A14566" s="59"/>
      <c r="B14566"/>
    </row>
    <row r="14567" spans="1:2">
      <c r="A14567" s="59"/>
      <c r="B14567"/>
    </row>
    <row r="14568" spans="1:2">
      <c r="A14568" s="59"/>
      <c r="B14568"/>
    </row>
    <row r="14569" spans="1:2">
      <c r="A14569" s="59"/>
      <c r="B14569"/>
    </row>
    <row r="14570" spans="1:2">
      <c r="A14570" s="59"/>
      <c r="B14570"/>
    </row>
    <row r="14571" spans="1:2">
      <c r="A14571" s="59"/>
      <c r="B14571"/>
    </row>
    <row r="14572" spans="1:2">
      <c r="A14572" s="59"/>
      <c r="B14572"/>
    </row>
    <row r="14573" spans="1:2">
      <c r="A14573" s="59"/>
      <c r="B14573"/>
    </row>
    <row r="14574" spans="1:2">
      <c r="A14574" s="59"/>
      <c r="B14574"/>
    </row>
    <row r="14575" spans="1:2">
      <c r="A14575" s="59"/>
      <c r="B14575"/>
    </row>
    <row r="14576" spans="1:2">
      <c r="A14576" s="59"/>
      <c r="B14576"/>
    </row>
    <row r="14577" spans="1:2">
      <c r="A14577" s="59"/>
      <c r="B14577"/>
    </row>
    <row r="14578" spans="1:2">
      <c r="A14578" s="59"/>
      <c r="B14578"/>
    </row>
    <row r="14579" spans="1:2">
      <c r="A14579" s="59"/>
      <c r="B14579"/>
    </row>
    <row r="14580" spans="1:2">
      <c r="A14580" s="59"/>
      <c r="B14580"/>
    </row>
    <row r="14581" spans="1:2">
      <c r="A14581" s="59"/>
      <c r="B14581"/>
    </row>
    <row r="14582" spans="1:2">
      <c r="A14582" s="59"/>
      <c r="B14582"/>
    </row>
    <row r="14583" spans="1:2">
      <c r="A14583" s="59"/>
      <c r="B14583"/>
    </row>
    <row r="14584" spans="1:2">
      <c r="A14584" s="59"/>
      <c r="B14584"/>
    </row>
    <row r="14585" spans="1:2">
      <c r="A14585" s="59"/>
      <c r="B14585"/>
    </row>
    <row r="14586" spans="1:2">
      <c r="A14586" s="59"/>
      <c r="B14586"/>
    </row>
    <row r="14587" spans="1:2">
      <c r="A14587" s="59"/>
      <c r="B14587"/>
    </row>
    <row r="14588" spans="1:2">
      <c r="A14588" s="59"/>
      <c r="B14588"/>
    </row>
    <row r="14589" spans="1:2">
      <c r="A14589" s="59"/>
      <c r="B14589"/>
    </row>
    <row r="14590" spans="1:2">
      <c r="A14590" s="59"/>
      <c r="B14590"/>
    </row>
    <row r="14591" spans="1:2">
      <c r="A14591" s="59"/>
      <c r="B14591"/>
    </row>
    <row r="14592" spans="1:2">
      <c r="A14592" s="59"/>
      <c r="B14592"/>
    </row>
    <row r="14593" spans="1:2">
      <c r="A14593" s="59"/>
      <c r="B14593"/>
    </row>
    <row r="14594" spans="1:2">
      <c r="A14594" s="59"/>
      <c r="B14594"/>
    </row>
    <row r="14595" spans="1:2">
      <c r="A14595" s="59"/>
      <c r="B14595"/>
    </row>
    <row r="14596" spans="1:2">
      <c r="A14596" s="59"/>
      <c r="B14596"/>
    </row>
    <row r="14597" spans="1:2">
      <c r="A14597" s="59"/>
      <c r="B14597"/>
    </row>
    <row r="14598" spans="1:2">
      <c r="A14598" s="59"/>
      <c r="B14598"/>
    </row>
    <row r="14599" spans="1:2">
      <c r="A14599" s="59"/>
      <c r="B14599"/>
    </row>
    <row r="14600" spans="1:2">
      <c r="A14600" s="59"/>
      <c r="B14600"/>
    </row>
    <row r="14601" spans="1:2">
      <c r="A14601" s="59"/>
      <c r="B14601"/>
    </row>
    <row r="14602" spans="1:2">
      <c r="A14602" s="59"/>
      <c r="B14602"/>
    </row>
    <row r="14603" spans="1:2">
      <c r="A14603" s="59"/>
      <c r="B14603"/>
    </row>
    <row r="14604" spans="1:2">
      <c r="A14604" s="59"/>
      <c r="B14604"/>
    </row>
    <row r="14605" spans="1:2">
      <c r="A14605" s="59"/>
      <c r="B14605"/>
    </row>
    <row r="14606" spans="1:2">
      <c r="A14606" s="59"/>
      <c r="B14606"/>
    </row>
    <row r="14607" spans="1:2">
      <c r="A14607" s="59"/>
      <c r="B14607"/>
    </row>
    <row r="14608" spans="1:2">
      <c r="A14608" s="59"/>
      <c r="B14608"/>
    </row>
    <row r="14609" spans="1:2">
      <c r="A14609" s="59"/>
      <c r="B14609"/>
    </row>
    <row r="14610" spans="1:2">
      <c r="A14610" s="59"/>
      <c r="B14610"/>
    </row>
    <row r="14611" spans="1:2">
      <c r="A14611" s="59"/>
      <c r="B14611"/>
    </row>
    <row r="14612" spans="1:2">
      <c r="A14612" s="59"/>
      <c r="B14612"/>
    </row>
    <row r="14613" spans="1:2">
      <c r="A14613" s="59"/>
      <c r="B14613"/>
    </row>
    <row r="14614" spans="1:2">
      <c r="A14614" s="59"/>
      <c r="B14614"/>
    </row>
    <row r="14615" spans="1:2">
      <c r="A14615" s="59"/>
      <c r="B14615"/>
    </row>
    <row r="14616" spans="1:2">
      <c r="A14616" s="59"/>
      <c r="B14616"/>
    </row>
    <row r="14617" spans="1:2">
      <c r="A14617" s="59"/>
      <c r="B14617"/>
    </row>
    <row r="14618" spans="1:2">
      <c r="A14618" s="59"/>
      <c r="B14618"/>
    </row>
    <row r="14619" spans="1:2">
      <c r="A14619" s="59"/>
      <c r="B14619"/>
    </row>
    <row r="14620" spans="1:2">
      <c r="A14620" s="59"/>
      <c r="B14620"/>
    </row>
    <row r="14621" spans="1:2">
      <c r="A14621" s="59"/>
      <c r="B14621"/>
    </row>
    <row r="14622" spans="1:2">
      <c r="A14622" s="59"/>
      <c r="B14622"/>
    </row>
    <row r="14623" spans="1:2">
      <c r="A14623" s="59"/>
      <c r="B14623"/>
    </row>
    <row r="14624" spans="1:2">
      <c r="A14624" s="59"/>
      <c r="B14624"/>
    </row>
    <row r="14625" spans="1:2">
      <c r="A14625" s="59"/>
      <c r="B14625"/>
    </row>
    <row r="14626" spans="1:2">
      <c r="A14626" s="59"/>
      <c r="B14626"/>
    </row>
    <row r="14627" spans="1:2">
      <c r="A14627" s="59"/>
      <c r="B14627"/>
    </row>
    <row r="14628" spans="1:2">
      <c r="A14628" s="59"/>
      <c r="B14628"/>
    </row>
    <row r="14629" spans="1:2">
      <c r="A14629" s="59"/>
      <c r="B14629"/>
    </row>
    <row r="14630" spans="1:2">
      <c r="A14630" s="59"/>
      <c r="B14630"/>
    </row>
    <row r="14631" spans="1:2">
      <c r="A14631" s="59"/>
      <c r="B14631"/>
    </row>
    <row r="14632" spans="1:2">
      <c r="A14632" s="59"/>
      <c r="B14632"/>
    </row>
    <row r="14633" spans="1:2">
      <c r="A14633" s="59"/>
      <c r="B14633"/>
    </row>
    <row r="14634" spans="1:2">
      <c r="A14634" s="59"/>
      <c r="B14634"/>
    </row>
    <row r="14635" spans="1:2">
      <c r="A14635" s="59"/>
      <c r="B14635"/>
    </row>
    <row r="14636" spans="1:2">
      <c r="A14636" s="59"/>
      <c r="B14636"/>
    </row>
    <row r="14637" spans="1:2">
      <c r="A14637" s="59"/>
      <c r="B14637"/>
    </row>
    <row r="14638" spans="1:2">
      <c r="A14638" s="59"/>
      <c r="B14638"/>
    </row>
    <row r="14639" spans="1:2">
      <c r="A14639" s="59"/>
      <c r="B14639"/>
    </row>
    <row r="14640" spans="1:2">
      <c r="A14640" s="59"/>
      <c r="B14640"/>
    </row>
    <row r="14641" spans="1:2">
      <c r="A14641" s="59"/>
      <c r="B14641"/>
    </row>
    <row r="14642" spans="1:2">
      <c r="A14642" s="59"/>
      <c r="B14642"/>
    </row>
    <row r="14643" spans="1:2">
      <c r="A14643" s="59"/>
      <c r="B14643"/>
    </row>
    <row r="14644" spans="1:2">
      <c r="A14644" s="59"/>
      <c r="B14644"/>
    </row>
    <row r="14645" spans="1:2">
      <c r="A14645" s="59"/>
      <c r="B14645"/>
    </row>
    <row r="14646" spans="1:2">
      <c r="A14646" s="59"/>
      <c r="B14646"/>
    </row>
    <row r="14647" spans="1:2">
      <c r="A14647" s="59"/>
      <c r="B14647"/>
    </row>
    <row r="14648" spans="1:2">
      <c r="A14648" s="59"/>
      <c r="B14648"/>
    </row>
    <row r="14649" spans="1:2">
      <c r="A14649" s="59"/>
      <c r="B14649"/>
    </row>
    <row r="14650" spans="1:2">
      <c r="A14650" s="59"/>
      <c r="B14650"/>
    </row>
    <row r="14651" spans="1:2">
      <c r="A14651" s="59"/>
      <c r="B14651"/>
    </row>
    <row r="14652" spans="1:2">
      <c r="A14652" s="59"/>
      <c r="B14652"/>
    </row>
    <row r="14653" spans="1:2">
      <c r="A14653" s="59"/>
      <c r="B14653"/>
    </row>
    <row r="14654" spans="1:2">
      <c r="A14654" s="59"/>
      <c r="B14654"/>
    </row>
    <row r="14655" spans="1:2">
      <c r="A14655" s="59"/>
      <c r="B14655"/>
    </row>
    <row r="14656" spans="1:2">
      <c r="A14656" s="59"/>
      <c r="B14656"/>
    </row>
    <row r="14657" spans="1:2">
      <c r="A14657" s="59"/>
      <c r="B14657"/>
    </row>
    <row r="14658" spans="1:2">
      <c r="A14658" s="59"/>
      <c r="B14658"/>
    </row>
    <row r="14659" spans="1:2">
      <c r="A14659" s="59"/>
      <c r="B14659"/>
    </row>
    <row r="14660" spans="1:2">
      <c r="A14660" s="59"/>
      <c r="B14660"/>
    </row>
    <row r="14661" spans="1:2">
      <c r="A14661" s="59"/>
      <c r="B14661"/>
    </row>
    <row r="14662" spans="1:2">
      <c r="A14662" s="59"/>
      <c r="B14662"/>
    </row>
    <row r="14663" spans="1:2">
      <c r="A14663" s="59"/>
      <c r="B14663"/>
    </row>
    <row r="14664" spans="1:2">
      <c r="A14664" s="59"/>
      <c r="B14664"/>
    </row>
    <row r="14665" spans="1:2">
      <c r="A14665" s="59"/>
      <c r="B14665"/>
    </row>
    <row r="14666" spans="1:2">
      <c r="A14666" s="59"/>
      <c r="B14666"/>
    </row>
    <row r="14667" spans="1:2">
      <c r="A14667" s="59"/>
      <c r="B14667"/>
    </row>
    <row r="14668" spans="1:2">
      <c r="A14668" s="59"/>
      <c r="B14668"/>
    </row>
    <row r="14669" spans="1:2">
      <c r="A14669" s="59"/>
      <c r="B14669"/>
    </row>
    <row r="14670" spans="1:2">
      <c r="A14670" s="59"/>
      <c r="B14670"/>
    </row>
    <row r="14671" spans="1:2">
      <c r="A14671" s="59"/>
      <c r="B14671"/>
    </row>
    <row r="14672" spans="1:2">
      <c r="A14672" s="59"/>
      <c r="B14672"/>
    </row>
    <row r="14673" spans="1:2">
      <c r="A14673" s="59"/>
      <c r="B14673"/>
    </row>
    <row r="14674" spans="1:2">
      <c r="A14674" s="59"/>
      <c r="B14674"/>
    </row>
    <row r="14675" spans="1:2">
      <c r="A14675" s="59"/>
      <c r="B14675"/>
    </row>
    <row r="14676" spans="1:2">
      <c r="A14676" s="59"/>
      <c r="B14676"/>
    </row>
    <row r="14677" spans="1:2">
      <c r="A14677" s="59"/>
      <c r="B14677"/>
    </row>
    <row r="14678" spans="1:2">
      <c r="A14678" s="59"/>
      <c r="B14678"/>
    </row>
    <row r="14679" spans="1:2">
      <c r="A14679" s="59"/>
      <c r="B14679"/>
    </row>
    <row r="14680" spans="1:2">
      <c r="A14680" s="59"/>
      <c r="B14680"/>
    </row>
    <row r="14681" spans="1:2">
      <c r="A14681" s="59"/>
      <c r="B14681"/>
    </row>
    <row r="14682" spans="1:2">
      <c r="A14682" s="59"/>
      <c r="B14682"/>
    </row>
    <row r="14683" spans="1:2">
      <c r="A14683" s="59"/>
      <c r="B14683"/>
    </row>
    <row r="14684" spans="1:2">
      <c r="A14684" s="59"/>
      <c r="B14684"/>
    </row>
    <row r="14685" spans="1:2">
      <c r="A14685" s="59"/>
      <c r="B14685"/>
    </row>
    <row r="14686" spans="1:2">
      <c r="A14686" s="59"/>
      <c r="B14686"/>
    </row>
    <row r="14687" spans="1:2">
      <c r="A14687" s="59"/>
      <c r="B14687"/>
    </row>
    <row r="14688" spans="1:2">
      <c r="A14688" s="59"/>
      <c r="B14688"/>
    </row>
    <row r="14689" spans="1:2">
      <c r="A14689" s="59"/>
      <c r="B14689"/>
    </row>
    <row r="14690" spans="1:2">
      <c r="A14690" s="59"/>
      <c r="B14690"/>
    </row>
    <row r="14691" spans="1:2">
      <c r="A14691" s="59"/>
      <c r="B14691"/>
    </row>
    <row r="14692" spans="1:2">
      <c r="A14692" s="59"/>
      <c r="B14692"/>
    </row>
    <row r="14693" spans="1:2">
      <c r="A14693" s="59"/>
      <c r="B14693"/>
    </row>
    <row r="14694" spans="1:2">
      <c r="A14694" s="59"/>
      <c r="B14694"/>
    </row>
    <row r="14695" spans="1:2">
      <c r="A14695" s="59"/>
      <c r="B14695"/>
    </row>
    <row r="14696" spans="1:2">
      <c r="A14696" s="59"/>
      <c r="B14696"/>
    </row>
    <row r="14697" spans="1:2">
      <c r="A14697" s="59"/>
      <c r="B14697"/>
    </row>
    <row r="14698" spans="1:2">
      <c r="A14698" s="59"/>
      <c r="B14698"/>
    </row>
    <row r="14699" spans="1:2">
      <c r="A14699" s="59"/>
      <c r="B14699"/>
    </row>
    <row r="14700" spans="1:2">
      <c r="A14700" s="59"/>
      <c r="B14700"/>
    </row>
    <row r="14701" spans="1:2">
      <c r="A14701" s="59"/>
      <c r="B14701"/>
    </row>
    <row r="14702" spans="1:2">
      <c r="A14702" s="59"/>
      <c r="B14702"/>
    </row>
    <row r="14703" spans="1:2">
      <c r="A14703" s="59"/>
      <c r="B14703"/>
    </row>
    <row r="14704" spans="1:2">
      <c r="A14704" s="59"/>
      <c r="B14704"/>
    </row>
    <row r="14705" spans="1:2">
      <c r="A14705" s="59"/>
      <c r="B14705"/>
    </row>
    <row r="14706" spans="1:2">
      <c r="A14706" s="59"/>
      <c r="B14706"/>
    </row>
    <row r="14707" spans="1:2">
      <c r="A14707" s="59"/>
      <c r="B14707"/>
    </row>
    <row r="14708" spans="1:2">
      <c r="A14708" s="59"/>
      <c r="B14708"/>
    </row>
    <row r="14709" spans="1:2">
      <c r="A14709" s="59"/>
      <c r="B14709"/>
    </row>
    <row r="14710" spans="1:2">
      <c r="A14710" s="59"/>
      <c r="B14710"/>
    </row>
    <row r="14711" spans="1:2">
      <c r="A14711" s="59"/>
      <c r="B14711"/>
    </row>
    <row r="14712" spans="1:2">
      <c r="A14712" s="59"/>
      <c r="B14712"/>
    </row>
    <row r="14713" spans="1:2">
      <c r="A14713" s="59"/>
      <c r="B14713"/>
    </row>
    <row r="14714" spans="1:2">
      <c r="A14714" s="59"/>
      <c r="B14714"/>
    </row>
    <row r="14715" spans="1:2">
      <c r="A14715" s="59"/>
      <c r="B14715"/>
    </row>
    <row r="14716" spans="1:2">
      <c r="A14716" s="59"/>
      <c r="B14716"/>
    </row>
    <row r="14717" spans="1:2">
      <c r="A14717" s="59"/>
      <c r="B14717"/>
    </row>
    <row r="14718" spans="1:2">
      <c r="A14718" s="59"/>
      <c r="B14718"/>
    </row>
    <row r="14719" spans="1:2">
      <c r="A14719" s="59"/>
      <c r="B14719"/>
    </row>
    <row r="14720" spans="1:2">
      <c r="A14720" s="59"/>
      <c r="B14720"/>
    </row>
    <row r="14721" spans="1:2">
      <c r="A14721" s="59"/>
      <c r="B14721"/>
    </row>
    <row r="14722" spans="1:2">
      <c r="A14722" s="59"/>
      <c r="B14722"/>
    </row>
    <row r="14723" spans="1:2">
      <c r="A14723" s="59"/>
      <c r="B14723"/>
    </row>
    <row r="14724" spans="1:2">
      <c r="A14724" s="59"/>
      <c r="B14724"/>
    </row>
    <row r="14725" spans="1:2">
      <c r="A14725" s="59"/>
      <c r="B14725"/>
    </row>
    <row r="14726" spans="1:2">
      <c r="A14726" s="59"/>
      <c r="B14726"/>
    </row>
    <row r="14727" spans="1:2">
      <c r="A14727" s="59"/>
      <c r="B14727"/>
    </row>
    <row r="14728" spans="1:2">
      <c r="A14728" s="59"/>
      <c r="B14728"/>
    </row>
    <row r="14729" spans="1:2">
      <c r="A14729" s="59"/>
      <c r="B14729"/>
    </row>
    <row r="14730" spans="1:2">
      <c r="A14730" s="59"/>
      <c r="B14730"/>
    </row>
    <row r="14731" spans="1:2">
      <c r="A14731" s="59"/>
      <c r="B14731"/>
    </row>
    <row r="14732" spans="1:2">
      <c r="A14732" s="59"/>
      <c r="B14732"/>
    </row>
    <row r="14733" spans="1:2">
      <c r="A14733" s="59"/>
      <c r="B14733"/>
    </row>
    <row r="14734" spans="1:2">
      <c r="A14734" s="59"/>
      <c r="B14734"/>
    </row>
    <row r="14735" spans="1:2">
      <c r="A14735" s="59"/>
      <c r="B14735"/>
    </row>
    <row r="14736" spans="1:2">
      <c r="A14736" s="59"/>
      <c r="B14736"/>
    </row>
    <row r="14737" spans="1:2">
      <c r="A14737" s="59"/>
      <c r="B14737"/>
    </row>
    <row r="14738" spans="1:2">
      <c r="A14738" s="59"/>
      <c r="B14738"/>
    </row>
    <row r="14739" spans="1:2">
      <c r="A14739" s="59"/>
      <c r="B14739"/>
    </row>
    <row r="14740" spans="1:2">
      <c r="A14740" s="59"/>
      <c r="B14740"/>
    </row>
    <row r="14741" spans="1:2">
      <c r="A14741" s="59"/>
      <c r="B14741"/>
    </row>
    <row r="14742" spans="1:2">
      <c r="A14742" s="59"/>
      <c r="B14742"/>
    </row>
    <row r="14743" spans="1:2">
      <c r="A14743" s="59"/>
      <c r="B14743"/>
    </row>
    <row r="14744" spans="1:2">
      <c r="A14744" s="59"/>
      <c r="B14744"/>
    </row>
    <row r="14745" spans="1:2">
      <c r="A14745" s="59"/>
      <c r="B14745"/>
    </row>
    <row r="14746" spans="1:2">
      <c r="A14746" s="59"/>
      <c r="B14746"/>
    </row>
    <row r="14747" spans="1:2">
      <c r="A14747" s="59"/>
      <c r="B14747"/>
    </row>
    <row r="14748" spans="1:2">
      <c r="A14748" s="59"/>
      <c r="B14748"/>
    </row>
    <row r="14749" spans="1:2">
      <c r="A14749" s="59"/>
      <c r="B14749"/>
    </row>
    <row r="14750" spans="1:2">
      <c r="A14750" s="59"/>
      <c r="B14750"/>
    </row>
    <row r="14751" spans="1:2">
      <c r="A14751" s="59"/>
      <c r="B14751"/>
    </row>
    <row r="14752" spans="1:2">
      <c r="A14752" s="59"/>
      <c r="B14752"/>
    </row>
    <row r="14753" spans="1:2">
      <c r="A14753" s="59"/>
      <c r="B14753"/>
    </row>
    <row r="14754" spans="1:2">
      <c r="A14754" s="59"/>
      <c r="B14754"/>
    </row>
    <row r="14755" spans="1:2">
      <c r="A14755" s="59"/>
      <c r="B14755"/>
    </row>
    <row r="14756" spans="1:2">
      <c r="A14756" s="59"/>
      <c r="B14756"/>
    </row>
    <row r="14757" spans="1:2">
      <c r="A14757" s="59"/>
      <c r="B14757"/>
    </row>
    <row r="14758" spans="1:2">
      <c r="A14758" s="59"/>
      <c r="B14758"/>
    </row>
    <row r="14759" spans="1:2">
      <c r="A14759" s="59"/>
      <c r="B14759"/>
    </row>
    <row r="14760" spans="1:2">
      <c r="A14760" s="59"/>
      <c r="B14760"/>
    </row>
    <row r="14761" spans="1:2">
      <c r="A14761" s="59"/>
      <c r="B14761"/>
    </row>
    <row r="14762" spans="1:2">
      <c r="A14762" s="59"/>
      <c r="B14762"/>
    </row>
    <row r="14763" spans="1:2">
      <c r="A14763" s="59"/>
      <c r="B14763"/>
    </row>
    <row r="14764" spans="1:2">
      <c r="A14764" s="59"/>
      <c r="B14764"/>
    </row>
    <row r="14765" spans="1:2">
      <c r="A14765" s="59"/>
      <c r="B14765"/>
    </row>
    <row r="14766" spans="1:2">
      <c r="A14766" s="59"/>
      <c r="B14766"/>
    </row>
    <row r="14767" spans="1:2">
      <c r="A14767" s="59"/>
      <c r="B14767"/>
    </row>
    <row r="14768" spans="1:2">
      <c r="A14768" s="59"/>
      <c r="B14768"/>
    </row>
    <row r="14769" spans="1:2">
      <c r="A14769" s="59"/>
      <c r="B14769"/>
    </row>
    <row r="14770" spans="1:2">
      <c r="A14770" s="59"/>
      <c r="B14770"/>
    </row>
    <row r="14771" spans="1:2">
      <c r="A14771" s="59"/>
      <c r="B14771"/>
    </row>
    <row r="14772" spans="1:2">
      <c r="A14772" s="59"/>
      <c r="B14772"/>
    </row>
    <row r="14773" spans="1:2">
      <c r="A14773" s="59"/>
      <c r="B14773"/>
    </row>
    <row r="14774" spans="1:2">
      <c r="A14774" s="59"/>
      <c r="B14774"/>
    </row>
    <row r="14775" spans="1:2">
      <c r="A14775" s="59"/>
      <c r="B14775"/>
    </row>
    <row r="14776" spans="1:2">
      <c r="A14776" s="59"/>
      <c r="B14776"/>
    </row>
    <row r="14777" spans="1:2">
      <c r="A14777" s="59"/>
      <c r="B14777"/>
    </row>
    <row r="14778" spans="1:2">
      <c r="A14778" s="59"/>
      <c r="B14778"/>
    </row>
    <row r="14779" spans="1:2">
      <c r="A14779" s="59"/>
      <c r="B14779"/>
    </row>
    <row r="14780" spans="1:2">
      <c r="A14780" s="59"/>
      <c r="B14780"/>
    </row>
    <row r="14781" spans="1:2">
      <c r="A14781" s="59"/>
      <c r="B14781"/>
    </row>
    <row r="14782" spans="1:2">
      <c r="A14782" s="59"/>
      <c r="B14782"/>
    </row>
    <row r="14783" spans="1:2">
      <c r="A14783" s="59"/>
      <c r="B14783"/>
    </row>
    <row r="14784" spans="1:2">
      <c r="A14784" s="59"/>
      <c r="B14784"/>
    </row>
    <row r="14785" spans="1:2">
      <c r="A14785" s="59"/>
      <c r="B14785"/>
    </row>
    <row r="14786" spans="1:2">
      <c r="A14786" s="59"/>
      <c r="B14786"/>
    </row>
    <row r="14787" spans="1:2">
      <c r="A14787" s="59"/>
      <c r="B14787"/>
    </row>
    <row r="14788" spans="1:2">
      <c r="A14788" s="59"/>
      <c r="B14788"/>
    </row>
    <row r="14789" spans="1:2">
      <c r="A14789" s="59"/>
      <c r="B14789"/>
    </row>
    <row r="14790" spans="1:2">
      <c r="A14790" s="59"/>
      <c r="B14790"/>
    </row>
    <row r="14791" spans="1:2">
      <c r="A14791" s="59"/>
      <c r="B14791"/>
    </row>
    <row r="14792" spans="1:2">
      <c r="A14792" s="59"/>
      <c r="B14792"/>
    </row>
    <row r="14793" spans="1:2">
      <c r="A14793" s="59"/>
      <c r="B14793"/>
    </row>
    <row r="14794" spans="1:2">
      <c r="A14794" s="59"/>
      <c r="B14794"/>
    </row>
    <row r="14795" spans="1:2">
      <c r="A14795" s="59"/>
      <c r="B14795"/>
    </row>
    <row r="14796" spans="1:2">
      <c r="A14796" s="59"/>
      <c r="B14796"/>
    </row>
    <row r="14797" spans="1:2">
      <c r="A14797" s="59"/>
      <c r="B14797"/>
    </row>
    <row r="14798" spans="1:2">
      <c r="A14798" s="59"/>
      <c r="B14798"/>
    </row>
    <row r="14799" spans="1:2">
      <c r="A14799" s="59"/>
      <c r="B14799"/>
    </row>
    <row r="14800" spans="1:2">
      <c r="A14800" s="59"/>
      <c r="B14800"/>
    </row>
    <row r="14801" spans="1:2">
      <c r="A14801" s="59"/>
      <c r="B14801"/>
    </row>
    <row r="14802" spans="1:2">
      <c r="A14802" s="59"/>
      <c r="B14802"/>
    </row>
    <row r="14803" spans="1:2">
      <c r="A14803" s="59"/>
      <c r="B14803"/>
    </row>
    <row r="14804" spans="1:2">
      <c r="A14804" s="59"/>
      <c r="B14804"/>
    </row>
    <row r="14805" spans="1:2">
      <c r="A14805" s="59"/>
      <c r="B14805"/>
    </row>
    <row r="14806" spans="1:2">
      <c r="A14806" s="59"/>
      <c r="B14806"/>
    </row>
    <row r="14807" spans="1:2">
      <c r="A14807" s="59"/>
      <c r="B14807"/>
    </row>
    <row r="14808" spans="1:2">
      <c r="A14808" s="59"/>
      <c r="B14808"/>
    </row>
    <row r="14809" spans="1:2">
      <c r="A14809" s="59"/>
      <c r="B14809"/>
    </row>
    <row r="14810" spans="1:2">
      <c r="A14810" s="59"/>
      <c r="B14810"/>
    </row>
    <row r="14811" spans="1:2">
      <c r="A14811" s="59"/>
      <c r="B14811"/>
    </row>
    <row r="14812" spans="1:2">
      <c r="A14812" s="59"/>
      <c r="B14812"/>
    </row>
    <row r="14813" spans="1:2">
      <c r="A14813" s="59"/>
      <c r="B14813"/>
    </row>
    <row r="14814" spans="1:2">
      <c r="A14814" s="59"/>
      <c r="B14814"/>
    </row>
    <row r="14815" spans="1:2">
      <c r="A14815" s="59"/>
      <c r="B14815"/>
    </row>
    <row r="14816" spans="1:2">
      <c r="A14816" s="59"/>
      <c r="B14816"/>
    </row>
    <row r="14817" spans="1:2">
      <c r="A14817" s="59"/>
      <c r="B14817"/>
    </row>
    <row r="14818" spans="1:2">
      <c r="A14818" s="59"/>
      <c r="B14818"/>
    </row>
    <row r="14819" spans="1:2">
      <c r="A14819" s="59"/>
      <c r="B14819"/>
    </row>
    <row r="14820" spans="1:2">
      <c r="A14820" s="59"/>
      <c r="B14820"/>
    </row>
    <row r="14821" spans="1:2">
      <c r="A14821" s="59"/>
      <c r="B14821"/>
    </row>
    <row r="14822" spans="1:2">
      <c r="A14822" s="59"/>
      <c r="B14822"/>
    </row>
    <row r="14823" spans="1:2">
      <c r="A14823" s="59"/>
      <c r="B14823"/>
    </row>
    <row r="14824" spans="1:2">
      <c r="A14824" s="59"/>
      <c r="B14824"/>
    </row>
    <row r="14825" spans="1:2">
      <c r="A14825" s="59"/>
      <c r="B14825"/>
    </row>
    <row r="14826" spans="1:2">
      <c r="A14826" s="59"/>
      <c r="B14826"/>
    </row>
    <row r="14827" spans="1:2">
      <c r="A14827" s="59"/>
      <c r="B14827"/>
    </row>
    <row r="14828" spans="1:2">
      <c r="A14828" s="59"/>
      <c r="B14828"/>
    </row>
    <row r="14829" spans="1:2">
      <c r="A14829" s="59"/>
      <c r="B14829"/>
    </row>
    <row r="14830" spans="1:2">
      <c r="A14830" s="59"/>
      <c r="B14830"/>
    </row>
    <row r="14831" spans="1:2">
      <c r="A14831" s="59"/>
      <c r="B14831"/>
    </row>
    <row r="14832" spans="1:2">
      <c r="A14832" s="59"/>
      <c r="B14832"/>
    </row>
    <row r="14833" spans="1:2">
      <c r="A14833" s="59"/>
      <c r="B14833"/>
    </row>
    <row r="14834" spans="1:2">
      <c r="A14834" s="59"/>
      <c r="B14834"/>
    </row>
    <row r="14835" spans="1:2">
      <c r="A14835" s="59"/>
      <c r="B14835"/>
    </row>
    <row r="14836" spans="1:2">
      <c r="A14836" s="59"/>
      <c r="B14836"/>
    </row>
    <row r="14837" spans="1:2">
      <c r="A14837" s="59"/>
      <c r="B14837"/>
    </row>
    <row r="14838" spans="1:2">
      <c r="A14838" s="59"/>
      <c r="B14838"/>
    </row>
    <row r="14839" spans="1:2">
      <c r="A14839" s="59"/>
      <c r="B14839"/>
    </row>
    <row r="14840" spans="1:2">
      <c r="A14840" s="59"/>
      <c r="B14840"/>
    </row>
    <row r="14841" spans="1:2">
      <c r="A14841" s="59"/>
      <c r="B14841"/>
    </row>
    <row r="14842" spans="1:2">
      <c r="A14842" s="59"/>
      <c r="B14842"/>
    </row>
    <row r="14843" spans="1:2">
      <c r="A14843" s="59"/>
      <c r="B14843"/>
    </row>
    <row r="14844" spans="1:2">
      <c r="A14844" s="59"/>
      <c r="B14844"/>
    </row>
    <row r="14845" spans="1:2">
      <c r="A14845" s="59"/>
      <c r="B14845"/>
    </row>
    <row r="14846" spans="1:2">
      <c r="A14846" s="59"/>
      <c r="B14846"/>
    </row>
    <row r="14847" spans="1:2">
      <c r="A14847" s="59"/>
      <c r="B14847"/>
    </row>
    <row r="14848" spans="1:2">
      <c r="A14848" s="59"/>
      <c r="B14848"/>
    </row>
    <row r="14849" spans="1:2">
      <c r="A14849" s="59"/>
      <c r="B14849"/>
    </row>
    <row r="14850" spans="1:2">
      <c r="A14850" s="59"/>
      <c r="B14850"/>
    </row>
    <row r="14851" spans="1:2">
      <c r="A14851" s="59"/>
      <c r="B14851"/>
    </row>
    <row r="14852" spans="1:2">
      <c r="A14852" s="59"/>
      <c r="B14852"/>
    </row>
    <row r="14853" spans="1:2">
      <c r="A14853" s="59"/>
      <c r="B14853"/>
    </row>
    <row r="14854" spans="1:2">
      <c r="A14854" s="59"/>
      <c r="B14854"/>
    </row>
    <row r="14855" spans="1:2">
      <c r="A14855" s="59"/>
      <c r="B14855"/>
    </row>
    <row r="14856" spans="1:2">
      <c r="A14856" s="59"/>
      <c r="B14856"/>
    </row>
    <row r="14857" spans="1:2">
      <c r="A14857" s="59"/>
      <c r="B14857"/>
    </row>
    <row r="14858" spans="1:2">
      <c r="A14858" s="59"/>
      <c r="B14858"/>
    </row>
    <row r="14859" spans="1:2">
      <c r="A14859" s="59"/>
      <c r="B14859"/>
    </row>
    <row r="14860" spans="1:2">
      <c r="A14860" s="59"/>
      <c r="B14860"/>
    </row>
    <row r="14861" spans="1:2">
      <c r="A14861" s="59"/>
      <c r="B14861"/>
    </row>
    <row r="14862" spans="1:2">
      <c r="A14862" s="59"/>
      <c r="B14862"/>
    </row>
    <row r="14863" spans="1:2">
      <c r="A14863" s="59"/>
      <c r="B14863"/>
    </row>
    <row r="14864" spans="1:2">
      <c r="A14864" s="59"/>
      <c r="B14864"/>
    </row>
    <row r="14865" spans="1:2">
      <c r="A14865" s="59"/>
      <c r="B14865"/>
    </row>
    <row r="14866" spans="1:2">
      <c r="A14866" s="59"/>
      <c r="B14866"/>
    </row>
    <row r="14867" spans="1:2">
      <c r="A14867" s="59"/>
      <c r="B14867"/>
    </row>
    <row r="14868" spans="1:2">
      <c r="A14868" s="59"/>
      <c r="B14868"/>
    </row>
    <row r="14869" spans="1:2">
      <c r="A14869" s="59"/>
      <c r="B14869"/>
    </row>
    <row r="14870" spans="1:2">
      <c r="A14870" s="59"/>
      <c r="B14870"/>
    </row>
    <row r="14871" spans="1:2">
      <c r="A14871" s="59"/>
      <c r="B14871"/>
    </row>
    <row r="14872" spans="1:2">
      <c r="A14872" s="59"/>
      <c r="B14872"/>
    </row>
    <row r="14873" spans="1:2">
      <c r="A14873" s="59"/>
      <c r="B14873"/>
    </row>
    <row r="14874" spans="1:2">
      <c r="A14874" s="59"/>
      <c r="B14874"/>
    </row>
    <row r="14875" spans="1:2">
      <c r="A14875" s="59"/>
      <c r="B14875"/>
    </row>
    <row r="14876" spans="1:2">
      <c r="A14876" s="59"/>
      <c r="B14876"/>
    </row>
    <row r="14877" spans="1:2">
      <c r="A14877" s="59"/>
      <c r="B14877"/>
    </row>
    <row r="14878" spans="1:2">
      <c r="A14878" s="59"/>
      <c r="B14878"/>
    </row>
    <row r="14879" spans="1:2">
      <c r="A14879" s="59"/>
      <c r="B14879"/>
    </row>
    <row r="14880" spans="1:2">
      <c r="A14880" s="59"/>
      <c r="B14880"/>
    </row>
    <row r="14881" spans="1:2">
      <c r="A14881" s="59"/>
      <c r="B14881"/>
    </row>
    <row r="14882" spans="1:2">
      <c r="A14882" s="59"/>
      <c r="B14882"/>
    </row>
    <row r="14883" spans="1:2">
      <c r="A14883" s="59"/>
      <c r="B14883"/>
    </row>
    <row r="14884" spans="1:2">
      <c r="A14884" s="59"/>
      <c r="B14884"/>
    </row>
    <row r="14885" spans="1:2">
      <c r="A14885" s="59"/>
      <c r="B14885"/>
    </row>
    <row r="14886" spans="1:2">
      <c r="A14886" s="59"/>
      <c r="B14886"/>
    </row>
    <row r="14887" spans="1:2">
      <c r="A14887" s="59"/>
      <c r="B14887"/>
    </row>
    <row r="14888" spans="1:2">
      <c r="A14888" s="59"/>
      <c r="B14888"/>
    </row>
    <row r="14889" spans="1:2">
      <c r="A14889" s="59"/>
      <c r="B14889"/>
    </row>
    <row r="14890" spans="1:2">
      <c r="A14890" s="59"/>
      <c r="B14890"/>
    </row>
    <row r="14891" spans="1:2">
      <c r="A14891" s="59"/>
      <c r="B14891"/>
    </row>
    <row r="14892" spans="1:2">
      <c r="A14892" s="59"/>
      <c r="B14892"/>
    </row>
    <row r="14893" spans="1:2">
      <c r="A14893" s="59"/>
      <c r="B14893"/>
    </row>
    <row r="14894" spans="1:2">
      <c r="A14894" s="59"/>
      <c r="B14894"/>
    </row>
    <row r="14895" spans="1:2">
      <c r="A14895" s="59"/>
      <c r="B14895"/>
    </row>
    <row r="14896" spans="1:2">
      <c r="A14896" s="59"/>
      <c r="B14896"/>
    </row>
    <row r="14897" spans="1:2">
      <c r="A14897" s="59"/>
      <c r="B14897"/>
    </row>
    <row r="14898" spans="1:2">
      <c r="A14898" s="59"/>
      <c r="B14898"/>
    </row>
    <row r="14899" spans="1:2">
      <c r="A14899" s="59"/>
      <c r="B14899"/>
    </row>
    <row r="14900" spans="1:2">
      <c r="A14900" s="59"/>
      <c r="B14900"/>
    </row>
    <row r="14901" spans="1:2">
      <c r="A14901" s="59"/>
      <c r="B14901"/>
    </row>
    <row r="14902" spans="1:2">
      <c r="A14902" s="59"/>
      <c r="B14902"/>
    </row>
    <row r="14903" spans="1:2">
      <c r="A14903" s="59"/>
      <c r="B14903"/>
    </row>
    <row r="14904" spans="1:2">
      <c r="A14904" s="59"/>
      <c r="B14904"/>
    </row>
    <row r="14905" spans="1:2">
      <c r="A14905" s="59"/>
      <c r="B14905"/>
    </row>
    <row r="14906" spans="1:2">
      <c r="A14906" s="59"/>
      <c r="B14906"/>
    </row>
    <row r="14907" spans="1:2">
      <c r="A14907" s="59"/>
      <c r="B14907"/>
    </row>
    <row r="14908" spans="1:2">
      <c r="A14908" s="59"/>
      <c r="B14908"/>
    </row>
    <row r="14909" spans="1:2">
      <c r="A14909" s="59"/>
      <c r="B14909"/>
    </row>
    <row r="14910" spans="1:2">
      <c r="A14910" s="59"/>
      <c r="B14910"/>
    </row>
    <row r="14911" spans="1:2">
      <c r="A14911" s="59"/>
      <c r="B14911"/>
    </row>
    <row r="14912" spans="1:2">
      <c r="A14912" s="59"/>
      <c r="B14912"/>
    </row>
    <row r="14913" spans="1:2">
      <c r="A14913" s="59"/>
      <c r="B14913"/>
    </row>
    <row r="14914" spans="1:2">
      <c r="A14914" s="59"/>
      <c r="B14914"/>
    </row>
    <row r="14915" spans="1:2">
      <c r="A14915" s="59"/>
      <c r="B14915"/>
    </row>
    <row r="14916" spans="1:2">
      <c r="A14916" s="59"/>
      <c r="B14916"/>
    </row>
    <row r="14917" spans="1:2">
      <c r="A14917" s="59"/>
      <c r="B14917"/>
    </row>
    <row r="14918" spans="1:2">
      <c r="A14918" s="59"/>
      <c r="B14918"/>
    </row>
    <row r="14919" spans="1:2">
      <c r="A14919" s="59"/>
      <c r="B14919"/>
    </row>
    <row r="14920" spans="1:2">
      <c r="A14920" s="59"/>
      <c r="B14920"/>
    </row>
    <row r="14921" spans="1:2">
      <c r="A14921" s="59"/>
      <c r="B14921"/>
    </row>
    <row r="14922" spans="1:2">
      <c r="A14922" s="59"/>
      <c r="B14922"/>
    </row>
    <row r="14923" spans="1:2">
      <c r="A14923" s="59"/>
      <c r="B14923"/>
    </row>
    <row r="14924" spans="1:2">
      <c r="A14924" s="59"/>
      <c r="B14924"/>
    </row>
    <row r="14925" spans="1:2">
      <c r="A14925" s="59"/>
      <c r="B14925"/>
    </row>
    <row r="14926" spans="1:2">
      <c r="A14926" s="59"/>
      <c r="B14926"/>
    </row>
    <row r="14927" spans="1:2">
      <c r="A14927" s="59"/>
      <c r="B14927"/>
    </row>
    <row r="14928" spans="1:2">
      <c r="A14928" s="59"/>
      <c r="B14928"/>
    </row>
    <row r="14929" spans="1:2">
      <c r="A14929" s="59"/>
      <c r="B14929"/>
    </row>
    <row r="14930" spans="1:2">
      <c r="A14930" s="59"/>
      <c r="B14930"/>
    </row>
    <row r="14931" spans="1:2">
      <c r="A14931" s="59"/>
      <c r="B14931"/>
    </row>
    <row r="14932" spans="1:2">
      <c r="A14932" s="59"/>
      <c r="B14932"/>
    </row>
    <row r="14933" spans="1:2">
      <c r="A14933" s="59"/>
      <c r="B14933"/>
    </row>
    <row r="14934" spans="1:2">
      <c r="A14934" s="59"/>
      <c r="B14934"/>
    </row>
    <row r="14935" spans="1:2">
      <c r="A14935" s="59"/>
      <c r="B14935"/>
    </row>
    <row r="14936" spans="1:2">
      <c r="A14936" s="59"/>
      <c r="B14936"/>
    </row>
    <row r="14937" spans="1:2">
      <c r="A14937" s="59"/>
      <c r="B14937"/>
    </row>
    <row r="14938" spans="1:2">
      <c r="A14938" s="59"/>
      <c r="B14938"/>
    </row>
    <row r="14939" spans="1:2">
      <c r="A14939" s="59"/>
      <c r="B14939"/>
    </row>
    <row r="14940" spans="1:2">
      <c r="A14940" s="59"/>
      <c r="B14940"/>
    </row>
    <row r="14941" spans="1:2">
      <c r="A14941" s="59"/>
      <c r="B14941"/>
    </row>
    <row r="14942" spans="1:2">
      <c r="A14942" s="59"/>
      <c r="B14942"/>
    </row>
    <row r="14943" spans="1:2">
      <c r="A14943" s="59"/>
      <c r="B14943"/>
    </row>
    <row r="14944" spans="1:2">
      <c r="A14944" s="59"/>
      <c r="B14944"/>
    </row>
    <row r="14945" spans="1:2">
      <c r="A14945" s="59"/>
      <c r="B14945"/>
    </row>
    <row r="14946" spans="1:2">
      <c r="A14946" s="59"/>
      <c r="B14946"/>
    </row>
    <row r="14947" spans="1:2">
      <c r="A14947" s="59"/>
      <c r="B14947"/>
    </row>
    <row r="14948" spans="1:2">
      <c r="A14948" s="59"/>
      <c r="B14948"/>
    </row>
    <row r="14949" spans="1:2">
      <c r="A14949" s="59"/>
      <c r="B14949"/>
    </row>
    <row r="14950" spans="1:2">
      <c r="A14950" s="59"/>
      <c r="B14950"/>
    </row>
    <row r="14951" spans="1:2">
      <c r="A14951" s="59"/>
      <c r="B14951"/>
    </row>
    <row r="14952" spans="1:2">
      <c r="A14952" s="59"/>
      <c r="B14952"/>
    </row>
    <row r="14953" spans="1:2">
      <c r="A14953" s="59"/>
      <c r="B14953"/>
    </row>
    <row r="14954" spans="1:2">
      <c r="A14954" s="59"/>
      <c r="B14954"/>
    </row>
    <row r="14955" spans="1:2">
      <c r="A14955" s="59"/>
      <c r="B14955"/>
    </row>
    <row r="14956" spans="1:2">
      <c r="A14956" s="59"/>
      <c r="B14956"/>
    </row>
    <row r="14957" spans="1:2">
      <c r="A14957" s="59"/>
      <c r="B14957"/>
    </row>
    <row r="14958" spans="1:2">
      <c r="A14958" s="59"/>
      <c r="B14958"/>
    </row>
    <row r="14959" spans="1:2">
      <c r="A14959" s="59"/>
      <c r="B14959"/>
    </row>
    <row r="14960" spans="1:2">
      <c r="A14960" s="59"/>
      <c r="B14960"/>
    </row>
    <row r="14961" spans="1:2">
      <c r="A14961" s="59"/>
      <c r="B14961"/>
    </row>
    <row r="14962" spans="1:2">
      <c r="A14962" s="59"/>
      <c r="B14962"/>
    </row>
    <row r="14963" spans="1:2">
      <c r="A14963" s="59"/>
      <c r="B14963"/>
    </row>
    <row r="14964" spans="1:2">
      <c r="A14964" s="59"/>
      <c r="B14964"/>
    </row>
    <row r="14965" spans="1:2">
      <c r="A14965" s="59"/>
      <c r="B14965"/>
    </row>
    <row r="14966" spans="1:2">
      <c r="A14966" s="59"/>
      <c r="B14966"/>
    </row>
    <row r="14967" spans="1:2">
      <c r="A14967" s="59"/>
      <c r="B14967"/>
    </row>
    <row r="14968" spans="1:2">
      <c r="A14968" s="59"/>
      <c r="B14968"/>
    </row>
    <row r="14969" spans="1:2">
      <c r="A14969" s="59"/>
      <c r="B14969"/>
    </row>
    <row r="14970" spans="1:2">
      <c r="A14970" s="59"/>
      <c r="B14970"/>
    </row>
    <row r="14971" spans="1:2">
      <c r="A14971" s="59"/>
      <c r="B14971"/>
    </row>
    <row r="14972" spans="1:2">
      <c r="A14972" s="59"/>
      <c r="B14972"/>
    </row>
    <row r="14973" spans="1:2">
      <c r="A14973" s="59"/>
      <c r="B14973"/>
    </row>
    <row r="14974" spans="1:2">
      <c r="A14974" s="59"/>
      <c r="B14974"/>
    </row>
    <row r="14975" spans="1:2">
      <c r="A14975" s="59"/>
      <c r="B14975"/>
    </row>
    <row r="14976" spans="1:2">
      <c r="A14976" s="59"/>
      <c r="B14976"/>
    </row>
    <row r="14977" spans="1:2">
      <c r="A14977" s="59"/>
      <c r="B14977"/>
    </row>
    <row r="14978" spans="1:2">
      <c r="A14978" s="59"/>
      <c r="B14978"/>
    </row>
    <row r="14979" spans="1:2">
      <c r="A14979" s="59"/>
      <c r="B14979"/>
    </row>
    <row r="14980" spans="1:2">
      <c r="A14980" s="59"/>
      <c r="B14980"/>
    </row>
    <row r="14981" spans="1:2">
      <c r="A14981" s="59"/>
      <c r="B14981"/>
    </row>
    <row r="14982" spans="1:2">
      <c r="A14982" s="59"/>
      <c r="B14982"/>
    </row>
    <row r="14983" spans="1:2">
      <c r="A14983" s="59"/>
      <c r="B14983"/>
    </row>
    <row r="14984" spans="1:2">
      <c r="A14984" s="59"/>
      <c r="B14984"/>
    </row>
    <row r="14985" spans="1:2">
      <c r="A14985" s="59"/>
      <c r="B14985"/>
    </row>
    <row r="14986" spans="1:2">
      <c r="A14986" s="59"/>
      <c r="B14986"/>
    </row>
    <row r="14987" spans="1:2">
      <c r="A14987" s="59"/>
      <c r="B14987"/>
    </row>
    <row r="14988" spans="1:2">
      <c r="A14988" s="59"/>
      <c r="B14988"/>
    </row>
    <row r="14989" spans="1:2">
      <c r="A14989" s="59"/>
      <c r="B14989"/>
    </row>
    <row r="14990" spans="1:2">
      <c r="A14990" s="59"/>
      <c r="B14990"/>
    </row>
    <row r="14991" spans="1:2">
      <c r="A14991" s="59"/>
      <c r="B14991"/>
    </row>
    <row r="14992" spans="1:2">
      <c r="A14992" s="59"/>
      <c r="B14992"/>
    </row>
    <row r="14993" spans="1:2">
      <c r="A14993" s="59"/>
      <c r="B14993"/>
    </row>
    <row r="14994" spans="1:2">
      <c r="A14994" s="59"/>
      <c r="B14994"/>
    </row>
    <row r="14995" spans="1:2">
      <c r="A14995" s="59"/>
      <c r="B14995"/>
    </row>
    <row r="14996" spans="1:2">
      <c r="A14996" s="59"/>
      <c r="B14996"/>
    </row>
    <row r="14997" spans="1:2">
      <c r="A14997" s="59"/>
      <c r="B14997"/>
    </row>
    <row r="14998" spans="1:2">
      <c r="A14998" s="59"/>
      <c r="B14998"/>
    </row>
    <row r="14999" spans="1:2">
      <c r="A14999" s="59"/>
      <c r="B14999"/>
    </row>
    <row r="15000" spans="1:2">
      <c r="A15000" s="59"/>
      <c r="B15000"/>
    </row>
    <row r="15001" spans="1:2">
      <c r="A15001" s="59"/>
      <c r="B15001"/>
    </row>
    <row r="15002" spans="1:2">
      <c r="A15002" s="59"/>
      <c r="B15002"/>
    </row>
    <row r="15003" spans="1:2">
      <c r="A15003" s="59"/>
      <c r="B15003"/>
    </row>
    <row r="15004" spans="1:2">
      <c r="A15004" s="59"/>
      <c r="B15004"/>
    </row>
    <row r="15005" spans="1:2">
      <c r="A15005" s="59"/>
      <c r="B15005"/>
    </row>
    <row r="15006" spans="1:2">
      <c r="A15006" s="59"/>
      <c r="B15006"/>
    </row>
    <row r="15007" spans="1:2">
      <c r="A15007" s="59"/>
      <c r="B15007"/>
    </row>
    <row r="15008" spans="1:2">
      <c r="A15008" s="59"/>
      <c r="B15008"/>
    </row>
    <row r="15009" spans="1:2">
      <c r="A15009" s="59"/>
      <c r="B15009"/>
    </row>
    <row r="15010" spans="1:2">
      <c r="A15010" s="59"/>
      <c r="B15010"/>
    </row>
    <row r="15011" spans="1:2">
      <c r="A15011" s="59"/>
      <c r="B15011"/>
    </row>
    <row r="15012" spans="1:2">
      <c r="A15012" s="59"/>
      <c r="B15012"/>
    </row>
    <row r="15013" spans="1:2">
      <c r="A15013" s="59"/>
      <c r="B15013"/>
    </row>
    <row r="15014" spans="1:2">
      <c r="A15014" s="59"/>
      <c r="B15014"/>
    </row>
    <row r="15015" spans="1:2">
      <c r="A15015" s="59"/>
      <c r="B15015"/>
    </row>
    <row r="15016" spans="1:2">
      <c r="A15016" s="59"/>
      <c r="B15016"/>
    </row>
    <row r="15017" spans="1:2">
      <c r="A15017" s="59"/>
      <c r="B15017"/>
    </row>
    <row r="15018" spans="1:2">
      <c r="A15018" s="59"/>
      <c r="B15018"/>
    </row>
    <row r="15019" spans="1:2">
      <c r="A15019" s="59"/>
      <c r="B15019"/>
    </row>
    <row r="15020" spans="1:2">
      <c r="A15020" s="59"/>
      <c r="B15020"/>
    </row>
    <row r="15021" spans="1:2">
      <c r="A15021" s="59"/>
      <c r="B15021"/>
    </row>
    <row r="15022" spans="1:2">
      <c r="A15022" s="59"/>
      <c r="B15022"/>
    </row>
    <row r="15023" spans="1:2">
      <c r="A15023" s="59"/>
      <c r="B15023"/>
    </row>
    <row r="15024" spans="1:2">
      <c r="A15024" s="59"/>
      <c r="B15024"/>
    </row>
    <row r="15025" spans="1:2">
      <c r="A15025" s="59"/>
      <c r="B15025"/>
    </row>
    <row r="15026" spans="1:2">
      <c r="A15026" s="59"/>
      <c r="B15026"/>
    </row>
    <row r="15027" spans="1:2">
      <c r="A15027" s="59"/>
      <c r="B15027"/>
    </row>
    <row r="15028" spans="1:2">
      <c r="A15028" s="59"/>
      <c r="B15028"/>
    </row>
    <row r="15029" spans="1:2">
      <c r="A15029" s="59"/>
      <c r="B15029"/>
    </row>
    <row r="15030" spans="1:2">
      <c r="A15030" s="59"/>
      <c r="B15030"/>
    </row>
    <row r="15031" spans="1:2">
      <c r="A15031" s="59"/>
      <c r="B15031"/>
    </row>
    <row r="15032" spans="1:2">
      <c r="A15032" s="59"/>
      <c r="B15032"/>
    </row>
    <row r="15033" spans="1:2">
      <c r="A15033" s="59"/>
      <c r="B15033"/>
    </row>
    <row r="15034" spans="1:2">
      <c r="A15034" s="59"/>
      <c r="B15034"/>
    </row>
    <row r="15035" spans="1:2">
      <c r="A15035" s="59"/>
      <c r="B15035"/>
    </row>
    <row r="15036" spans="1:2">
      <c r="A15036" s="59"/>
      <c r="B15036"/>
    </row>
    <row r="15037" spans="1:2">
      <c r="A15037" s="59"/>
      <c r="B15037"/>
    </row>
    <row r="15038" spans="1:2">
      <c r="A15038" s="59"/>
      <c r="B15038"/>
    </row>
    <row r="15039" spans="1:2">
      <c r="A15039" s="59"/>
      <c r="B15039"/>
    </row>
    <row r="15040" spans="1:2">
      <c r="A15040" s="59"/>
      <c r="B15040"/>
    </row>
    <row r="15041" spans="1:2">
      <c r="A15041" s="59"/>
      <c r="B15041"/>
    </row>
    <row r="15042" spans="1:2">
      <c r="A15042" s="59"/>
      <c r="B15042"/>
    </row>
    <row r="15043" spans="1:2">
      <c r="A15043" s="59"/>
      <c r="B15043"/>
    </row>
    <row r="15044" spans="1:2">
      <c r="A15044" s="59"/>
      <c r="B15044"/>
    </row>
    <row r="15045" spans="1:2">
      <c r="A15045" s="59"/>
      <c r="B15045"/>
    </row>
    <row r="15046" spans="1:2">
      <c r="A15046" s="59"/>
      <c r="B15046"/>
    </row>
    <row r="15047" spans="1:2">
      <c r="A15047" s="59"/>
      <c r="B15047"/>
    </row>
    <row r="15048" spans="1:2">
      <c r="A15048" s="59"/>
      <c r="B15048"/>
    </row>
    <row r="15049" spans="1:2">
      <c r="A15049" s="59"/>
      <c r="B15049"/>
    </row>
    <row r="15050" spans="1:2">
      <c r="A15050" s="59"/>
      <c r="B15050"/>
    </row>
    <row r="15051" spans="1:2">
      <c r="A15051" s="59"/>
      <c r="B15051"/>
    </row>
    <row r="15052" spans="1:2">
      <c r="A15052" s="59"/>
      <c r="B15052"/>
    </row>
    <row r="15053" spans="1:2">
      <c r="A15053" s="59"/>
      <c r="B15053"/>
    </row>
    <row r="15054" spans="1:2">
      <c r="A15054" s="59"/>
      <c r="B15054"/>
    </row>
    <row r="15055" spans="1:2">
      <c r="A15055" s="59"/>
      <c r="B15055"/>
    </row>
    <row r="15056" spans="1:2">
      <c r="A15056" s="59"/>
      <c r="B15056"/>
    </row>
    <row r="15057" spans="1:2">
      <c r="A15057" s="59"/>
      <c r="B15057"/>
    </row>
    <row r="15058" spans="1:2">
      <c r="A15058" s="59"/>
      <c r="B15058"/>
    </row>
    <row r="15059" spans="1:2">
      <c r="A15059" s="59"/>
      <c r="B15059"/>
    </row>
    <row r="15060" spans="1:2">
      <c r="A15060" s="59"/>
      <c r="B15060"/>
    </row>
    <row r="15061" spans="1:2">
      <c r="A15061" s="59"/>
      <c r="B15061"/>
    </row>
    <row r="15062" spans="1:2">
      <c r="A15062" s="59"/>
      <c r="B15062"/>
    </row>
    <row r="15063" spans="1:2">
      <c r="A15063" s="59"/>
      <c r="B15063"/>
    </row>
    <row r="15064" spans="1:2">
      <c r="A15064" s="59"/>
      <c r="B15064"/>
    </row>
    <row r="15065" spans="1:2">
      <c r="A15065" s="59"/>
      <c r="B15065"/>
    </row>
    <row r="15066" spans="1:2">
      <c r="A15066" s="59"/>
      <c r="B15066"/>
    </row>
    <row r="15067" spans="1:2">
      <c r="A15067" s="59"/>
      <c r="B15067"/>
    </row>
    <row r="15068" spans="1:2">
      <c r="A15068" s="59"/>
      <c r="B15068"/>
    </row>
    <row r="15069" spans="1:2">
      <c r="A15069" s="59"/>
      <c r="B15069"/>
    </row>
    <row r="15070" spans="1:2">
      <c r="A15070" s="59"/>
      <c r="B15070"/>
    </row>
    <row r="15071" spans="1:2">
      <c r="A15071" s="59"/>
      <c r="B15071"/>
    </row>
    <row r="15072" spans="1:2">
      <c r="A15072" s="59"/>
      <c r="B15072"/>
    </row>
    <row r="15073" spans="1:2">
      <c r="A15073" s="59"/>
      <c r="B15073"/>
    </row>
    <row r="15074" spans="1:2">
      <c r="A15074" s="59"/>
      <c r="B15074"/>
    </row>
    <row r="15075" spans="1:2">
      <c r="A15075" s="59"/>
      <c r="B15075"/>
    </row>
    <row r="15076" spans="1:2">
      <c r="A15076" s="59"/>
      <c r="B15076"/>
    </row>
    <row r="15077" spans="1:2">
      <c r="A15077" s="59"/>
      <c r="B15077"/>
    </row>
    <row r="15078" spans="1:2">
      <c r="A15078" s="59"/>
      <c r="B15078"/>
    </row>
    <row r="15079" spans="1:2">
      <c r="A15079" s="59"/>
      <c r="B15079"/>
    </row>
    <row r="15080" spans="1:2">
      <c r="A15080" s="59"/>
      <c r="B15080"/>
    </row>
    <row r="15081" spans="1:2">
      <c r="A15081" s="59"/>
      <c r="B15081"/>
    </row>
    <row r="15082" spans="1:2">
      <c r="A15082" s="59"/>
      <c r="B15082"/>
    </row>
    <row r="15083" spans="1:2">
      <c r="A15083" s="59"/>
      <c r="B15083"/>
    </row>
    <row r="15084" spans="1:2">
      <c r="A15084" s="59"/>
      <c r="B15084"/>
    </row>
    <row r="15085" spans="1:2">
      <c r="A15085" s="59"/>
      <c r="B15085"/>
    </row>
    <row r="15086" spans="1:2">
      <c r="A15086" s="59"/>
      <c r="B15086"/>
    </row>
    <row r="15087" spans="1:2">
      <c r="A15087" s="59"/>
      <c r="B15087"/>
    </row>
    <row r="15088" spans="1:2">
      <c r="A15088" s="59"/>
      <c r="B15088"/>
    </row>
    <row r="15089" spans="1:2">
      <c r="A15089" s="59"/>
      <c r="B15089"/>
    </row>
    <row r="15090" spans="1:2">
      <c r="A15090" s="59"/>
      <c r="B15090"/>
    </row>
    <row r="15091" spans="1:2">
      <c r="A15091" s="59"/>
      <c r="B15091"/>
    </row>
    <row r="15092" spans="1:2">
      <c r="A15092" s="59"/>
      <c r="B15092"/>
    </row>
    <row r="15093" spans="1:2">
      <c r="A15093" s="59"/>
      <c r="B15093"/>
    </row>
    <row r="15094" spans="1:2">
      <c r="A15094" s="59"/>
      <c r="B15094"/>
    </row>
    <row r="15095" spans="1:2">
      <c r="A15095" s="59"/>
      <c r="B15095"/>
    </row>
    <row r="15096" spans="1:2">
      <c r="A15096" s="59"/>
      <c r="B15096"/>
    </row>
    <row r="15097" spans="1:2">
      <c r="A15097" s="59"/>
      <c r="B15097"/>
    </row>
    <row r="15098" spans="1:2">
      <c r="A15098" s="59"/>
      <c r="B15098"/>
    </row>
    <row r="15099" spans="1:2">
      <c r="A15099" s="59"/>
      <c r="B15099"/>
    </row>
    <row r="15100" spans="1:2">
      <c r="A15100" s="59"/>
      <c r="B15100"/>
    </row>
    <row r="15101" spans="1:2">
      <c r="A15101" s="59"/>
      <c r="B15101"/>
    </row>
    <row r="15102" spans="1:2">
      <c r="A15102" s="59"/>
      <c r="B15102"/>
    </row>
    <row r="15103" spans="1:2">
      <c r="A15103" s="59"/>
      <c r="B15103"/>
    </row>
    <row r="15104" spans="1:2">
      <c r="A15104" s="59"/>
      <c r="B15104"/>
    </row>
    <row r="15105" spans="1:2">
      <c r="A15105" s="59"/>
      <c r="B15105"/>
    </row>
    <row r="15106" spans="1:2">
      <c r="A15106" s="59"/>
      <c r="B15106"/>
    </row>
    <row r="15107" spans="1:2">
      <c r="A15107" s="59"/>
      <c r="B15107"/>
    </row>
    <row r="15108" spans="1:2">
      <c r="A15108" s="59"/>
      <c r="B15108"/>
    </row>
    <row r="15109" spans="1:2">
      <c r="A15109" s="59"/>
      <c r="B15109"/>
    </row>
    <row r="15110" spans="1:2">
      <c r="A15110" s="59"/>
      <c r="B15110"/>
    </row>
    <row r="15111" spans="1:2">
      <c r="A15111" s="59"/>
      <c r="B15111"/>
    </row>
    <row r="15112" spans="1:2">
      <c r="A15112" s="59"/>
      <c r="B15112"/>
    </row>
    <row r="15113" spans="1:2">
      <c r="A15113" s="59"/>
      <c r="B15113"/>
    </row>
    <row r="15114" spans="1:2">
      <c r="A15114" s="59"/>
      <c r="B15114"/>
    </row>
    <row r="15115" spans="1:2">
      <c r="A15115" s="59"/>
      <c r="B15115"/>
    </row>
    <row r="15116" spans="1:2">
      <c r="A15116" s="59"/>
      <c r="B15116"/>
    </row>
    <row r="15117" spans="1:2">
      <c r="A15117" s="59"/>
      <c r="B15117"/>
    </row>
    <row r="15118" spans="1:2">
      <c r="A15118" s="59"/>
      <c r="B15118"/>
    </row>
    <row r="15119" spans="1:2">
      <c r="A15119" s="59"/>
      <c r="B15119"/>
    </row>
    <row r="15120" spans="1:2">
      <c r="A15120" s="59"/>
      <c r="B15120"/>
    </row>
    <row r="15121" spans="1:2">
      <c r="A15121" s="59"/>
      <c r="B15121"/>
    </row>
    <row r="15122" spans="1:2">
      <c r="A15122" s="59"/>
      <c r="B15122"/>
    </row>
    <row r="15123" spans="1:2">
      <c r="A15123" s="59"/>
      <c r="B15123"/>
    </row>
    <row r="15124" spans="1:2">
      <c r="A15124" s="59"/>
      <c r="B15124"/>
    </row>
    <row r="15125" spans="1:2">
      <c r="A15125" s="59"/>
      <c r="B15125"/>
    </row>
    <row r="15126" spans="1:2">
      <c r="A15126" s="59"/>
      <c r="B15126"/>
    </row>
    <row r="15127" spans="1:2">
      <c r="A15127" s="59"/>
      <c r="B15127"/>
    </row>
    <row r="15128" spans="1:2">
      <c r="A15128" s="59"/>
      <c r="B15128"/>
    </row>
    <row r="15129" spans="1:2">
      <c r="A15129" s="59"/>
      <c r="B15129"/>
    </row>
    <row r="15130" spans="1:2">
      <c r="A15130" s="59"/>
      <c r="B15130"/>
    </row>
    <row r="15131" spans="1:2">
      <c r="A15131" s="59"/>
      <c r="B15131"/>
    </row>
    <row r="15132" spans="1:2">
      <c r="A15132" s="59"/>
      <c r="B15132"/>
    </row>
    <row r="15133" spans="1:2">
      <c r="A15133" s="59"/>
      <c r="B15133"/>
    </row>
    <row r="15134" spans="1:2">
      <c r="A15134" s="59"/>
      <c r="B15134"/>
    </row>
    <row r="15135" spans="1:2">
      <c r="A15135" s="59"/>
      <c r="B15135"/>
    </row>
    <row r="15136" spans="1:2">
      <c r="A15136" s="59"/>
      <c r="B15136"/>
    </row>
    <row r="15137" spans="1:2">
      <c r="A15137" s="59"/>
      <c r="B15137"/>
    </row>
    <row r="15138" spans="1:2">
      <c r="A15138" s="59"/>
      <c r="B15138"/>
    </row>
    <row r="15139" spans="1:2">
      <c r="A15139" s="59"/>
      <c r="B15139"/>
    </row>
    <row r="15140" spans="1:2">
      <c r="A15140" s="59"/>
      <c r="B15140"/>
    </row>
    <row r="15141" spans="1:2">
      <c r="A15141" s="59"/>
      <c r="B15141"/>
    </row>
    <row r="15142" spans="1:2">
      <c r="A15142" s="59"/>
      <c r="B15142"/>
    </row>
    <row r="15143" spans="1:2">
      <c r="A15143" s="59"/>
      <c r="B15143"/>
    </row>
    <row r="15144" spans="1:2">
      <c r="A15144" s="59"/>
      <c r="B15144"/>
    </row>
    <row r="15145" spans="1:2">
      <c r="A15145" s="59"/>
      <c r="B15145"/>
    </row>
    <row r="15146" spans="1:2">
      <c r="A15146" s="59"/>
      <c r="B15146"/>
    </row>
    <row r="15147" spans="1:2">
      <c r="A15147" s="59"/>
      <c r="B15147"/>
    </row>
    <row r="15148" spans="1:2">
      <c r="A15148" s="59"/>
      <c r="B15148"/>
    </row>
    <row r="15149" spans="1:2">
      <c r="A15149" s="59"/>
      <c r="B15149"/>
    </row>
    <row r="15150" spans="1:2">
      <c r="A15150" s="59"/>
      <c r="B15150"/>
    </row>
    <row r="15151" spans="1:2">
      <c r="A15151" s="59"/>
      <c r="B15151"/>
    </row>
    <row r="15152" spans="1:2">
      <c r="A15152" s="59"/>
      <c r="B15152"/>
    </row>
    <row r="15153" spans="1:2">
      <c r="A15153" s="59"/>
      <c r="B15153"/>
    </row>
    <row r="15154" spans="1:2">
      <c r="A15154" s="59"/>
      <c r="B15154"/>
    </row>
    <row r="15155" spans="1:2">
      <c r="A15155" s="59"/>
      <c r="B15155"/>
    </row>
    <row r="15156" spans="1:2">
      <c r="A15156" s="59"/>
      <c r="B15156"/>
    </row>
    <row r="15157" spans="1:2">
      <c r="A15157" s="59"/>
      <c r="B15157"/>
    </row>
    <row r="15158" spans="1:2">
      <c r="A15158" s="59"/>
      <c r="B15158"/>
    </row>
    <row r="15159" spans="1:2">
      <c r="A15159" s="59"/>
      <c r="B15159"/>
    </row>
    <row r="15160" spans="1:2">
      <c r="A15160" s="59"/>
      <c r="B15160"/>
    </row>
    <row r="15161" spans="1:2">
      <c r="A15161" s="59"/>
      <c r="B15161"/>
    </row>
    <row r="15162" spans="1:2">
      <c r="A15162" s="59"/>
      <c r="B15162"/>
    </row>
    <row r="15163" spans="1:2">
      <c r="A15163" s="59"/>
      <c r="B15163"/>
    </row>
    <row r="15164" spans="1:2">
      <c r="A15164" s="59"/>
      <c r="B15164"/>
    </row>
    <row r="15165" spans="1:2">
      <c r="A15165" s="59"/>
      <c r="B15165"/>
    </row>
    <row r="15166" spans="1:2">
      <c r="A15166" s="59"/>
      <c r="B15166"/>
    </row>
    <row r="15167" spans="1:2">
      <c r="A15167" s="59"/>
      <c r="B15167"/>
    </row>
    <row r="15168" spans="1:2">
      <c r="A15168" s="59"/>
      <c r="B15168"/>
    </row>
    <row r="15169" spans="1:2">
      <c r="A15169" s="59"/>
      <c r="B15169"/>
    </row>
    <row r="15170" spans="1:2">
      <c r="A15170" s="59"/>
      <c r="B15170"/>
    </row>
    <row r="15171" spans="1:2">
      <c r="A15171" s="59"/>
      <c r="B15171"/>
    </row>
    <row r="15172" spans="1:2">
      <c r="A15172" s="59"/>
      <c r="B15172"/>
    </row>
    <row r="15173" spans="1:2">
      <c r="A15173" s="59"/>
      <c r="B15173"/>
    </row>
    <row r="15174" spans="1:2">
      <c r="A15174" s="59"/>
      <c r="B15174"/>
    </row>
    <row r="15175" spans="1:2">
      <c r="A15175" s="59"/>
      <c r="B15175"/>
    </row>
    <row r="15176" spans="1:2">
      <c r="A15176" s="59"/>
      <c r="B15176"/>
    </row>
    <row r="15177" spans="1:2">
      <c r="A15177" s="59"/>
      <c r="B15177"/>
    </row>
    <row r="15178" spans="1:2">
      <c r="A15178" s="59"/>
      <c r="B15178"/>
    </row>
    <row r="15179" spans="1:2">
      <c r="A15179" s="59"/>
      <c r="B15179"/>
    </row>
    <row r="15180" spans="1:2">
      <c r="A15180" s="59"/>
      <c r="B15180"/>
    </row>
    <row r="15181" spans="1:2">
      <c r="A15181" s="59"/>
      <c r="B15181"/>
    </row>
    <row r="15182" spans="1:2">
      <c r="A15182" s="59"/>
      <c r="B15182"/>
    </row>
    <row r="15183" spans="1:2">
      <c r="A15183" s="59"/>
      <c r="B15183"/>
    </row>
    <row r="15184" spans="1:2">
      <c r="A15184" s="59"/>
      <c r="B15184"/>
    </row>
    <row r="15185" spans="1:2">
      <c r="A15185" s="59"/>
      <c r="B15185"/>
    </row>
    <row r="15186" spans="1:2">
      <c r="A15186" s="59"/>
      <c r="B15186"/>
    </row>
    <row r="15187" spans="1:2">
      <c r="A15187" s="59"/>
      <c r="B15187"/>
    </row>
    <row r="15188" spans="1:2">
      <c r="A15188" s="59"/>
      <c r="B15188"/>
    </row>
    <row r="15189" spans="1:2">
      <c r="A15189" s="59"/>
      <c r="B15189"/>
    </row>
    <row r="15190" spans="1:2">
      <c r="A15190" s="59"/>
      <c r="B15190"/>
    </row>
    <row r="15191" spans="1:2">
      <c r="A15191" s="59"/>
      <c r="B15191"/>
    </row>
    <row r="15192" spans="1:2">
      <c r="A15192" s="59"/>
      <c r="B15192"/>
    </row>
    <row r="15193" spans="1:2">
      <c r="A15193" s="59"/>
      <c r="B15193"/>
    </row>
    <row r="15194" spans="1:2">
      <c r="A15194" s="59"/>
      <c r="B15194"/>
    </row>
    <row r="15195" spans="1:2">
      <c r="A15195" s="59"/>
      <c r="B15195"/>
    </row>
    <row r="15196" spans="1:2">
      <c r="A15196" s="59"/>
      <c r="B15196"/>
    </row>
    <row r="15197" spans="1:2">
      <c r="A15197" s="59"/>
      <c r="B15197"/>
    </row>
    <row r="15198" spans="1:2">
      <c r="A15198" s="59"/>
      <c r="B15198"/>
    </row>
    <row r="15199" spans="1:2">
      <c r="A15199" s="59"/>
      <c r="B15199"/>
    </row>
    <row r="15200" spans="1:2">
      <c r="A15200" s="59"/>
      <c r="B15200"/>
    </row>
    <row r="15201" spans="1:2">
      <c r="A15201" s="59"/>
      <c r="B15201"/>
    </row>
    <row r="15202" spans="1:2">
      <c r="A15202" s="59"/>
      <c r="B15202"/>
    </row>
    <row r="15203" spans="1:2">
      <c r="A15203" s="59"/>
      <c r="B15203"/>
    </row>
    <row r="15204" spans="1:2">
      <c r="A15204" s="59"/>
      <c r="B15204"/>
    </row>
    <row r="15205" spans="1:2">
      <c r="A15205" s="59"/>
      <c r="B15205"/>
    </row>
    <row r="15206" spans="1:2">
      <c r="A15206" s="59"/>
      <c r="B15206"/>
    </row>
    <row r="15207" spans="1:2">
      <c r="A15207" s="59"/>
      <c r="B15207"/>
    </row>
    <row r="15208" spans="1:2">
      <c r="A15208" s="59"/>
      <c r="B15208"/>
    </row>
    <row r="15209" spans="1:2">
      <c r="A15209" s="59"/>
      <c r="B15209"/>
    </row>
    <row r="15210" spans="1:2">
      <c r="A15210" s="59"/>
      <c r="B15210"/>
    </row>
    <row r="15211" spans="1:2">
      <c r="A15211" s="59"/>
      <c r="B15211"/>
    </row>
    <row r="15212" spans="1:2">
      <c r="A15212" s="59"/>
      <c r="B15212"/>
    </row>
    <row r="15213" spans="1:2">
      <c r="A15213" s="59"/>
      <c r="B15213"/>
    </row>
    <row r="15214" spans="1:2">
      <c r="A15214" s="59"/>
      <c r="B15214"/>
    </row>
    <row r="15215" spans="1:2">
      <c r="A15215" s="59"/>
      <c r="B15215"/>
    </row>
    <row r="15216" spans="1:2">
      <c r="A15216" s="59"/>
      <c r="B15216"/>
    </row>
    <row r="15217" spans="1:2">
      <c r="A15217" s="59"/>
      <c r="B15217"/>
    </row>
    <row r="15218" spans="1:2">
      <c r="A15218" s="59"/>
      <c r="B15218"/>
    </row>
    <row r="15219" spans="1:2">
      <c r="A15219" s="59"/>
      <c r="B15219"/>
    </row>
    <row r="15220" spans="1:2">
      <c r="A15220" s="59"/>
      <c r="B15220"/>
    </row>
    <row r="15221" spans="1:2">
      <c r="A15221" s="59"/>
      <c r="B15221"/>
    </row>
    <row r="15222" spans="1:2">
      <c r="A15222" s="59"/>
      <c r="B15222"/>
    </row>
    <row r="15223" spans="1:2">
      <c r="A15223" s="59"/>
      <c r="B15223"/>
    </row>
    <row r="15224" spans="1:2">
      <c r="A15224" s="59"/>
      <c r="B15224"/>
    </row>
    <row r="15225" spans="1:2">
      <c r="A15225" s="59"/>
      <c r="B15225"/>
    </row>
    <row r="15226" spans="1:2">
      <c r="A15226" s="59"/>
      <c r="B15226"/>
    </row>
    <row r="15227" spans="1:2">
      <c r="A15227" s="59"/>
      <c r="B15227"/>
    </row>
    <row r="15228" spans="1:2">
      <c r="A15228" s="59"/>
      <c r="B15228"/>
    </row>
    <row r="15229" spans="1:2">
      <c r="A15229" s="59"/>
      <c r="B15229"/>
    </row>
    <row r="15230" spans="1:2">
      <c r="A15230" s="59"/>
      <c r="B15230"/>
    </row>
    <row r="15231" spans="1:2">
      <c r="A15231" s="59"/>
      <c r="B15231"/>
    </row>
    <row r="15232" spans="1:2">
      <c r="A15232" s="59"/>
      <c r="B15232"/>
    </row>
    <row r="15233" spans="1:2">
      <c r="A15233" s="59"/>
      <c r="B15233"/>
    </row>
    <row r="15234" spans="1:2">
      <c r="A15234" s="59"/>
      <c r="B15234"/>
    </row>
    <row r="15235" spans="1:2">
      <c r="A15235" s="59"/>
      <c r="B15235"/>
    </row>
    <row r="15236" spans="1:2">
      <c r="A15236" s="59"/>
      <c r="B15236"/>
    </row>
    <row r="15237" spans="1:2">
      <c r="A15237" s="59"/>
      <c r="B15237"/>
    </row>
    <row r="15238" spans="1:2">
      <c r="A15238" s="59"/>
      <c r="B15238"/>
    </row>
    <row r="15239" spans="1:2">
      <c r="A15239" s="59"/>
      <c r="B15239"/>
    </row>
    <row r="15240" spans="1:2">
      <c r="A15240" s="59"/>
      <c r="B15240"/>
    </row>
    <row r="15241" spans="1:2">
      <c r="A15241" s="59"/>
      <c r="B15241"/>
    </row>
    <row r="15242" spans="1:2">
      <c r="A15242" s="59"/>
      <c r="B15242"/>
    </row>
    <row r="15243" spans="1:2">
      <c r="A15243" s="59"/>
      <c r="B15243"/>
    </row>
    <row r="15244" spans="1:2">
      <c r="A15244" s="59"/>
      <c r="B15244"/>
    </row>
    <row r="15245" spans="1:2">
      <c r="A15245" s="59"/>
      <c r="B15245"/>
    </row>
    <row r="15246" spans="1:2">
      <c r="A15246" s="59"/>
      <c r="B15246"/>
    </row>
    <row r="15247" spans="1:2">
      <c r="A15247" s="59"/>
      <c r="B15247"/>
    </row>
    <row r="15248" spans="1:2">
      <c r="A15248" s="59"/>
      <c r="B15248"/>
    </row>
    <row r="15249" spans="1:2">
      <c r="A15249" s="59"/>
      <c r="B15249"/>
    </row>
    <row r="15250" spans="1:2">
      <c r="A15250" s="59"/>
      <c r="B15250"/>
    </row>
    <row r="15251" spans="1:2">
      <c r="A15251" s="59"/>
      <c r="B15251"/>
    </row>
    <row r="15252" spans="1:2">
      <c r="A15252" s="59"/>
      <c r="B15252"/>
    </row>
    <row r="15253" spans="1:2">
      <c r="A15253" s="59"/>
      <c r="B15253"/>
    </row>
    <row r="15254" spans="1:2">
      <c r="A15254" s="59"/>
      <c r="B15254"/>
    </row>
    <row r="15255" spans="1:2">
      <c r="A15255" s="59"/>
      <c r="B15255"/>
    </row>
    <row r="15256" spans="1:2">
      <c r="A15256" s="59"/>
      <c r="B15256"/>
    </row>
    <row r="15257" spans="1:2">
      <c r="A15257" s="59"/>
      <c r="B15257"/>
    </row>
    <row r="15258" spans="1:2">
      <c r="A15258" s="59"/>
      <c r="B15258"/>
    </row>
    <row r="15259" spans="1:2">
      <c r="A15259" s="59"/>
      <c r="B15259"/>
    </row>
    <row r="15260" spans="1:2">
      <c r="A15260" s="59"/>
      <c r="B15260"/>
    </row>
    <row r="15261" spans="1:2">
      <c r="A15261" s="59"/>
      <c r="B15261"/>
    </row>
    <row r="15262" spans="1:2">
      <c r="A15262" s="59"/>
      <c r="B15262"/>
    </row>
    <row r="15263" spans="1:2">
      <c r="A15263" s="59"/>
      <c r="B15263"/>
    </row>
    <row r="15264" spans="1:2">
      <c r="A15264" s="59"/>
      <c r="B15264"/>
    </row>
    <row r="15265" spans="1:2">
      <c r="A15265" s="59"/>
      <c r="B15265"/>
    </row>
    <row r="15266" spans="1:2">
      <c r="A15266" s="59"/>
      <c r="B15266"/>
    </row>
    <row r="15267" spans="1:2">
      <c r="A15267" s="59"/>
      <c r="B15267"/>
    </row>
    <row r="15268" spans="1:2">
      <c r="A15268" s="59"/>
      <c r="B15268"/>
    </row>
    <row r="15269" spans="1:2">
      <c r="A15269" s="59"/>
      <c r="B15269"/>
    </row>
    <row r="15270" spans="1:2">
      <c r="A15270" s="59"/>
      <c r="B15270"/>
    </row>
    <row r="15271" spans="1:2">
      <c r="A15271" s="59"/>
      <c r="B15271"/>
    </row>
    <row r="15272" spans="1:2">
      <c r="A15272" s="59"/>
      <c r="B15272"/>
    </row>
    <row r="15273" spans="1:2">
      <c r="A15273" s="59"/>
      <c r="B15273"/>
    </row>
    <row r="15274" spans="1:2">
      <c r="A15274" s="59"/>
      <c r="B15274"/>
    </row>
    <row r="15275" spans="1:2">
      <c r="A15275" s="59"/>
      <c r="B15275"/>
    </row>
    <row r="15276" spans="1:2">
      <c r="A15276" s="59"/>
      <c r="B15276"/>
    </row>
    <row r="15277" spans="1:2">
      <c r="A15277" s="59"/>
      <c r="B15277"/>
    </row>
    <row r="15278" spans="1:2">
      <c r="A15278" s="59"/>
      <c r="B15278"/>
    </row>
    <row r="15279" spans="1:2">
      <c r="A15279" s="59"/>
      <c r="B15279"/>
    </row>
    <row r="15280" spans="1:2">
      <c r="A15280" s="59"/>
      <c r="B15280"/>
    </row>
    <row r="15281" spans="1:2">
      <c r="A15281" s="59"/>
      <c r="B15281"/>
    </row>
    <row r="15282" spans="1:2">
      <c r="A15282" s="59"/>
      <c r="B15282"/>
    </row>
    <row r="15283" spans="1:2">
      <c r="A15283" s="59"/>
      <c r="B15283"/>
    </row>
    <row r="15284" spans="1:2">
      <c r="A15284" s="59"/>
      <c r="B15284"/>
    </row>
    <row r="15285" spans="1:2">
      <c r="A15285" s="59"/>
      <c r="B15285"/>
    </row>
    <row r="15286" spans="1:2">
      <c r="A15286" s="59"/>
      <c r="B15286"/>
    </row>
    <row r="15287" spans="1:2">
      <c r="A15287" s="59"/>
      <c r="B15287"/>
    </row>
    <row r="15288" spans="1:2">
      <c r="A15288" s="59"/>
      <c r="B15288"/>
    </row>
    <row r="15289" spans="1:2">
      <c r="A15289" s="59"/>
      <c r="B15289"/>
    </row>
    <row r="15290" spans="1:2">
      <c r="A15290" s="59"/>
      <c r="B15290"/>
    </row>
    <row r="15291" spans="1:2">
      <c r="A15291" s="59"/>
      <c r="B15291"/>
    </row>
    <row r="15292" spans="1:2">
      <c r="A15292" s="59"/>
      <c r="B15292"/>
    </row>
    <row r="15293" spans="1:2">
      <c r="A15293" s="59"/>
      <c r="B15293"/>
    </row>
    <row r="15294" spans="1:2">
      <c r="A15294" s="59"/>
      <c r="B15294"/>
    </row>
    <row r="15295" spans="1:2">
      <c r="A15295" s="59"/>
      <c r="B15295"/>
    </row>
    <row r="15296" spans="1:2">
      <c r="A15296" s="59"/>
      <c r="B15296"/>
    </row>
    <row r="15297" spans="1:2">
      <c r="A15297" s="59"/>
      <c r="B15297"/>
    </row>
    <row r="15298" spans="1:2">
      <c r="A15298" s="59"/>
      <c r="B15298"/>
    </row>
    <row r="15299" spans="1:2">
      <c r="A15299" s="59"/>
      <c r="B15299"/>
    </row>
    <row r="15300" spans="1:2">
      <c r="A15300" s="59"/>
      <c r="B15300"/>
    </row>
    <row r="15301" spans="1:2">
      <c r="A15301" s="59"/>
      <c r="B15301"/>
    </row>
    <row r="15302" spans="1:2">
      <c r="A15302" s="59"/>
      <c r="B15302"/>
    </row>
    <row r="15303" spans="1:2">
      <c r="A15303" s="59"/>
      <c r="B15303"/>
    </row>
    <row r="15304" spans="1:2">
      <c r="A15304" s="59"/>
      <c r="B15304"/>
    </row>
    <row r="15305" spans="1:2">
      <c r="A15305" s="59"/>
      <c r="B15305"/>
    </row>
    <row r="15306" spans="1:2">
      <c r="A15306" s="59"/>
      <c r="B15306"/>
    </row>
    <row r="15307" spans="1:2">
      <c r="A15307" s="59"/>
      <c r="B15307"/>
    </row>
    <row r="15308" spans="1:2">
      <c r="A15308" s="59"/>
      <c r="B15308"/>
    </row>
    <row r="15309" spans="1:2">
      <c r="A15309" s="59"/>
      <c r="B15309"/>
    </row>
    <row r="15310" spans="1:2">
      <c r="A15310" s="59"/>
      <c r="B15310"/>
    </row>
    <row r="15311" spans="1:2">
      <c r="A15311" s="59"/>
      <c r="B15311"/>
    </row>
    <row r="15312" spans="1:2">
      <c r="A15312" s="59"/>
      <c r="B15312"/>
    </row>
    <row r="15313" spans="1:2">
      <c r="A15313" s="59"/>
      <c r="B15313"/>
    </row>
    <row r="15314" spans="1:2">
      <c r="A15314" s="59"/>
      <c r="B15314"/>
    </row>
    <row r="15315" spans="1:2">
      <c r="A15315" s="59"/>
      <c r="B15315"/>
    </row>
    <row r="15316" spans="1:2">
      <c r="A15316" s="59"/>
      <c r="B15316"/>
    </row>
    <row r="15317" spans="1:2">
      <c r="A15317" s="59"/>
      <c r="B15317"/>
    </row>
    <row r="15318" spans="1:2">
      <c r="A15318" s="59"/>
      <c r="B15318"/>
    </row>
    <row r="15319" spans="1:2">
      <c r="A15319" s="59"/>
      <c r="B15319"/>
    </row>
    <row r="15320" spans="1:2">
      <c r="A15320" s="59"/>
      <c r="B15320"/>
    </row>
    <row r="15321" spans="1:2">
      <c r="A15321" s="59"/>
      <c r="B15321"/>
    </row>
    <row r="15322" spans="1:2">
      <c r="A15322" s="59"/>
      <c r="B15322"/>
    </row>
    <row r="15323" spans="1:2">
      <c r="A15323" s="59"/>
      <c r="B15323"/>
    </row>
    <row r="15324" spans="1:2">
      <c r="A15324" s="59"/>
      <c r="B15324"/>
    </row>
    <row r="15325" spans="1:2">
      <c r="A15325" s="59"/>
      <c r="B15325"/>
    </row>
    <row r="15326" spans="1:2">
      <c r="A15326" s="59"/>
      <c r="B15326"/>
    </row>
    <row r="15327" spans="1:2">
      <c r="A15327" s="59"/>
      <c r="B15327"/>
    </row>
    <row r="15328" spans="1:2">
      <c r="A15328" s="59"/>
      <c r="B15328"/>
    </row>
    <row r="15329" spans="1:2">
      <c r="A15329" s="59"/>
      <c r="B15329"/>
    </row>
    <row r="15330" spans="1:2">
      <c r="A15330" s="59"/>
      <c r="B15330"/>
    </row>
    <row r="15331" spans="1:2">
      <c r="A15331" s="59"/>
      <c r="B15331"/>
    </row>
    <row r="15332" spans="1:2">
      <c r="A15332" s="59"/>
      <c r="B15332"/>
    </row>
    <row r="15333" spans="1:2">
      <c r="A15333" s="59"/>
      <c r="B15333"/>
    </row>
    <row r="15334" spans="1:2">
      <c r="A15334" s="59"/>
      <c r="B15334"/>
    </row>
    <row r="15335" spans="1:2">
      <c r="A15335" s="59"/>
      <c r="B15335"/>
    </row>
    <row r="15336" spans="1:2">
      <c r="A15336" s="59"/>
      <c r="B15336"/>
    </row>
    <row r="15337" spans="1:2">
      <c r="A15337" s="59"/>
      <c r="B15337"/>
    </row>
    <row r="15338" spans="1:2">
      <c r="A15338" s="59"/>
      <c r="B15338"/>
    </row>
    <row r="15339" spans="1:2">
      <c r="A15339" s="59"/>
      <c r="B15339"/>
    </row>
    <row r="15340" spans="1:2">
      <c r="A15340" s="59"/>
      <c r="B15340"/>
    </row>
    <row r="15341" spans="1:2">
      <c r="A15341" s="59"/>
      <c r="B15341"/>
    </row>
    <row r="15342" spans="1:2">
      <c r="A15342" s="59"/>
      <c r="B15342"/>
    </row>
    <row r="15343" spans="1:2">
      <c r="A15343" s="59"/>
      <c r="B15343"/>
    </row>
    <row r="15344" spans="1:2">
      <c r="A15344" s="59"/>
      <c r="B15344"/>
    </row>
    <row r="15345" spans="1:2">
      <c r="A15345" s="59"/>
      <c r="B15345"/>
    </row>
    <row r="15346" spans="1:2">
      <c r="A15346" s="59"/>
      <c r="B15346"/>
    </row>
    <row r="15347" spans="1:2">
      <c r="A15347" s="59"/>
      <c r="B15347"/>
    </row>
    <row r="15348" spans="1:2">
      <c r="A15348" s="59"/>
      <c r="B15348"/>
    </row>
    <row r="15349" spans="1:2">
      <c r="A15349" s="59"/>
      <c r="B15349"/>
    </row>
    <row r="15350" spans="1:2">
      <c r="A15350" s="59"/>
      <c r="B15350"/>
    </row>
    <row r="15351" spans="1:2">
      <c r="A15351" s="59"/>
      <c r="B15351"/>
    </row>
    <row r="15352" spans="1:2">
      <c r="A15352" s="59"/>
      <c r="B15352"/>
    </row>
    <row r="15353" spans="1:2">
      <c r="A15353" s="59"/>
      <c r="B15353"/>
    </row>
    <row r="15354" spans="1:2">
      <c r="A15354" s="59"/>
      <c r="B15354"/>
    </row>
    <row r="15355" spans="1:2">
      <c r="A15355" s="59"/>
      <c r="B15355"/>
    </row>
    <row r="15356" spans="1:2">
      <c r="A15356" s="59"/>
      <c r="B15356"/>
    </row>
    <row r="15357" spans="1:2">
      <c r="A15357" s="59"/>
      <c r="B15357"/>
    </row>
    <row r="15358" spans="1:2">
      <c r="A15358" s="59"/>
      <c r="B15358"/>
    </row>
    <row r="15359" spans="1:2">
      <c r="A15359" s="59"/>
      <c r="B15359"/>
    </row>
    <row r="15360" spans="1:2">
      <c r="A15360" s="59"/>
      <c r="B15360"/>
    </row>
    <row r="15361" spans="1:2">
      <c r="A15361" s="59"/>
      <c r="B15361"/>
    </row>
    <row r="15362" spans="1:2">
      <c r="A15362" s="59"/>
      <c r="B15362"/>
    </row>
    <row r="15363" spans="1:2">
      <c r="A15363" s="59"/>
      <c r="B15363"/>
    </row>
    <row r="15364" spans="1:2">
      <c r="A15364" s="59"/>
      <c r="B15364"/>
    </row>
    <row r="15365" spans="1:2">
      <c r="A15365" s="59"/>
      <c r="B15365"/>
    </row>
    <row r="15366" spans="1:2">
      <c r="A15366" s="59"/>
      <c r="B15366"/>
    </row>
    <row r="15367" spans="1:2">
      <c r="A15367" s="59"/>
      <c r="B15367"/>
    </row>
    <row r="15368" spans="1:2">
      <c r="A15368" s="59"/>
      <c r="B15368"/>
    </row>
    <row r="15369" spans="1:2">
      <c r="A15369" s="59"/>
      <c r="B15369"/>
    </row>
    <row r="15370" spans="1:2">
      <c r="A15370" s="59"/>
      <c r="B15370"/>
    </row>
    <row r="15371" spans="1:2">
      <c r="A15371" s="59"/>
      <c r="B15371"/>
    </row>
    <row r="15372" spans="1:2">
      <c r="A15372" s="59"/>
      <c r="B15372"/>
    </row>
    <row r="15373" spans="1:2">
      <c r="A15373" s="59"/>
      <c r="B15373"/>
    </row>
    <row r="15374" spans="1:2">
      <c r="A15374" s="59"/>
      <c r="B15374"/>
    </row>
    <row r="15375" spans="1:2">
      <c r="A15375" s="59"/>
      <c r="B15375"/>
    </row>
    <row r="15376" spans="1:2">
      <c r="A15376" s="59"/>
      <c r="B15376"/>
    </row>
    <row r="15377" spans="1:2">
      <c r="A15377" s="59"/>
      <c r="B15377"/>
    </row>
    <row r="15378" spans="1:2">
      <c r="A15378" s="59"/>
      <c r="B15378"/>
    </row>
    <row r="15379" spans="1:2">
      <c r="A15379" s="59"/>
      <c r="B15379"/>
    </row>
    <row r="15380" spans="1:2">
      <c r="A15380" s="59"/>
      <c r="B15380"/>
    </row>
    <row r="15381" spans="1:2">
      <c r="A15381" s="59"/>
      <c r="B15381"/>
    </row>
    <row r="15382" spans="1:2">
      <c r="A15382" s="59"/>
      <c r="B15382"/>
    </row>
    <row r="15383" spans="1:2">
      <c r="A15383" s="59"/>
      <c r="B15383"/>
    </row>
    <row r="15384" spans="1:2">
      <c r="A15384" s="59"/>
      <c r="B15384"/>
    </row>
    <row r="15385" spans="1:2">
      <c r="A15385" s="59"/>
      <c r="B15385"/>
    </row>
    <row r="15386" spans="1:2">
      <c r="A15386" s="59"/>
      <c r="B15386"/>
    </row>
    <row r="15387" spans="1:2">
      <c r="A15387" s="59"/>
      <c r="B15387"/>
    </row>
    <row r="15388" spans="1:2">
      <c r="A15388" s="59"/>
      <c r="B15388"/>
    </row>
    <row r="15389" spans="1:2">
      <c r="A15389" s="59"/>
      <c r="B15389"/>
    </row>
    <row r="15390" spans="1:2">
      <c r="A15390" s="59"/>
      <c r="B15390"/>
    </row>
    <row r="15391" spans="1:2">
      <c r="A15391" s="59"/>
      <c r="B15391"/>
    </row>
    <row r="15392" spans="1:2">
      <c r="A15392" s="59"/>
      <c r="B15392"/>
    </row>
    <row r="15393" spans="1:2">
      <c r="A15393" s="59"/>
      <c r="B15393"/>
    </row>
    <row r="15394" spans="1:2">
      <c r="A15394" s="59"/>
      <c r="B15394"/>
    </row>
    <row r="15395" spans="1:2">
      <c r="A15395" s="59"/>
      <c r="B15395"/>
    </row>
    <row r="15396" spans="1:2">
      <c r="A15396" s="59"/>
      <c r="B15396"/>
    </row>
    <row r="15397" spans="1:2">
      <c r="A15397" s="59"/>
      <c r="B15397"/>
    </row>
    <row r="15398" spans="1:2">
      <c r="A15398" s="59"/>
      <c r="B15398"/>
    </row>
    <row r="15399" spans="1:2">
      <c r="A15399" s="59"/>
      <c r="B15399"/>
    </row>
    <row r="15400" spans="1:2">
      <c r="A15400" s="59"/>
      <c r="B15400"/>
    </row>
    <row r="15401" spans="1:2">
      <c r="A15401" s="59"/>
      <c r="B15401"/>
    </row>
    <row r="15402" spans="1:2">
      <c r="A15402" s="59"/>
      <c r="B15402"/>
    </row>
    <row r="15403" spans="1:2">
      <c r="A15403" s="59"/>
      <c r="B15403"/>
    </row>
    <row r="15404" spans="1:2">
      <c r="A15404" s="59"/>
      <c r="B15404"/>
    </row>
    <row r="15405" spans="1:2">
      <c r="A15405" s="59"/>
      <c r="B15405"/>
    </row>
    <row r="15406" spans="1:2">
      <c r="A15406" s="59"/>
      <c r="B15406"/>
    </row>
    <row r="15407" spans="1:2">
      <c r="A15407" s="59"/>
      <c r="B15407"/>
    </row>
    <row r="15408" spans="1:2">
      <c r="A15408" s="59"/>
      <c r="B15408"/>
    </row>
    <row r="15409" spans="1:2">
      <c r="A15409" s="59"/>
      <c r="B15409"/>
    </row>
    <row r="15410" spans="1:2">
      <c r="A15410" s="59"/>
      <c r="B15410"/>
    </row>
    <row r="15411" spans="1:2">
      <c r="A15411" s="59"/>
      <c r="B15411"/>
    </row>
    <row r="15412" spans="1:2">
      <c r="A15412" s="59"/>
      <c r="B15412"/>
    </row>
    <row r="15413" spans="1:2">
      <c r="A15413" s="59"/>
      <c r="B15413"/>
    </row>
    <row r="15414" spans="1:2">
      <c r="A15414" s="59"/>
      <c r="B15414"/>
    </row>
    <row r="15415" spans="1:2">
      <c r="A15415" s="59"/>
      <c r="B15415"/>
    </row>
    <row r="15416" spans="1:2">
      <c r="A15416" s="59"/>
      <c r="B15416"/>
    </row>
    <row r="15417" spans="1:2">
      <c r="A15417" s="59"/>
      <c r="B15417"/>
    </row>
    <row r="15418" spans="1:2">
      <c r="A15418" s="59"/>
      <c r="B15418"/>
    </row>
    <row r="15419" spans="1:2">
      <c r="A15419" s="59"/>
      <c r="B15419"/>
    </row>
    <row r="15420" spans="1:2">
      <c r="A15420" s="59"/>
      <c r="B15420"/>
    </row>
    <row r="15421" spans="1:2">
      <c r="A15421" s="59"/>
      <c r="B15421"/>
    </row>
    <row r="15422" spans="1:2">
      <c r="A15422" s="59"/>
      <c r="B15422"/>
    </row>
    <row r="15423" spans="1:2">
      <c r="A15423" s="59"/>
      <c r="B15423"/>
    </row>
    <row r="15424" spans="1:2">
      <c r="A15424" s="59"/>
      <c r="B15424"/>
    </row>
    <row r="15425" spans="1:2">
      <c r="A15425" s="59"/>
      <c r="B15425"/>
    </row>
    <row r="15426" spans="1:2">
      <c r="A15426" s="59"/>
      <c r="B15426"/>
    </row>
    <row r="15427" spans="1:2">
      <c r="A15427" s="59"/>
      <c r="B15427"/>
    </row>
    <row r="15428" spans="1:2">
      <c r="A15428" s="59"/>
      <c r="B15428"/>
    </row>
    <row r="15429" spans="1:2">
      <c r="A15429" s="59"/>
      <c r="B15429"/>
    </row>
    <row r="15430" spans="1:2">
      <c r="A15430" s="59"/>
      <c r="B15430"/>
    </row>
    <row r="15431" spans="1:2">
      <c r="A15431" s="59"/>
      <c r="B15431"/>
    </row>
    <row r="15432" spans="1:2">
      <c r="A15432" s="59"/>
      <c r="B15432"/>
    </row>
    <row r="15433" spans="1:2">
      <c r="A15433" s="59"/>
      <c r="B15433"/>
    </row>
    <row r="15434" spans="1:2">
      <c r="A15434" s="59"/>
      <c r="B15434"/>
    </row>
    <row r="15435" spans="1:2">
      <c r="A15435" s="59"/>
      <c r="B15435"/>
    </row>
    <row r="15436" spans="1:2">
      <c r="A15436" s="59"/>
      <c r="B15436"/>
    </row>
    <row r="15437" spans="1:2">
      <c r="A15437" s="59"/>
      <c r="B15437"/>
    </row>
    <row r="15438" spans="1:2">
      <c r="A15438" s="59"/>
      <c r="B15438"/>
    </row>
    <row r="15439" spans="1:2">
      <c r="A15439" s="59"/>
      <c r="B15439"/>
    </row>
    <row r="15440" spans="1:2">
      <c r="A15440" s="59"/>
      <c r="B15440"/>
    </row>
    <row r="15441" spans="1:2">
      <c r="A15441" s="59"/>
      <c r="B15441"/>
    </row>
    <row r="15442" spans="1:2">
      <c r="A15442" s="59"/>
      <c r="B15442"/>
    </row>
    <row r="15443" spans="1:2">
      <c r="A15443" s="59"/>
      <c r="B15443"/>
    </row>
    <row r="15444" spans="1:2">
      <c r="A15444" s="59"/>
      <c r="B15444"/>
    </row>
    <row r="15445" spans="1:2">
      <c r="A15445" s="59"/>
      <c r="B15445"/>
    </row>
    <row r="15446" spans="1:2">
      <c r="A15446" s="59"/>
      <c r="B15446"/>
    </row>
    <row r="15447" spans="1:2">
      <c r="A15447" s="59"/>
      <c r="B15447"/>
    </row>
    <row r="15448" spans="1:2">
      <c r="A15448" s="59"/>
      <c r="B15448"/>
    </row>
    <row r="15449" spans="1:2">
      <c r="A15449" s="59"/>
      <c r="B15449"/>
    </row>
    <row r="15450" spans="1:2">
      <c r="A15450" s="59"/>
      <c r="B15450"/>
    </row>
    <row r="15451" spans="1:2">
      <c r="A15451" s="59"/>
      <c r="B15451"/>
    </row>
    <row r="15452" spans="1:2">
      <c r="A15452" s="59"/>
      <c r="B15452"/>
    </row>
    <row r="15453" spans="1:2">
      <c r="A15453" s="59"/>
      <c r="B15453"/>
    </row>
    <row r="15454" spans="1:2">
      <c r="A15454" s="59"/>
      <c r="B15454"/>
    </row>
    <row r="15455" spans="1:2">
      <c r="A15455" s="59"/>
      <c r="B15455"/>
    </row>
    <row r="15456" spans="1:2">
      <c r="A15456" s="59"/>
      <c r="B15456"/>
    </row>
    <row r="15457" spans="1:2">
      <c r="A15457" s="59"/>
      <c r="B15457"/>
    </row>
    <row r="15458" spans="1:2">
      <c r="A15458" s="59"/>
      <c r="B15458"/>
    </row>
    <row r="15459" spans="1:2">
      <c r="A15459" s="59"/>
      <c r="B15459"/>
    </row>
    <row r="15460" spans="1:2">
      <c r="A15460" s="59"/>
      <c r="B15460"/>
    </row>
    <row r="15461" spans="1:2">
      <c r="A15461" s="59"/>
      <c r="B15461"/>
    </row>
    <row r="15462" spans="1:2">
      <c r="A15462" s="59"/>
      <c r="B15462"/>
    </row>
    <row r="15463" spans="1:2">
      <c r="A15463" s="59"/>
      <c r="B15463"/>
    </row>
    <row r="15464" spans="1:2">
      <c r="A15464" s="59"/>
      <c r="B15464"/>
    </row>
    <row r="15465" spans="1:2">
      <c r="A15465" s="59"/>
      <c r="B15465"/>
    </row>
    <row r="15466" spans="1:2">
      <c r="A15466" s="59"/>
      <c r="B15466"/>
    </row>
    <row r="15467" spans="1:2">
      <c r="A15467" s="59"/>
      <c r="B15467"/>
    </row>
    <row r="15468" spans="1:2">
      <c r="A15468" s="59"/>
      <c r="B15468"/>
    </row>
    <row r="15469" spans="1:2">
      <c r="A15469" s="59"/>
      <c r="B15469"/>
    </row>
    <row r="15470" spans="1:2">
      <c r="A15470" s="59"/>
      <c r="B15470"/>
    </row>
    <row r="15471" spans="1:2">
      <c r="A15471" s="59"/>
      <c r="B15471"/>
    </row>
    <row r="15472" spans="1:2">
      <c r="A15472" s="59"/>
      <c r="B15472"/>
    </row>
    <row r="15473" spans="1:2">
      <c r="A15473" s="59"/>
      <c r="B15473"/>
    </row>
    <row r="15474" spans="1:2">
      <c r="A15474" s="59"/>
      <c r="B15474"/>
    </row>
    <row r="15475" spans="1:2">
      <c r="A15475" s="59"/>
      <c r="B15475"/>
    </row>
    <row r="15476" spans="1:2">
      <c r="A15476" s="59"/>
      <c r="B15476"/>
    </row>
    <row r="15477" spans="1:2">
      <c r="A15477" s="59"/>
      <c r="B15477"/>
    </row>
    <row r="15478" spans="1:2">
      <c r="A15478" s="59"/>
      <c r="B15478"/>
    </row>
    <row r="15479" spans="1:2">
      <c r="A15479" s="59"/>
      <c r="B15479"/>
    </row>
    <row r="15480" spans="1:2">
      <c r="A15480" s="59"/>
      <c r="B15480"/>
    </row>
    <row r="15481" spans="1:2">
      <c r="A15481" s="59"/>
      <c r="B15481"/>
    </row>
    <row r="15482" spans="1:2">
      <c r="A15482" s="59"/>
      <c r="B15482"/>
    </row>
    <row r="15483" spans="1:2">
      <c r="A15483" s="59"/>
      <c r="B15483"/>
    </row>
    <row r="15484" spans="1:2">
      <c r="A15484" s="59"/>
      <c r="B15484"/>
    </row>
    <row r="15485" spans="1:2">
      <c r="A15485" s="59"/>
      <c r="B15485"/>
    </row>
    <row r="15486" spans="1:2">
      <c r="A15486" s="59"/>
      <c r="B15486"/>
    </row>
    <row r="15487" spans="1:2">
      <c r="A15487" s="59"/>
      <c r="B15487"/>
    </row>
    <row r="15488" spans="1:2">
      <c r="A15488" s="59"/>
      <c r="B15488"/>
    </row>
    <row r="15489" spans="1:2">
      <c r="A15489" s="59"/>
      <c r="B15489"/>
    </row>
    <row r="15490" spans="1:2">
      <c r="A15490" s="59"/>
      <c r="B15490"/>
    </row>
    <row r="15491" spans="1:2">
      <c r="A15491" s="59"/>
      <c r="B15491"/>
    </row>
    <row r="15492" spans="1:2">
      <c r="A15492" s="59"/>
      <c r="B15492"/>
    </row>
    <row r="15493" spans="1:2">
      <c r="A15493" s="59"/>
      <c r="B15493"/>
    </row>
    <row r="15494" spans="1:2">
      <c r="A15494" s="59"/>
      <c r="B15494"/>
    </row>
    <row r="15495" spans="1:2">
      <c r="A15495" s="59"/>
      <c r="B15495"/>
    </row>
    <row r="15496" spans="1:2">
      <c r="A15496" s="59"/>
      <c r="B15496"/>
    </row>
    <row r="15497" spans="1:2">
      <c r="A15497" s="59"/>
      <c r="B15497"/>
    </row>
    <row r="15498" spans="1:2">
      <c r="A15498" s="59"/>
      <c r="B15498"/>
    </row>
    <row r="15499" spans="1:2">
      <c r="A15499" s="59"/>
      <c r="B15499"/>
    </row>
    <row r="15500" spans="1:2">
      <c r="A15500" s="59"/>
      <c r="B15500"/>
    </row>
    <row r="15501" spans="1:2">
      <c r="A15501" s="59"/>
      <c r="B15501"/>
    </row>
    <row r="15502" spans="1:2">
      <c r="A15502" s="59"/>
      <c r="B15502"/>
    </row>
    <row r="15503" spans="1:2">
      <c r="A15503" s="59"/>
      <c r="B15503"/>
    </row>
    <row r="15504" spans="1:2">
      <c r="A15504" s="59"/>
      <c r="B15504"/>
    </row>
    <row r="15505" spans="1:2">
      <c r="A15505" s="59"/>
      <c r="B15505"/>
    </row>
    <row r="15506" spans="1:2">
      <c r="A15506" s="59"/>
      <c r="B15506"/>
    </row>
    <row r="15507" spans="1:2">
      <c r="A15507" s="59"/>
      <c r="B15507"/>
    </row>
    <row r="15508" spans="1:2">
      <c r="A15508" s="59"/>
      <c r="B15508"/>
    </row>
    <row r="15509" spans="1:2">
      <c r="A15509" s="59"/>
      <c r="B15509"/>
    </row>
    <row r="15510" spans="1:2">
      <c r="A15510" s="59"/>
      <c r="B15510"/>
    </row>
    <row r="15511" spans="1:2">
      <c r="A15511" s="59"/>
      <c r="B15511"/>
    </row>
    <row r="15512" spans="1:2">
      <c r="A15512" s="59"/>
      <c r="B15512"/>
    </row>
    <row r="15513" spans="1:2">
      <c r="A15513" s="59"/>
      <c r="B15513"/>
    </row>
    <row r="15514" spans="1:2">
      <c r="A15514" s="59"/>
      <c r="B15514"/>
    </row>
    <row r="15515" spans="1:2">
      <c r="A15515" s="59"/>
      <c r="B15515"/>
    </row>
    <row r="15516" spans="1:2">
      <c r="A15516" s="59"/>
      <c r="B15516"/>
    </row>
    <row r="15517" spans="1:2">
      <c r="A15517" s="59"/>
      <c r="B15517"/>
    </row>
    <row r="15518" spans="1:2">
      <c r="A15518" s="59"/>
      <c r="B15518"/>
    </row>
    <row r="15519" spans="1:2">
      <c r="A15519" s="59"/>
      <c r="B15519"/>
    </row>
    <row r="15520" spans="1:2">
      <c r="A15520" s="59"/>
      <c r="B15520"/>
    </row>
    <row r="15521" spans="1:2">
      <c r="A15521" s="59"/>
      <c r="B15521"/>
    </row>
    <row r="15522" spans="1:2">
      <c r="A15522" s="59"/>
      <c r="B15522"/>
    </row>
    <row r="15523" spans="1:2">
      <c r="A15523" s="59"/>
      <c r="B15523"/>
    </row>
    <row r="15524" spans="1:2">
      <c r="A15524" s="59"/>
      <c r="B15524"/>
    </row>
    <row r="15525" spans="1:2">
      <c r="A15525" s="59"/>
      <c r="B15525"/>
    </row>
    <row r="15526" spans="1:2">
      <c r="A15526" s="59"/>
      <c r="B15526"/>
    </row>
    <row r="15527" spans="1:2">
      <c r="A15527" s="59"/>
      <c r="B15527"/>
    </row>
    <row r="15528" spans="1:2">
      <c r="A15528" s="59"/>
      <c r="B15528"/>
    </row>
    <row r="15529" spans="1:2">
      <c r="A15529" s="59"/>
      <c r="B15529"/>
    </row>
    <row r="15530" spans="1:2">
      <c r="A15530" s="59"/>
      <c r="B15530"/>
    </row>
    <row r="15531" spans="1:2">
      <c r="A15531" s="59"/>
      <c r="B15531"/>
    </row>
    <row r="15532" spans="1:2">
      <c r="A15532" s="59"/>
      <c r="B15532"/>
    </row>
    <row r="15533" spans="1:2">
      <c r="A15533" s="59"/>
      <c r="B15533"/>
    </row>
    <row r="15534" spans="1:2">
      <c r="A15534" s="59"/>
      <c r="B15534"/>
    </row>
    <row r="15535" spans="1:2">
      <c r="A15535" s="59"/>
      <c r="B15535"/>
    </row>
    <row r="15536" spans="1:2">
      <c r="A15536" s="59"/>
      <c r="B15536"/>
    </row>
    <row r="15537" spans="1:2">
      <c r="A15537" s="59"/>
      <c r="B15537"/>
    </row>
    <row r="15538" spans="1:2">
      <c r="A15538" s="59"/>
      <c r="B15538"/>
    </row>
    <row r="15539" spans="1:2">
      <c r="A15539" s="59"/>
      <c r="B15539"/>
    </row>
    <row r="15540" spans="1:2">
      <c r="A15540" s="59"/>
      <c r="B15540"/>
    </row>
    <row r="15541" spans="1:2">
      <c r="A15541" s="59"/>
      <c r="B15541"/>
    </row>
    <row r="15542" spans="1:2">
      <c r="A15542" s="59"/>
      <c r="B15542"/>
    </row>
    <row r="15543" spans="1:2">
      <c r="A15543" s="59"/>
      <c r="B15543"/>
    </row>
    <row r="15544" spans="1:2">
      <c r="A15544" s="59"/>
      <c r="B15544"/>
    </row>
    <row r="15545" spans="1:2">
      <c r="A15545" s="59"/>
      <c r="B15545"/>
    </row>
    <row r="15546" spans="1:2">
      <c r="A15546" s="59"/>
      <c r="B15546"/>
    </row>
    <row r="15547" spans="1:2">
      <c r="A15547" s="59"/>
      <c r="B15547"/>
    </row>
    <row r="15548" spans="1:2">
      <c r="A15548" s="59"/>
      <c r="B15548"/>
    </row>
    <row r="15549" spans="1:2">
      <c r="A15549" s="59"/>
      <c r="B15549"/>
    </row>
    <row r="15550" spans="1:2">
      <c r="A15550" s="59"/>
      <c r="B15550"/>
    </row>
    <row r="15551" spans="1:2">
      <c r="A15551" s="59"/>
      <c r="B15551"/>
    </row>
    <row r="15552" spans="1:2">
      <c r="A15552" s="59"/>
      <c r="B15552"/>
    </row>
    <row r="15553" spans="1:2">
      <c r="A15553" s="59"/>
      <c r="B15553"/>
    </row>
    <row r="15554" spans="1:2">
      <c r="A15554" s="59"/>
      <c r="B15554"/>
    </row>
    <row r="15555" spans="1:2">
      <c r="A15555" s="59"/>
      <c r="B15555"/>
    </row>
    <row r="15556" spans="1:2">
      <c r="A15556" s="59"/>
      <c r="B15556"/>
    </row>
    <row r="15557" spans="1:2">
      <c r="A15557" s="59"/>
      <c r="B15557"/>
    </row>
    <row r="15558" spans="1:2">
      <c r="A15558" s="59"/>
      <c r="B15558"/>
    </row>
    <row r="15559" spans="1:2">
      <c r="A15559" s="59"/>
      <c r="B15559"/>
    </row>
    <row r="15560" spans="1:2">
      <c r="A15560" s="59"/>
      <c r="B15560"/>
    </row>
    <row r="15561" spans="1:2">
      <c r="A15561" s="59"/>
      <c r="B15561"/>
    </row>
    <row r="15562" spans="1:2">
      <c r="A15562" s="59"/>
      <c r="B15562"/>
    </row>
    <row r="15563" spans="1:2">
      <c r="A15563" s="59"/>
      <c r="B15563"/>
    </row>
    <row r="15564" spans="1:2">
      <c r="A15564" s="59"/>
      <c r="B15564"/>
    </row>
    <row r="15565" spans="1:2">
      <c r="A15565" s="59"/>
      <c r="B15565"/>
    </row>
    <row r="15566" spans="1:2">
      <c r="A15566" s="59"/>
      <c r="B15566"/>
    </row>
    <row r="15567" spans="1:2">
      <c r="A15567" s="59"/>
      <c r="B15567"/>
    </row>
    <row r="15568" spans="1:2">
      <c r="A15568" s="59"/>
      <c r="B15568"/>
    </row>
    <row r="15569" spans="1:2">
      <c r="A15569" s="59"/>
      <c r="B15569"/>
    </row>
    <row r="15570" spans="1:2">
      <c r="A15570" s="59"/>
      <c r="B15570"/>
    </row>
    <row r="15571" spans="1:2">
      <c r="A15571" s="59"/>
      <c r="B15571"/>
    </row>
    <row r="15572" spans="1:2">
      <c r="A15572" s="59"/>
      <c r="B15572"/>
    </row>
    <row r="15573" spans="1:2">
      <c r="A15573" s="59"/>
      <c r="B15573"/>
    </row>
    <row r="15574" spans="1:2">
      <c r="A15574" s="59"/>
      <c r="B15574"/>
    </row>
    <row r="15575" spans="1:2">
      <c r="A15575" s="59"/>
      <c r="B15575"/>
    </row>
    <row r="15576" spans="1:2">
      <c r="A15576" s="59"/>
      <c r="B15576"/>
    </row>
    <row r="15577" spans="1:2">
      <c r="A15577" s="59"/>
      <c r="B15577"/>
    </row>
    <row r="15578" spans="1:2">
      <c r="A15578" s="59"/>
      <c r="B15578"/>
    </row>
    <row r="15579" spans="1:2">
      <c r="A15579" s="59"/>
      <c r="B15579"/>
    </row>
    <row r="15580" spans="1:2">
      <c r="A15580" s="59"/>
      <c r="B15580"/>
    </row>
    <row r="15581" spans="1:2">
      <c r="A15581" s="59"/>
      <c r="B15581"/>
    </row>
    <row r="15582" spans="1:2">
      <c r="A15582" s="59"/>
      <c r="B15582"/>
    </row>
    <row r="15583" spans="1:2">
      <c r="A15583" s="59"/>
      <c r="B15583"/>
    </row>
    <row r="15584" spans="1:2">
      <c r="A15584" s="59"/>
      <c r="B15584"/>
    </row>
    <row r="15585" spans="1:2">
      <c r="A15585" s="59"/>
      <c r="B15585"/>
    </row>
    <row r="15586" spans="1:2">
      <c r="A15586" s="59"/>
      <c r="B15586"/>
    </row>
    <row r="15587" spans="1:2">
      <c r="A15587" s="59"/>
      <c r="B15587"/>
    </row>
    <row r="15588" spans="1:2">
      <c r="A15588" s="59"/>
      <c r="B15588"/>
    </row>
    <row r="15589" spans="1:2">
      <c r="A15589" s="59"/>
      <c r="B15589"/>
    </row>
    <row r="15590" spans="1:2">
      <c r="A15590" s="59"/>
      <c r="B15590"/>
    </row>
    <row r="15591" spans="1:2">
      <c r="A15591" s="59"/>
      <c r="B15591"/>
    </row>
    <row r="15592" spans="1:2">
      <c r="A15592" s="59"/>
      <c r="B15592"/>
    </row>
    <row r="15593" spans="1:2">
      <c r="A15593" s="59"/>
      <c r="B15593"/>
    </row>
    <row r="15594" spans="1:2">
      <c r="A15594" s="59"/>
      <c r="B15594"/>
    </row>
    <row r="15595" spans="1:2">
      <c r="A15595" s="59"/>
      <c r="B15595"/>
    </row>
    <row r="15596" spans="1:2">
      <c r="A15596" s="59"/>
      <c r="B15596"/>
    </row>
    <row r="15597" spans="1:2">
      <c r="A15597" s="59"/>
      <c r="B15597"/>
    </row>
    <row r="15598" spans="1:2">
      <c r="A15598" s="59"/>
      <c r="B15598"/>
    </row>
    <row r="15599" spans="1:2">
      <c r="A15599" s="59"/>
      <c r="B15599"/>
    </row>
    <row r="15600" spans="1:2">
      <c r="A15600" s="59"/>
      <c r="B15600"/>
    </row>
    <row r="15601" spans="1:2">
      <c r="A15601" s="59"/>
      <c r="B15601"/>
    </row>
    <row r="15602" spans="1:2">
      <c r="A15602" s="59"/>
      <c r="B15602"/>
    </row>
    <row r="15603" spans="1:2">
      <c r="A15603" s="59"/>
      <c r="B15603"/>
    </row>
    <row r="15604" spans="1:2">
      <c r="A15604" s="59"/>
      <c r="B15604"/>
    </row>
    <row r="15605" spans="1:2">
      <c r="A15605" s="59"/>
      <c r="B15605"/>
    </row>
    <row r="15606" spans="1:2">
      <c r="A15606" s="59"/>
      <c r="B15606"/>
    </row>
    <row r="15607" spans="1:2">
      <c r="A15607" s="59"/>
      <c r="B15607"/>
    </row>
    <row r="15608" spans="1:2">
      <c r="A15608" s="59"/>
      <c r="B15608"/>
    </row>
    <row r="15609" spans="1:2">
      <c r="A15609" s="59"/>
      <c r="B15609"/>
    </row>
    <row r="15610" spans="1:2">
      <c r="A15610" s="59"/>
      <c r="B15610"/>
    </row>
    <row r="15611" spans="1:2">
      <c r="A15611" s="59"/>
      <c r="B15611"/>
    </row>
    <row r="15612" spans="1:2">
      <c r="A15612" s="59"/>
      <c r="B15612"/>
    </row>
    <row r="15613" spans="1:2">
      <c r="A15613" s="59"/>
      <c r="B15613"/>
    </row>
    <row r="15614" spans="1:2">
      <c r="A15614" s="59"/>
      <c r="B15614"/>
    </row>
    <row r="15615" spans="1:2">
      <c r="A15615" s="59"/>
      <c r="B15615"/>
    </row>
    <row r="15616" spans="1:2">
      <c r="A15616" s="59"/>
      <c r="B15616"/>
    </row>
    <row r="15617" spans="1:2">
      <c r="A15617" s="59"/>
      <c r="B15617"/>
    </row>
    <row r="15618" spans="1:2">
      <c r="A15618" s="59"/>
      <c r="B15618"/>
    </row>
    <row r="15619" spans="1:2">
      <c r="A15619" s="59"/>
      <c r="B15619"/>
    </row>
    <row r="15620" spans="1:2">
      <c r="A15620" s="59"/>
      <c r="B15620"/>
    </row>
    <row r="15621" spans="1:2">
      <c r="A15621" s="59"/>
      <c r="B15621"/>
    </row>
    <row r="15622" spans="1:2">
      <c r="A15622" s="59"/>
      <c r="B15622"/>
    </row>
    <row r="15623" spans="1:2">
      <c r="A15623" s="59"/>
      <c r="B15623"/>
    </row>
    <row r="15624" spans="1:2">
      <c r="A15624" s="59"/>
      <c r="B15624"/>
    </row>
    <row r="15625" spans="1:2">
      <c r="A15625" s="59"/>
      <c r="B15625"/>
    </row>
    <row r="15626" spans="1:2">
      <c r="A15626" s="59"/>
      <c r="B15626"/>
    </row>
    <row r="15627" spans="1:2">
      <c r="A15627" s="59"/>
      <c r="B15627"/>
    </row>
    <row r="15628" spans="1:2">
      <c r="A15628" s="59"/>
      <c r="B15628"/>
    </row>
    <row r="15629" spans="1:2">
      <c r="A15629" s="59"/>
      <c r="B15629"/>
    </row>
    <row r="15630" spans="1:2">
      <c r="A15630" s="59"/>
      <c r="B15630"/>
    </row>
    <row r="15631" spans="1:2">
      <c r="A15631" s="59"/>
      <c r="B15631"/>
    </row>
    <row r="15632" spans="1:2">
      <c r="A15632" s="59"/>
      <c r="B15632"/>
    </row>
    <row r="15633" spans="1:2">
      <c r="A15633" s="59"/>
      <c r="B15633"/>
    </row>
    <row r="15634" spans="1:2">
      <c r="A15634" s="59"/>
      <c r="B15634"/>
    </row>
    <row r="15635" spans="1:2">
      <c r="A15635" s="59"/>
      <c r="B15635"/>
    </row>
    <row r="15636" spans="1:2">
      <c r="A15636" s="59"/>
      <c r="B15636"/>
    </row>
    <row r="15637" spans="1:2">
      <c r="A15637" s="59"/>
      <c r="B15637"/>
    </row>
    <row r="15638" spans="1:2">
      <c r="A15638" s="59"/>
      <c r="B15638"/>
    </row>
    <row r="15639" spans="1:2">
      <c r="A15639" s="59"/>
      <c r="B15639"/>
    </row>
    <row r="15640" spans="1:2">
      <c r="A15640" s="59"/>
      <c r="B15640"/>
    </row>
    <row r="15641" spans="1:2">
      <c r="A15641" s="59"/>
      <c r="B15641"/>
    </row>
    <row r="15642" spans="1:2">
      <c r="A15642" s="59"/>
      <c r="B15642"/>
    </row>
    <row r="15643" spans="1:2">
      <c r="A15643" s="59"/>
      <c r="B15643"/>
    </row>
    <row r="15644" spans="1:2">
      <c r="A15644" s="59"/>
      <c r="B15644"/>
    </row>
    <row r="15645" spans="1:2">
      <c r="A15645" s="59"/>
      <c r="B15645"/>
    </row>
    <row r="15646" spans="1:2">
      <c r="A15646" s="59"/>
      <c r="B15646"/>
    </row>
    <row r="15647" spans="1:2">
      <c r="A15647" s="59"/>
      <c r="B15647"/>
    </row>
    <row r="15648" spans="1:2">
      <c r="A15648" s="59"/>
      <c r="B15648"/>
    </row>
    <row r="15649" spans="1:2">
      <c r="A15649" s="59"/>
      <c r="B15649"/>
    </row>
    <row r="15650" spans="1:2">
      <c r="A15650" s="59"/>
      <c r="B15650"/>
    </row>
    <row r="15651" spans="1:2">
      <c r="A15651" s="59"/>
      <c r="B15651"/>
    </row>
    <row r="15652" spans="1:2">
      <c r="A15652" s="59"/>
      <c r="B15652"/>
    </row>
    <row r="15653" spans="1:2">
      <c r="A15653" s="59"/>
      <c r="B15653"/>
    </row>
    <row r="15654" spans="1:2">
      <c r="A15654" s="59"/>
      <c r="B15654"/>
    </row>
    <row r="15655" spans="1:2">
      <c r="A15655" s="59"/>
      <c r="B15655"/>
    </row>
    <row r="15656" spans="1:2">
      <c r="A15656" s="59"/>
      <c r="B15656"/>
    </row>
    <row r="15657" spans="1:2">
      <c r="A15657" s="59"/>
      <c r="B15657"/>
    </row>
    <row r="15658" spans="1:2">
      <c r="A15658" s="59"/>
      <c r="B15658"/>
    </row>
    <row r="15659" spans="1:2">
      <c r="A15659" s="59"/>
      <c r="B15659"/>
    </row>
    <row r="15660" spans="1:2">
      <c r="A15660" s="59"/>
      <c r="B15660"/>
    </row>
    <row r="15661" spans="1:2">
      <c r="A15661" s="59"/>
      <c r="B15661"/>
    </row>
    <row r="15662" spans="1:2">
      <c r="A15662" s="59"/>
      <c r="B15662"/>
    </row>
    <row r="15663" spans="1:2">
      <c r="A15663" s="59"/>
      <c r="B15663"/>
    </row>
    <row r="15664" spans="1:2">
      <c r="A15664" s="59"/>
      <c r="B15664"/>
    </row>
    <row r="15665" spans="1:2">
      <c r="A15665" s="59"/>
      <c r="B15665"/>
    </row>
    <row r="15666" spans="1:2">
      <c r="A15666" s="59"/>
      <c r="B15666"/>
    </row>
    <row r="15667" spans="1:2">
      <c r="A15667" s="59"/>
      <c r="B15667"/>
    </row>
    <row r="15668" spans="1:2">
      <c r="A15668" s="59"/>
      <c r="B15668"/>
    </row>
    <row r="15669" spans="1:2">
      <c r="A15669" s="59"/>
      <c r="B15669"/>
    </row>
    <row r="15670" spans="1:2">
      <c r="A15670" s="59"/>
      <c r="B15670"/>
    </row>
    <row r="15671" spans="1:2">
      <c r="A15671" s="59"/>
      <c r="B15671"/>
    </row>
    <row r="15672" spans="1:2">
      <c r="A15672" s="59"/>
      <c r="B15672"/>
    </row>
    <row r="15673" spans="1:2">
      <c r="A15673" s="59"/>
      <c r="B15673"/>
    </row>
    <row r="15674" spans="1:2">
      <c r="A15674" s="59"/>
      <c r="B15674"/>
    </row>
    <row r="15675" spans="1:2">
      <c r="A15675" s="59"/>
      <c r="B15675"/>
    </row>
    <row r="15676" spans="1:2">
      <c r="A15676" s="59"/>
      <c r="B15676"/>
    </row>
    <row r="15677" spans="1:2">
      <c r="A15677" s="59"/>
      <c r="B15677"/>
    </row>
    <row r="15678" spans="1:2">
      <c r="A15678" s="59"/>
      <c r="B15678"/>
    </row>
    <row r="15679" spans="1:2">
      <c r="A15679" s="59"/>
      <c r="B15679"/>
    </row>
    <row r="15680" spans="1:2">
      <c r="A15680" s="59"/>
      <c r="B15680"/>
    </row>
    <row r="15681" spans="1:2">
      <c r="A15681" s="59"/>
      <c r="B15681"/>
    </row>
    <row r="15682" spans="1:2">
      <c r="A15682" s="59"/>
      <c r="B15682"/>
    </row>
    <row r="15683" spans="1:2">
      <c r="A15683" s="59"/>
      <c r="B15683"/>
    </row>
    <row r="15684" spans="1:2">
      <c r="A15684" s="59"/>
      <c r="B15684"/>
    </row>
    <row r="15685" spans="1:2">
      <c r="A15685" s="59"/>
      <c r="B15685"/>
    </row>
    <row r="15686" spans="1:2">
      <c r="A15686" s="59"/>
      <c r="B15686"/>
    </row>
    <row r="15687" spans="1:2">
      <c r="A15687" s="59"/>
      <c r="B15687"/>
    </row>
    <row r="15688" spans="1:2">
      <c r="A15688" s="59"/>
      <c r="B15688"/>
    </row>
    <row r="15689" spans="1:2">
      <c r="A15689" s="59"/>
      <c r="B15689"/>
    </row>
    <row r="15690" spans="1:2">
      <c r="A15690" s="59"/>
      <c r="B15690"/>
    </row>
    <row r="15691" spans="1:2">
      <c r="A15691" s="59"/>
      <c r="B15691"/>
    </row>
    <row r="15692" spans="1:2">
      <c r="A15692" s="59"/>
      <c r="B15692"/>
    </row>
    <row r="15693" spans="1:2">
      <c r="A15693" s="59"/>
      <c r="B15693"/>
    </row>
    <row r="15694" spans="1:2">
      <c r="A15694" s="59"/>
      <c r="B15694"/>
    </row>
    <row r="15695" spans="1:2">
      <c r="A15695" s="59"/>
      <c r="B15695"/>
    </row>
    <row r="15696" spans="1:2">
      <c r="A15696" s="59"/>
      <c r="B15696"/>
    </row>
    <row r="15697" spans="1:2">
      <c r="A15697" s="59"/>
      <c r="B15697"/>
    </row>
    <row r="15698" spans="1:2">
      <c r="A15698" s="59"/>
      <c r="B15698"/>
    </row>
    <row r="15699" spans="1:2">
      <c r="A15699" s="59"/>
      <c r="B15699"/>
    </row>
    <row r="15700" spans="1:2">
      <c r="A15700" s="59"/>
      <c r="B15700"/>
    </row>
    <row r="15701" spans="1:2">
      <c r="A15701" s="59"/>
      <c r="B15701"/>
    </row>
    <row r="15702" spans="1:2">
      <c r="A15702" s="59"/>
      <c r="B15702"/>
    </row>
    <row r="15703" spans="1:2">
      <c r="A15703" s="59"/>
      <c r="B15703"/>
    </row>
    <row r="15704" spans="1:2">
      <c r="A15704" s="59"/>
      <c r="B15704"/>
    </row>
    <row r="15705" spans="1:2">
      <c r="A15705" s="59"/>
      <c r="B15705"/>
    </row>
    <row r="15706" spans="1:2">
      <c r="A15706" s="59"/>
      <c r="B15706"/>
    </row>
    <row r="15707" spans="1:2">
      <c r="A15707" s="59"/>
      <c r="B15707"/>
    </row>
    <row r="15708" spans="1:2">
      <c r="A15708" s="59"/>
      <c r="B15708"/>
    </row>
    <row r="15709" spans="1:2">
      <c r="A15709" s="59"/>
      <c r="B15709"/>
    </row>
    <row r="15710" spans="1:2">
      <c r="A15710" s="59"/>
      <c r="B15710"/>
    </row>
    <row r="15711" spans="1:2">
      <c r="A15711" s="59"/>
      <c r="B15711"/>
    </row>
    <row r="15712" spans="1:2">
      <c r="A15712" s="59"/>
      <c r="B15712"/>
    </row>
    <row r="15713" spans="1:2">
      <c r="A15713" s="59"/>
      <c r="B15713"/>
    </row>
    <row r="15714" spans="1:2">
      <c r="A15714" s="59"/>
      <c r="B15714"/>
    </row>
    <row r="15715" spans="1:2">
      <c r="A15715" s="59"/>
      <c r="B15715"/>
    </row>
    <row r="15716" spans="1:2">
      <c r="A15716" s="59"/>
      <c r="B15716"/>
    </row>
    <row r="15717" spans="1:2">
      <c r="A15717" s="59"/>
      <c r="B15717"/>
    </row>
    <row r="15718" spans="1:2">
      <c r="A15718" s="59"/>
      <c r="B15718"/>
    </row>
    <row r="15719" spans="1:2">
      <c r="A15719" s="59"/>
      <c r="B15719"/>
    </row>
    <row r="15720" spans="1:2">
      <c r="A15720" s="59"/>
      <c r="B15720"/>
    </row>
    <row r="15721" spans="1:2">
      <c r="A15721" s="59"/>
      <c r="B15721"/>
    </row>
    <row r="15722" spans="1:2">
      <c r="A15722" s="59"/>
      <c r="B15722"/>
    </row>
    <row r="15723" spans="1:2">
      <c r="A15723" s="59"/>
      <c r="B15723"/>
    </row>
    <row r="15724" spans="1:2">
      <c r="A15724" s="59"/>
      <c r="B15724"/>
    </row>
    <row r="15725" spans="1:2">
      <c r="A15725" s="59"/>
      <c r="B15725"/>
    </row>
    <row r="15726" spans="1:2">
      <c r="A15726" s="59"/>
      <c r="B15726"/>
    </row>
    <row r="15727" spans="1:2">
      <c r="A15727" s="59"/>
      <c r="B15727"/>
    </row>
    <row r="15728" spans="1:2">
      <c r="A15728" s="59"/>
      <c r="B15728"/>
    </row>
    <row r="15729" spans="1:2">
      <c r="A15729" s="59"/>
      <c r="B15729"/>
    </row>
    <row r="15730" spans="1:2">
      <c r="A15730" s="59"/>
      <c r="B15730"/>
    </row>
    <row r="15731" spans="1:2">
      <c r="A15731" s="59"/>
      <c r="B15731"/>
    </row>
    <row r="15732" spans="1:2">
      <c r="A15732" s="59"/>
      <c r="B15732"/>
    </row>
    <row r="15733" spans="1:2">
      <c r="A15733" s="59"/>
      <c r="B15733"/>
    </row>
    <row r="15734" spans="1:2">
      <c r="A15734" s="59"/>
      <c r="B15734"/>
    </row>
    <row r="15735" spans="1:2">
      <c r="A15735" s="59"/>
      <c r="B15735"/>
    </row>
    <row r="15736" spans="1:2">
      <c r="A15736" s="59"/>
      <c r="B15736"/>
    </row>
    <row r="15737" spans="1:2">
      <c r="A15737" s="59"/>
      <c r="B15737"/>
    </row>
    <row r="15738" spans="1:2">
      <c r="A15738" s="59"/>
      <c r="B15738"/>
    </row>
    <row r="15739" spans="1:2">
      <c r="A15739" s="59"/>
      <c r="B15739"/>
    </row>
    <row r="15740" spans="1:2">
      <c r="A15740" s="59"/>
      <c r="B15740"/>
    </row>
    <row r="15741" spans="1:2">
      <c r="A15741" s="59"/>
      <c r="B15741"/>
    </row>
    <row r="15742" spans="1:2">
      <c r="A15742" s="59"/>
      <c r="B15742"/>
    </row>
    <row r="15743" spans="1:2">
      <c r="A15743" s="59"/>
      <c r="B15743"/>
    </row>
    <row r="15744" spans="1:2">
      <c r="A15744" s="59"/>
      <c r="B15744"/>
    </row>
    <row r="15745" spans="1:2">
      <c r="A15745" s="59"/>
      <c r="B15745"/>
    </row>
    <row r="15746" spans="1:2">
      <c r="A15746" s="59"/>
      <c r="B15746"/>
    </row>
    <row r="15747" spans="1:2">
      <c r="A15747" s="59"/>
      <c r="B15747"/>
    </row>
    <row r="15748" spans="1:2">
      <c r="A15748" s="59"/>
      <c r="B15748"/>
    </row>
    <row r="15749" spans="1:2">
      <c r="A15749" s="59"/>
      <c r="B15749"/>
    </row>
    <row r="15750" spans="1:2">
      <c r="A15750" s="59"/>
      <c r="B15750"/>
    </row>
    <row r="15751" spans="1:2">
      <c r="A15751" s="59"/>
      <c r="B15751"/>
    </row>
    <row r="15752" spans="1:2">
      <c r="A15752" s="59"/>
      <c r="B15752"/>
    </row>
    <row r="15753" spans="1:2">
      <c r="A15753" s="59"/>
      <c r="B15753"/>
    </row>
    <row r="15754" spans="1:2">
      <c r="A15754" s="59"/>
      <c r="B15754"/>
    </row>
    <row r="15755" spans="1:2">
      <c r="A15755" s="59"/>
      <c r="B15755"/>
    </row>
    <row r="15756" spans="1:2">
      <c r="A15756" s="59"/>
      <c r="B15756"/>
    </row>
    <row r="15757" spans="1:2">
      <c r="A15757" s="59"/>
      <c r="B15757"/>
    </row>
    <row r="15758" spans="1:2">
      <c r="A15758" s="59"/>
      <c r="B15758"/>
    </row>
    <row r="15759" spans="1:2">
      <c r="A15759" s="59"/>
      <c r="B15759"/>
    </row>
    <row r="15760" spans="1:2">
      <c r="A15760" s="59"/>
      <c r="B15760"/>
    </row>
    <row r="15761" spans="1:2">
      <c r="A15761" s="59"/>
      <c r="B15761"/>
    </row>
    <row r="15762" spans="1:2">
      <c r="A15762" s="59"/>
      <c r="B15762"/>
    </row>
    <row r="15763" spans="1:2">
      <c r="A15763" s="59"/>
      <c r="B15763"/>
    </row>
    <row r="15764" spans="1:2">
      <c r="A15764" s="59"/>
      <c r="B15764"/>
    </row>
    <row r="15765" spans="1:2">
      <c r="A15765" s="59"/>
      <c r="B15765"/>
    </row>
    <row r="15766" spans="1:2">
      <c r="A15766" s="59"/>
      <c r="B15766"/>
    </row>
    <row r="15767" spans="1:2">
      <c r="A15767" s="59"/>
      <c r="B15767"/>
    </row>
    <row r="15768" spans="1:2">
      <c r="A15768" s="59"/>
      <c r="B15768"/>
    </row>
    <row r="15769" spans="1:2">
      <c r="A15769" s="59"/>
      <c r="B15769"/>
    </row>
    <row r="15770" spans="1:2">
      <c r="A15770" s="59"/>
      <c r="B15770"/>
    </row>
    <row r="15771" spans="1:2">
      <c r="A15771" s="59"/>
      <c r="B15771"/>
    </row>
    <row r="15772" spans="1:2">
      <c r="A15772" s="59"/>
      <c r="B15772"/>
    </row>
    <row r="15773" spans="1:2">
      <c r="A15773" s="59"/>
      <c r="B15773"/>
    </row>
    <row r="15774" spans="1:2">
      <c r="A15774" s="59"/>
      <c r="B15774"/>
    </row>
    <row r="15775" spans="1:2">
      <c r="A15775" s="59"/>
      <c r="B15775"/>
    </row>
    <row r="15776" spans="1:2">
      <c r="A15776" s="59"/>
      <c r="B15776"/>
    </row>
    <row r="15777" spans="1:2">
      <c r="A15777" s="59"/>
      <c r="B15777"/>
    </row>
    <row r="15778" spans="1:2">
      <c r="A15778" s="59"/>
      <c r="B15778"/>
    </row>
    <row r="15779" spans="1:2">
      <c r="A15779" s="59"/>
      <c r="B15779"/>
    </row>
    <row r="15780" spans="1:2">
      <c r="A15780" s="59"/>
      <c r="B15780"/>
    </row>
    <row r="15781" spans="1:2">
      <c r="A15781" s="59"/>
      <c r="B15781"/>
    </row>
    <row r="15782" spans="1:2">
      <c r="A15782" s="59"/>
      <c r="B15782"/>
    </row>
    <row r="15783" spans="1:2">
      <c r="A15783" s="59"/>
      <c r="B15783"/>
    </row>
    <row r="15784" spans="1:2">
      <c r="A15784" s="59"/>
      <c r="B15784"/>
    </row>
    <row r="15785" spans="1:2">
      <c r="A15785" s="59"/>
      <c r="B15785"/>
    </row>
    <row r="15786" spans="1:2">
      <c r="A15786" s="59"/>
      <c r="B15786"/>
    </row>
    <row r="15787" spans="1:2">
      <c r="A15787" s="59"/>
      <c r="B15787"/>
    </row>
    <row r="15788" spans="1:2">
      <c r="A15788" s="59"/>
      <c r="B15788"/>
    </row>
    <row r="15789" spans="1:2">
      <c r="A15789" s="59"/>
      <c r="B15789"/>
    </row>
    <row r="15790" spans="1:2">
      <c r="A15790" s="59"/>
      <c r="B15790"/>
    </row>
    <row r="15791" spans="1:2">
      <c r="A15791" s="59"/>
      <c r="B15791"/>
    </row>
    <row r="15792" spans="1:2">
      <c r="A15792" s="59"/>
      <c r="B15792"/>
    </row>
    <row r="15793" spans="1:2">
      <c r="A15793" s="59"/>
      <c r="B15793"/>
    </row>
    <row r="15794" spans="1:2">
      <c r="A15794" s="59"/>
      <c r="B15794"/>
    </row>
    <row r="15795" spans="1:2">
      <c r="A15795" s="59"/>
      <c r="B15795"/>
    </row>
    <row r="15796" spans="1:2">
      <c r="A15796" s="59"/>
      <c r="B15796"/>
    </row>
    <row r="15797" spans="1:2">
      <c r="A15797" s="59"/>
      <c r="B15797"/>
    </row>
    <row r="15798" spans="1:2">
      <c r="A15798" s="59"/>
      <c r="B15798"/>
    </row>
    <row r="15799" spans="1:2">
      <c r="A15799" s="59"/>
      <c r="B15799"/>
    </row>
    <row r="15800" spans="1:2">
      <c r="A15800" s="59"/>
      <c r="B15800"/>
    </row>
    <row r="15801" spans="1:2">
      <c r="A15801" s="59"/>
      <c r="B15801"/>
    </row>
    <row r="15802" spans="1:2">
      <c r="A15802" s="59"/>
      <c r="B15802"/>
    </row>
    <row r="15803" spans="1:2">
      <c r="A15803" s="59"/>
      <c r="B15803"/>
    </row>
    <row r="15804" spans="1:2">
      <c r="A15804" s="59"/>
      <c r="B15804"/>
    </row>
    <row r="15805" spans="1:2">
      <c r="A15805" s="59"/>
      <c r="B15805"/>
    </row>
    <row r="15806" spans="1:2">
      <c r="A15806" s="59"/>
      <c r="B15806"/>
    </row>
    <row r="15807" spans="1:2">
      <c r="A15807" s="59"/>
      <c r="B15807"/>
    </row>
    <row r="15808" spans="1:2">
      <c r="A15808" s="59"/>
      <c r="B15808"/>
    </row>
    <row r="15809" spans="1:2">
      <c r="A15809" s="59"/>
      <c r="B15809"/>
    </row>
    <row r="15810" spans="1:2">
      <c r="A15810" s="59"/>
      <c r="B15810"/>
    </row>
    <row r="15811" spans="1:2">
      <c r="A15811" s="59"/>
      <c r="B15811"/>
    </row>
    <row r="15812" spans="1:2">
      <c r="A15812" s="59"/>
      <c r="B15812"/>
    </row>
    <row r="15813" spans="1:2">
      <c r="A15813" s="59"/>
      <c r="B15813"/>
    </row>
    <row r="15814" spans="1:2">
      <c r="A15814" s="59"/>
      <c r="B15814"/>
    </row>
    <row r="15815" spans="1:2">
      <c r="A15815" s="59"/>
      <c r="B15815"/>
    </row>
    <row r="15816" spans="1:2">
      <c r="A15816" s="59"/>
      <c r="B15816"/>
    </row>
    <row r="15817" spans="1:2">
      <c r="A15817" s="59"/>
      <c r="B15817"/>
    </row>
    <row r="15818" spans="1:2">
      <c r="A15818" s="59"/>
      <c r="B15818"/>
    </row>
    <row r="15819" spans="1:2">
      <c r="A15819" s="59"/>
      <c r="B15819"/>
    </row>
    <row r="15820" spans="1:2">
      <c r="A15820" s="59"/>
      <c r="B15820"/>
    </row>
    <row r="15821" spans="1:2">
      <c r="A15821" s="59"/>
      <c r="B15821"/>
    </row>
    <row r="15822" spans="1:2">
      <c r="A15822" s="59"/>
      <c r="B15822"/>
    </row>
    <row r="15823" spans="1:2">
      <c r="A15823" s="59"/>
      <c r="B15823"/>
    </row>
    <row r="15824" spans="1:2">
      <c r="A15824" s="59"/>
      <c r="B15824"/>
    </row>
    <row r="15825" spans="1:2">
      <c r="A15825" s="59"/>
      <c r="B15825"/>
    </row>
    <row r="15826" spans="1:2">
      <c r="A15826" s="59"/>
      <c r="B15826"/>
    </row>
    <row r="15827" spans="1:2">
      <c r="A15827" s="59"/>
      <c r="B15827"/>
    </row>
    <row r="15828" spans="1:2">
      <c r="A15828" s="59"/>
      <c r="B15828"/>
    </row>
    <row r="15829" spans="1:2">
      <c r="A15829" s="59"/>
      <c r="B15829"/>
    </row>
    <row r="15830" spans="1:2">
      <c r="A15830" s="59"/>
      <c r="B15830"/>
    </row>
    <row r="15831" spans="1:2">
      <c r="A15831" s="59"/>
      <c r="B15831"/>
    </row>
    <row r="15832" spans="1:2">
      <c r="A15832" s="59"/>
      <c r="B15832"/>
    </row>
    <row r="15833" spans="1:2">
      <c r="A15833" s="59"/>
      <c r="B15833"/>
    </row>
    <row r="15834" spans="1:2">
      <c r="A15834" s="59"/>
      <c r="B15834"/>
    </row>
    <row r="15835" spans="1:2">
      <c r="A15835" s="59"/>
      <c r="B15835"/>
    </row>
    <row r="15836" spans="1:2">
      <c r="A15836" s="59"/>
      <c r="B15836"/>
    </row>
    <row r="15837" spans="1:2">
      <c r="A15837" s="59"/>
      <c r="B15837"/>
    </row>
    <row r="15838" spans="1:2">
      <c r="A15838" s="59"/>
      <c r="B15838"/>
    </row>
    <row r="15839" spans="1:2">
      <c r="A15839" s="59"/>
      <c r="B15839"/>
    </row>
    <row r="15840" spans="1:2">
      <c r="A15840" s="59"/>
      <c r="B15840"/>
    </row>
    <row r="15841" spans="1:2">
      <c r="A15841" s="59"/>
      <c r="B15841"/>
    </row>
    <row r="15842" spans="1:2">
      <c r="A15842" s="59"/>
      <c r="B15842"/>
    </row>
    <row r="15843" spans="1:2">
      <c r="A15843" s="59"/>
      <c r="B15843"/>
    </row>
    <row r="15844" spans="1:2">
      <c r="A15844" s="59"/>
      <c r="B15844"/>
    </row>
    <row r="15845" spans="1:2">
      <c r="A15845" s="59"/>
      <c r="B15845"/>
    </row>
    <row r="15846" spans="1:2">
      <c r="A15846" s="59"/>
      <c r="B15846"/>
    </row>
    <row r="15847" spans="1:2">
      <c r="A15847" s="59"/>
      <c r="B15847"/>
    </row>
    <row r="15848" spans="1:2">
      <c r="A15848" s="59"/>
      <c r="B15848"/>
    </row>
    <row r="15849" spans="1:2">
      <c r="A15849" s="59"/>
      <c r="B15849"/>
    </row>
    <row r="15850" spans="1:2">
      <c r="A15850" s="59"/>
      <c r="B15850"/>
    </row>
    <row r="15851" spans="1:2">
      <c r="A15851" s="59"/>
      <c r="B15851"/>
    </row>
    <row r="15852" spans="1:2">
      <c r="A15852" s="59"/>
      <c r="B15852"/>
    </row>
    <row r="15853" spans="1:2">
      <c r="A15853" s="59"/>
      <c r="B15853"/>
    </row>
    <row r="15854" spans="1:2">
      <c r="A15854" s="59"/>
      <c r="B15854"/>
    </row>
    <row r="15855" spans="1:2">
      <c r="A15855" s="59"/>
      <c r="B15855"/>
    </row>
    <row r="15856" spans="1:2">
      <c r="A15856" s="59"/>
      <c r="B15856"/>
    </row>
    <row r="15857" spans="1:2">
      <c r="A15857" s="59"/>
      <c r="B15857"/>
    </row>
    <row r="15858" spans="1:2">
      <c r="A15858" s="59"/>
      <c r="B15858"/>
    </row>
    <row r="15859" spans="1:2">
      <c r="A15859" s="59"/>
      <c r="B15859"/>
    </row>
    <row r="15860" spans="1:2">
      <c r="A15860" s="59"/>
      <c r="B15860"/>
    </row>
    <row r="15861" spans="1:2">
      <c r="A15861" s="59"/>
      <c r="B15861"/>
    </row>
    <row r="15862" spans="1:2">
      <c r="A15862" s="59"/>
      <c r="B15862"/>
    </row>
    <row r="15863" spans="1:2">
      <c r="A15863" s="59"/>
      <c r="B15863"/>
    </row>
    <row r="15864" spans="1:2">
      <c r="A15864" s="59"/>
      <c r="B15864"/>
    </row>
    <row r="15865" spans="1:2">
      <c r="A15865" s="59"/>
      <c r="B15865"/>
    </row>
    <row r="15866" spans="1:2">
      <c r="A15866" s="59"/>
      <c r="B15866"/>
    </row>
    <row r="15867" spans="1:2">
      <c r="A15867" s="59"/>
      <c r="B15867"/>
    </row>
    <row r="15868" spans="1:2">
      <c r="A15868" s="59"/>
      <c r="B15868"/>
    </row>
    <row r="15869" spans="1:2">
      <c r="A15869" s="59"/>
      <c r="B15869"/>
    </row>
    <row r="15870" spans="1:2">
      <c r="A15870" s="59"/>
      <c r="B15870"/>
    </row>
    <row r="15871" spans="1:2">
      <c r="A15871" s="59"/>
      <c r="B15871"/>
    </row>
    <row r="15872" spans="1:2">
      <c r="A15872" s="59"/>
      <c r="B15872"/>
    </row>
    <row r="15873" spans="1:2">
      <c r="A15873" s="59"/>
      <c r="B15873"/>
    </row>
    <row r="15874" spans="1:2">
      <c r="A15874" s="59"/>
      <c r="B15874"/>
    </row>
    <row r="15875" spans="1:2">
      <c r="A15875" s="59"/>
      <c r="B15875"/>
    </row>
    <row r="15876" spans="1:2">
      <c r="A15876" s="59"/>
      <c r="B15876"/>
    </row>
    <row r="15877" spans="1:2">
      <c r="A15877" s="59"/>
      <c r="B15877"/>
    </row>
    <row r="15878" spans="1:2">
      <c r="A15878" s="59"/>
      <c r="B15878"/>
    </row>
    <row r="15879" spans="1:2">
      <c r="A15879" s="59"/>
      <c r="B15879"/>
    </row>
    <row r="15880" spans="1:2">
      <c r="A15880" s="59"/>
      <c r="B15880"/>
    </row>
    <row r="15881" spans="1:2">
      <c r="A15881" s="59"/>
      <c r="B15881"/>
    </row>
    <row r="15882" spans="1:2">
      <c r="A15882" s="59"/>
      <c r="B15882"/>
    </row>
    <row r="15883" spans="1:2">
      <c r="A15883" s="59"/>
      <c r="B15883"/>
    </row>
    <row r="15884" spans="1:2">
      <c r="A15884" s="59"/>
      <c r="B15884"/>
    </row>
    <row r="15885" spans="1:2">
      <c r="A15885" s="59"/>
      <c r="B15885"/>
    </row>
    <row r="15886" spans="1:2">
      <c r="A15886" s="59"/>
      <c r="B15886"/>
    </row>
    <row r="15887" spans="1:2">
      <c r="A15887" s="59"/>
      <c r="B15887"/>
    </row>
    <row r="15888" spans="1:2">
      <c r="A15888" s="59"/>
      <c r="B15888"/>
    </row>
    <row r="15889" spans="1:2">
      <c r="A15889" s="59"/>
      <c r="B15889"/>
    </row>
    <row r="15890" spans="1:2">
      <c r="A15890" s="59"/>
      <c r="B15890"/>
    </row>
    <row r="15891" spans="1:2">
      <c r="A15891" s="59"/>
      <c r="B15891"/>
    </row>
    <row r="15892" spans="1:2">
      <c r="A15892" s="59"/>
      <c r="B15892"/>
    </row>
    <row r="15893" spans="1:2">
      <c r="A15893" s="59"/>
      <c r="B15893"/>
    </row>
    <row r="15894" spans="1:2">
      <c r="A15894" s="59"/>
      <c r="B15894"/>
    </row>
    <row r="15895" spans="1:2">
      <c r="A15895" s="59"/>
      <c r="B15895"/>
    </row>
    <row r="15896" spans="1:2">
      <c r="A15896" s="59"/>
      <c r="B15896"/>
    </row>
    <row r="15897" spans="1:2">
      <c r="A15897" s="59"/>
      <c r="B15897"/>
    </row>
    <row r="15898" spans="1:2">
      <c r="A15898" s="59"/>
      <c r="B15898"/>
    </row>
    <row r="15899" spans="1:2">
      <c r="A15899" s="59"/>
      <c r="B15899"/>
    </row>
    <row r="15900" spans="1:2">
      <c r="A15900" s="59"/>
      <c r="B15900"/>
    </row>
    <row r="15901" spans="1:2">
      <c r="A15901" s="59"/>
      <c r="B15901"/>
    </row>
    <row r="15902" spans="1:2">
      <c r="A15902" s="59"/>
      <c r="B15902"/>
    </row>
    <row r="15903" spans="1:2">
      <c r="A15903" s="59"/>
      <c r="B15903"/>
    </row>
    <row r="15904" spans="1:2">
      <c r="A15904" s="59"/>
      <c r="B15904"/>
    </row>
    <row r="15905" spans="1:2">
      <c r="A15905" s="59"/>
      <c r="B15905"/>
    </row>
    <row r="15906" spans="1:2">
      <c r="A15906" s="59"/>
      <c r="B15906"/>
    </row>
    <row r="15907" spans="1:2">
      <c r="A15907" s="59"/>
      <c r="B15907"/>
    </row>
    <row r="15908" spans="1:2">
      <c r="A15908" s="59"/>
      <c r="B15908"/>
    </row>
    <row r="15909" spans="1:2">
      <c r="A15909" s="59"/>
      <c r="B15909"/>
    </row>
    <row r="15910" spans="1:2">
      <c r="A15910" s="59"/>
      <c r="B15910"/>
    </row>
    <row r="15911" spans="1:2">
      <c r="A15911" s="59"/>
      <c r="B15911"/>
    </row>
    <row r="15912" spans="1:2">
      <c r="A15912" s="59"/>
      <c r="B15912"/>
    </row>
    <row r="15913" spans="1:2">
      <c r="A15913" s="59"/>
      <c r="B15913"/>
    </row>
    <row r="15914" spans="1:2">
      <c r="A15914" s="59"/>
      <c r="B15914"/>
    </row>
    <row r="15915" spans="1:2">
      <c r="A15915" s="59"/>
      <c r="B15915"/>
    </row>
    <row r="15916" spans="1:2">
      <c r="A15916" s="59"/>
      <c r="B15916"/>
    </row>
    <row r="15917" spans="1:2">
      <c r="A15917" s="59"/>
      <c r="B15917"/>
    </row>
    <row r="15918" spans="1:2">
      <c r="A15918" s="59"/>
      <c r="B15918"/>
    </row>
    <row r="15919" spans="1:2">
      <c r="A15919" s="59"/>
      <c r="B15919"/>
    </row>
    <row r="15920" spans="1:2">
      <c r="A15920" s="59"/>
      <c r="B15920"/>
    </row>
    <row r="15921" spans="1:2">
      <c r="A15921" s="59"/>
      <c r="B15921"/>
    </row>
    <row r="15922" spans="1:2">
      <c r="A15922" s="59"/>
      <c r="B15922"/>
    </row>
    <row r="15923" spans="1:2">
      <c r="A15923" s="59"/>
      <c r="B15923"/>
    </row>
    <row r="15924" spans="1:2">
      <c r="A15924" s="59"/>
      <c r="B15924"/>
    </row>
    <row r="15925" spans="1:2">
      <c r="A15925" s="59"/>
      <c r="B15925"/>
    </row>
    <row r="15926" spans="1:2">
      <c r="A15926" s="59"/>
      <c r="B15926"/>
    </row>
    <row r="15927" spans="1:2">
      <c r="A15927" s="59"/>
      <c r="B15927"/>
    </row>
    <row r="15928" spans="1:2">
      <c r="A15928" s="59"/>
      <c r="B15928"/>
    </row>
    <row r="15929" spans="1:2">
      <c r="A15929" s="59"/>
      <c r="B15929"/>
    </row>
    <row r="15930" spans="1:2">
      <c r="A15930" s="59"/>
      <c r="B15930"/>
    </row>
    <row r="15931" spans="1:2">
      <c r="A15931" s="59"/>
      <c r="B15931"/>
    </row>
    <row r="15932" spans="1:2">
      <c r="A15932" s="59"/>
      <c r="B15932"/>
    </row>
    <row r="15933" spans="1:2">
      <c r="A15933" s="59"/>
      <c r="B15933"/>
    </row>
    <row r="15934" spans="1:2">
      <c r="A15934" s="59"/>
      <c r="B15934"/>
    </row>
    <row r="15935" spans="1:2">
      <c r="A15935" s="59"/>
      <c r="B15935"/>
    </row>
    <row r="15936" spans="1:2">
      <c r="A15936" s="59"/>
      <c r="B15936"/>
    </row>
    <row r="15937" spans="1:2">
      <c r="A15937" s="59"/>
      <c r="B15937"/>
    </row>
    <row r="15938" spans="1:2">
      <c r="A15938" s="59"/>
      <c r="B15938"/>
    </row>
    <row r="15939" spans="1:2">
      <c r="A15939" s="59"/>
      <c r="B15939"/>
    </row>
    <row r="15940" spans="1:2">
      <c r="A15940" s="59"/>
      <c r="B15940"/>
    </row>
    <row r="15941" spans="1:2">
      <c r="A15941" s="59"/>
      <c r="B15941"/>
    </row>
    <row r="15942" spans="1:2">
      <c r="A15942" s="59"/>
      <c r="B15942"/>
    </row>
    <row r="15943" spans="1:2">
      <c r="A15943" s="59"/>
      <c r="B15943"/>
    </row>
    <row r="15944" spans="1:2">
      <c r="A15944" s="59"/>
      <c r="B15944"/>
    </row>
    <row r="15945" spans="1:2">
      <c r="A15945" s="59"/>
      <c r="B15945"/>
    </row>
    <row r="15946" spans="1:2">
      <c r="A15946" s="59"/>
      <c r="B15946"/>
    </row>
    <row r="15947" spans="1:2">
      <c r="A15947" s="59"/>
      <c r="B15947"/>
    </row>
    <row r="15948" spans="1:2">
      <c r="A15948" s="59"/>
      <c r="B15948"/>
    </row>
    <row r="15949" spans="1:2">
      <c r="A15949" s="59"/>
      <c r="B15949"/>
    </row>
    <row r="15950" spans="1:2">
      <c r="A15950" s="59"/>
      <c r="B15950"/>
    </row>
    <row r="15951" spans="1:2">
      <c r="A15951" s="59"/>
      <c r="B15951"/>
    </row>
    <row r="15952" spans="1:2">
      <c r="A15952" s="59"/>
      <c r="B15952"/>
    </row>
    <row r="15953" spans="1:2">
      <c r="A15953" s="59"/>
      <c r="B15953"/>
    </row>
    <row r="15954" spans="1:2">
      <c r="A15954" s="59"/>
      <c r="B15954"/>
    </row>
    <row r="15955" spans="1:2">
      <c r="A15955" s="59"/>
      <c r="B15955"/>
    </row>
    <row r="15956" spans="1:2">
      <c r="A15956" s="59"/>
      <c r="B15956"/>
    </row>
    <row r="15957" spans="1:2">
      <c r="A15957" s="59"/>
      <c r="B15957"/>
    </row>
    <row r="15958" spans="1:2">
      <c r="A15958" s="59"/>
      <c r="B15958"/>
    </row>
    <row r="15959" spans="1:2">
      <c r="A15959" s="59"/>
      <c r="B15959"/>
    </row>
    <row r="15960" spans="1:2">
      <c r="A15960" s="59"/>
      <c r="B15960"/>
    </row>
    <row r="15961" spans="1:2">
      <c r="A15961" s="59"/>
      <c r="B15961"/>
    </row>
    <row r="15962" spans="1:2">
      <c r="A15962" s="59"/>
      <c r="B15962"/>
    </row>
    <row r="15963" spans="1:2">
      <c r="A15963" s="59"/>
      <c r="B15963"/>
    </row>
    <row r="15964" spans="1:2">
      <c r="A15964" s="59"/>
      <c r="B15964"/>
    </row>
    <row r="15965" spans="1:2">
      <c r="A15965" s="59"/>
      <c r="B15965"/>
    </row>
    <row r="15966" spans="1:2">
      <c r="A15966" s="59"/>
      <c r="B15966"/>
    </row>
    <row r="15967" spans="1:2">
      <c r="A15967" s="59"/>
      <c r="B15967"/>
    </row>
    <row r="15968" spans="1:2">
      <c r="A15968" s="59"/>
      <c r="B15968"/>
    </row>
    <row r="15969" spans="1:2">
      <c r="A15969" s="59"/>
      <c r="B15969"/>
    </row>
    <row r="15970" spans="1:2">
      <c r="A15970" s="59"/>
      <c r="B15970"/>
    </row>
    <row r="15971" spans="1:2">
      <c r="A15971" s="59"/>
      <c r="B15971"/>
    </row>
    <row r="15972" spans="1:2">
      <c r="A15972" s="59"/>
      <c r="B15972"/>
    </row>
    <row r="15973" spans="1:2">
      <c r="A15973" s="59"/>
      <c r="B15973"/>
    </row>
    <row r="15974" spans="1:2">
      <c r="A15974" s="59"/>
      <c r="B15974"/>
    </row>
    <row r="15975" spans="1:2">
      <c r="A15975" s="59"/>
      <c r="B15975"/>
    </row>
    <row r="15976" spans="1:2">
      <c r="A15976" s="59"/>
      <c r="B15976"/>
    </row>
    <row r="15977" spans="1:2">
      <c r="A15977" s="59"/>
      <c r="B15977"/>
    </row>
    <row r="15978" spans="1:2">
      <c r="A15978" s="59"/>
      <c r="B15978"/>
    </row>
    <row r="15979" spans="1:2">
      <c r="A15979" s="59"/>
      <c r="B15979"/>
    </row>
    <row r="15980" spans="1:2">
      <c r="A15980" s="59"/>
      <c r="B15980"/>
    </row>
    <row r="15981" spans="1:2">
      <c r="A15981" s="59"/>
      <c r="B15981"/>
    </row>
    <row r="15982" spans="1:2">
      <c r="A15982" s="59"/>
      <c r="B15982"/>
    </row>
    <row r="15983" spans="1:2">
      <c r="A15983" s="59"/>
      <c r="B15983"/>
    </row>
    <row r="15984" spans="1:2">
      <c r="A15984" s="59"/>
      <c r="B15984"/>
    </row>
    <row r="15985" spans="1:2">
      <c r="A15985" s="59"/>
      <c r="B15985"/>
    </row>
    <row r="15986" spans="1:2">
      <c r="A15986" s="59"/>
      <c r="B15986"/>
    </row>
    <row r="15987" spans="1:2">
      <c r="A15987" s="59"/>
      <c r="B15987"/>
    </row>
    <row r="15988" spans="1:2">
      <c r="A15988" s="59"/>
      <c r="B15988"/>
    </row>
    <row r="15989" spans="1:2">
      <c r="A15989" s="59"/>
      <c r="B15989"/>
    </row>
    <row r="15990" spans="1:2">
      <c r="A15990" s="59"/>
      <c r="B15990"/>
    </row>
    <row r="15991" spans="1:2">
      <c r="A15991" s="59"/>
      <c r="B15991"/>
    </row>
    <row r="15992" spans="1:2">
      <c r="A15992" s="59"/>
      <c r="B15992"/>
    </row>
    <row r="15993" spans="1:2">
      <c r="A15993" s="59"/>
      <c r="B15993"/>
    </row>
    <row r="15994" spans="1:2">
      <c r="A15994" s="59"/>
      <c r="B15994"/>
    </row>
    <row r="15995" spans="1:2">
      <c r="A15995" s="59"/>
      <c r="B15995"/>
    </row>
    <row r="15996" spans="1:2">
      <c r="A15996" s="59"/>
      <c r="B15996"/>
    </row>
    <row r="15997" spans="1:2">
      <c r="A15997" s="59"/>
      <c r="B15997"/>
    </row>
    <row r="15998" spans="1:2">
      <c r="A15998" s="59"/>
      <c r="B15998"/>
    </row>
    <row r="15999" spans="1:2">
      <c r="A15999" s="59"/>
      <c r="B15999"/>
    </row>
    <row r="16000" spans="1:2">
      <c r="A16000" s="59"/>
      <c r="B16000"/>
    </row>
    <row r="16001" spans="1:2">
      <c r="A16001" s="59"/>
      <c r="B16001"/>
    </row>
    <row r="16002" spans="1:2">
      <c r="A16002" s="59"/>
      <c r="B16002"/>
    </row>
    <row r="16003" spans="1:2">
      <c r="A16003" s="59"/>
      <c r="B16003"/>
    </row>
    <row r="16004" spans="1:2">
      <c r="A16004" s="59"/>
      <c r="B16004"/>
    </row>
    <row r="16005" spans="1:2">
      <c r="A16005" s="59"/>
      <c r="B16005"/>
    </row>
    <row r="16006" spans="1:2">
      <c r="A16006" s="59"/>
      <c r="B16006"/>
    </row>
    <row r="16007" spans="1:2">
      <c r="A16007" s="59"/>
      <c r="B16007"/>
    </row>
    <row r="16008" spans="1:2">
      <c r="A16008" s="59"/>
      <c r="B16008"/>
    </row>
    <row r="16009" spans="1:2">
      <c r="A16009" s="59"/>
      <c r="B16009"/>
    </row>
    <row r="16010" spans="1:2">
      <c r="A16010" s="59"/>
      <c r="B16010"/>
    </row>
    <row r="16011" spans="1:2">
      <c r="A16011" s="59"/>
      <c r="B16011"/>
    </row>
    <row r="16012" spans="1:2">
      <c r="A16012" s="59"/>
      <c r="B16012"/>
    </row>
    <row r="16013" spans="1:2">
      <c r="A16013" s="59"/>
      <c r="B16013"/>
    </row>
    <row r="16014" spans="1:2">
      <c r="A16014" s="59"/>
      <c r="B16014"/>
    </row>
    <row r="16015" spans="1:2">
      <c r="A16015" s="59"/>
      <c r="B16015"/>
    </row>
    <row r="16016" spans="1:2">
      <c r="A16016" s="59"/>
      <c r="B16016"/>
    </row>
    <row r="16017" spans="1:2">
      <c r="A16017" s="59"/>
      <c r="B16017"/>
    </row>
    <row r="16018" spans="1:2">
      <c r="A16018" s="59"/>
      <c r="B16018"/>
    </row>
    <row r="16019" spans="1:2">
      <c r="A16019" s="59"/>
      <c r="B16019"/>
    </row>
    <row r="16020" spans="1:2">
      <c r="A16020" s="59"/>
      <c r="B16020"/>
    </row>
    <row r="16021" spans="1:2">
      <c r="A16021" s="59"/>
      <c r="B16021"/>
    </row>
    <row r="16022" spans="1:2">
      <c r="A16022" s="59"/>
      <c r="B16022"/>
    </row>
    <row r="16023" spans="1:2">
      <c r="A16023" s="59"/>
      <c r="B16023"/>
    </row>
    <row r="16024" spans="1:2">
      <c r="A16024" s="59"/>
      <c r="B16024"/>
    </row>
    <row r="16025" spans="1:2">
      <c r="A16025" s="59"/>
      <c r="B16025"/>
    </row>
    <row r="16026" spans="1:2">
      <c r="A16026" s="59"/>
      <c r="B16026"/>
    </row>
    <row r="16027" spans="1:2">
      <c r="A16027" s="59"/>
      <c r="B16027"/>
    </row>
    <row r="16028" spans="1:2">
      <c r="A16028" s="59"/>
      <c r="B16028"/>
    </row>
    <row r="16029" spans="1:2">
      <c r="A16029" s="59"/>
      <c r="B16029"/>
    </row>
    <row r="16030" spans="1:2">
      <c r="A16030" s="59"/>
      <c r="B16030"/>
    </row>
    <row r="16031" spans="1:2">
      <c r="A16031" s="59"/>
      <c r="B16031"/>
    </row>
    <row r="16032" spans="1:2">
      <c r="A16032" s="59"/>
      <c r="B16032"/>
    </row>
    <row r="16033" spans="1:2">
      <c r="A16033" s="59"/>
      <c r="B16033"/>
    </row>
    <row r="16034" spans="1:2">
      <c r="A16034" s="59"/>
      <c r="B16034"/>
    </row>
    <row r="16035" spans="1:2">
      <c r="A16035" s="59"/>
      <c r="B16035"/>
    </row>
    <row r="16036" spans="1:2">
      <c r="A16036" s="59"/>
      <c r="B16036"/>
    </row>
    <row r="16037" spans="1:2">
      <c r="A16037" s="59"/>
      <c r="B16037"/>
    </row>
    <row r="16038" spans="1:2">
      <c r="A16038" s="59"/>
      <c r="B16038"/>
    </row>
    <row r="16039" spans="1:2">
      <c r="A16039" s="59"/>
      <c r="B16039"/>
    </row>
    <row r="16040" spans="1:2">
      <c r="A16040" s="59"/>
      <c r="B16040"/>
    </row>
    <row r="16041" spans="1:2">
      <c r="A16041" s="59"/>
      <c r="B16041"/>
    </row>
    <row r="16042" spans="1:2">
      <c r="A16042" s="59"/>
      <c r="B16042"/>
    </row>
    <row r="16043" spans="1:2">
      <c r="A16043" s="59"/>
      <c r="B16043"/>
    </row>
    <row r="16044" spans="1:2">
      <c r="A16044" s="59"/>
      <c r="B16044"/>
    </row>
    <row r="16045" spans="1:2">
      <c r="A16045" s="59"/>
      <c r="B16045"/>
    </row>
    <row r="16046" spans="1:2">
      <c r="A16046" s="59"/>
      <c r="B16046"/>
    </row>
    <row r="16047" spans="1:2">
      <c r="A16047" s="59"/>
      <c r="B16047"/>
    </row>
    <row r="16048" spans="1:2">
      <c r="A16048" s="59"/>
      <c r="B16048"/>
    </row>
    <row r="16049" spans="1:2">
      <c r="A16049" s="59"/>
      <c r="B16049"/>
    </row>
    <row r="16050" spans="1:2">
      <c r="A16050" s="59"/>
      <c r="B16050"/>
    </row>
    <row r="16051" spans="1:2">
      <c r="A16051" s="59"/>
      <c r="B16051"/>
    </row>
    <row r="16052" spans="1:2">
      <c r="A16052" s="59"/>
      <c r="B16052"/>
    </row>
    <row r="16053" spans="1:2">
      <c r="A16053" s="59"/>
      <c r="B16053"/>
    </row>
    <row r="16054" spans="1:2">
      <c r="A16054" s="59"/>
      <c r="B16054"/>
    </row>
    <row r="16055" spans="1:2">
      <c r="A16055" s="59"/>
      <c r="B16055"/>
    </row>
    <row r="16056" spans="1:2">
      <c r="A16056" s="59"/>
      <c r="B16056"/>
    </row>
    <row r="16057" spans="1:2">
      <c r="A16057" s="59"/>
      <c r="B16057"/>
    </row>
    <row r="16058" spans="1:2">
      <c r="A16058" s="59"/>
      <c r="B16058"/>
    </row>
    <row r="16059" spans="1:2">
      <c r="A16059" s="59"/>
      <c r="B16059"/>
    </row>
    <row r="16060" spans="1:2">
      <c r="A16060" s="59"/>
      <c r="B16060"/>
    </row>
    <row r="16061" spans="1:2">
      <c r="A16061" s="59"/>
      <c r="B16061"/>
    </row>
    <row r="16062" spans="1:2">
      <c r="A16062" s="59"/>
      <c r="B16062"/>
    </row>
    <row r="16063" spans="1:2">
      <c r="A16063" s="59"/>
      <c r="B16063"/>
    </row>
    <row r="16064" spans="1:2">
      <c r="A16064" s="59"/>
      <c r="B16064"/>
    </row>
    <row r="16065" spans="1:2">
      <c r="A16065" s="59"/>
      <c r="B16065"/>
    </row>
    <row r="16066" spans="1:2">
      <c r="A16066" s="59"/>
      <c r="B16066"/>
    </row>
    <row r="16067" spans="1:2">
      <c r="A16067" s="59"/>
      <c r="B16067"/>
    </row>
    <row r="16068" spans="1:2">
      <c r="A16068" s="59"/>
      <c r="B16068"/>
    </row>
    <row r="16069" spans="1:2">
      <c r="A16069" s="59"/>
      <c r="B16069"/>
    </row>
    <row r="16070" spans="1:2">
      <c r="A16070" s="59"/>
      <c r="B16070"/>
    </row>
    <row r="16071" spans="1:2">
      <c r="A16071" s="59"/>
      <c r="B16071"/>
    </row>
    <row r="16072" spans="1:2">
      <c r="A16072" s="59"/>
      <c r="B16072"/>
    </row>
    <row r="16073" spans="1:2">
      <c r="A16073" s="59"/>
      <c r="B16073"/>
    </row>
    <row r="16074" spans="1:2">
      <c r="A16074" s="59"/>
      <c r="B16074"/>
    </row>
    <row r="16075" spans="1:2">
      <c r="A16075" s="59"/>
      <c r="B16075"/>
    </row>
    <row r="16076" spans="1:2">
      <c r="A16076" s="59"/>
      <c r="B16076"/>
    </row>
    <row r="16077" spans="1:2">
      <c r="A16077" s="59"/>
      <c r="B16077"/>
    </row>
    <row r="16078" spans="1:2">
      <c r="A16078" s="59"/>
      <c r="B16078"/>
    </row>
    <row r="16079" spans="1:2">
      <c r="A16079" s="59"/>
      <c r="B16079"/>
    </row>
    <row r="16080" spans="1:2">
      <c r="A16080" s="59"/>
      <c r="B16080"/>
    </row>
    <row r="16081" spans="1:2">
      <c r="A16081" s="59"/>
      <c r="B16081"/>
    </row>
    <row r="16082" spans="1:2">
      <c r="A16082" s="59"/>
      <c r="B16082"/>
    </row>
    <row r="16083" spans="1:2">
      <c r="A16083" s="59"/>
      <c r="B16083"/>
    </row>
    <row r="16084" spans="1:2">
      <c r="A16084" s="59"/>
      <c r="B16084"/>
    </row>
    <row r="16085" spans="1:2">
      <c r="A16085" s="59"/>
      <c r="B16085"/>
    </row>
    <row r="16086" spans="1:2">
      <c r="A16086" s="59"/>
      <c r="B16086"/>
    </row>
    <row r="16087" spans="1:2">
      <c r="A16087" s="59"/>
      <c r="B16087"/>
    </row>
    <row r="16088" spans="1:2">
      <c r="A16088" s="59"/>
      <c r="B16088"/>
    </row>
    <row r="16089" spans="1:2">
      <c r="A16089" s="59"/>
      <c r="B16089"/>
    </row>
    <row r="16090" spans="1:2">
      <c r="A16090" s="59"/>
      <c r="B16090"/>
    </row>
    <row r="16091" spans="1:2">
      <c r="A16091" s="59"/>
      <c r="B16091"/>
    </row>
    <row r="16092" spans="1:2">
      <c r="A16092" s="59"/>
      <c r="B16092"/>
    </row>
    <row r="16093" spans="1:2">
      <c r="A16093" s="59"/>
      <c r="B16093"/>
    </row>
    <row r="16094" spans="1:2">
      <c r="A16094" s="59"/>
      <c r="B16094"/>
    </row>
    <row r="16095" spans="1:2">
      <c r="A16095" s="59"/>
      <c r="B16095"/>
    </row>
    <row r="16096" spans="1:2">
      <c r="A16096" s="59"/>
      <c r="B16096"/>
    </row>
    <row r="16097" spans="1:2">
      <c r="A16097" s="59"/>
      <c r="B16097"/>
    </row>
    <row r="16098" spans="1:2">
      <c r="A16098" s="59"/>
      <c r="B16098"/>
    </row>
    <row r="16099" spans="1:2">
      <c r="A16099" s="59"/>
      <c r="B16099"/>
    </row>
    <row r="16100" spans="1:2">
      <c r="A16100" s="59"/>
      <c r="B16100"/>
    </row>
    <row r="16101" spans="1:2">
      <c r="A16101" s="59"/>
      <c r="B16101"/>
    </row>
    <row r="16102" spans="1:2">
      <c r="A16102" s="59"/>
      <c r="B16102"/>
    </row>
    <row r="16103" spans="1:2">
      <c r="A16103" s="59"/>
      <c r="B16103"/>
    </row>
    <row r="16104" spans="1:2">
      <c r="A16104" s="59"/>
      <c r="B16104"/>
    </row>
    <row r="16105" spans="1:2">
      <c r="A16105" s="59"/>
      <c r="B16105"/>
    </row>
    <row r="16106" spans="1:2">
      <c r="A16106" s="59"/>
      <c r="B16106"/>
    </row>
    <row r="16107" spans="1:2">
      <c r="A16107" s="59"/>
      <c r="B16107"/>
    </row>
    <row r="16108" spans="1:2">
      <c r="A16108" s="59"/>
      <c r="B16108"/>
    </row>
    <row r="16109" spans="1:2">
      <c r="A16109" s="59"/>
      <c r="B16109"/>
    </row>
    <row r="16110" spans="1:2">
      <c r="A16110" s="59"/>
      <c r="B16110"/>
    </row>
    <row r="16111" spans="1:2">
      <c r="A16111" s="59"/>
      <c r="B16111"/>
    </row>
    <row r="16112" spans="1:2">
      <c r="A16112" s="59"/>
      <c r="B16112"/>
    </row>
    <row r="16113" spans="1:2">
      <c r="A16113" s="59"/>
      <c r="B16113"/>
    </row>
    <row r="16114" spans="1:2">
      <c r="A16114" s="59"/>
      <c r="B16114"/>
    </row>
    <row r="16115" spans="1:2">
      <c r="A16115" s="59"/>
      <c r="B16115"/>
    </row>
    <row r="16116" spans="1:2">
      <c r="A16116" s="59"/>
      <c r="B16116"/>
    </row>
    <row r="16117" spans="1:2">
      <c r="A16117" s="59"/>
      <c r="B16117"/>
    </row>
    <row r="16118" spans="1:2">
      <c r="A16118" s="59"/>
      <c r="B16118"/>
    </row>
    <row r="16119" spans="1:2">
      <c r="A16119" s="59"/>
      <c r="B16119"/>
    </row>
    <row r="16120" spans="1:2">
      <c r="A16120" s="59"/>
      <c r="B16120"/>
    </row>
    <row r="16121" spans="1:2">
      <c r="A16121" s="59"/>
      <c r="B16121"/>
    </row>
    <row r="16122" spans="1:2">
      <c r="A16122" s="59"/>
      <c r="B16122"/>
    </row>
    <row r="16123" spans="1:2">
      <c r="A16123" s="59"/>
      <c r="B16123"/>
    </row>
    <row r="16124" spans="1:2">
      <c r="A16124" s="59"/>
      <c r="B16124"/>
    </row>
    <row r="16125" spans="1:2">
      <c r="A16125" s="59"/>
      <c r="B16125"/>
    </row>
    <row r="16126" spans="1:2">
      <c r="A16126" s="59"/>
      <c r="B16126"/>
    </row>
    <row r="16127" spans="1:2">
      <c r="A16127" s="59"/>
      <c r="B16127"/>
    </row>
    <row r="16128" spans="1:2">
      <c r="A16128" s="59"/>
      <c r="B16128"/>
    </row>
    <row r="16129" spans="1:2">
      <c r="A16129" s="59"/>
      <c r="B16129"/>
    </row>
    <row r="16130" spans="1:2">
      <c r="A16130" s="59"/>
      <c r="B16130"/>
    </row>
    <row r="16131" spans="1:2">
      <c r="A16131" s="59"/>
      <c r="B16131"/>
    </row>
    <row r="16132" spans="1:2">
      <c r="A16132" s="59"/>
      <c r="B16132"/>
    </row>
    <row r="16133" spans="1:2">
      <c r="A16133" s="59"/>
      <c r="B16133"/>
    </row>
    <row r="16134" spans="1:2">
      <c r="A16134" s="59"/>
      <c r="B16134"/>
    </row>
    <row r="16135" spans="1:2">
      <c r="A16135" s="59"/>
      <c r="B16135"/>
    </row>
    <row r="16136" spans="1:2">
      <c r="A16136" s="59"/>
      <c r="B16136"/>
    </row>
    <row r="16137" spans="1:2">
      <c r="A16137" s="59"/>
      <c r="B16137"/>
    </row>
    <row r="16138" spans="1:2">
      <c r="A16138" s="59"/>
      <c r="B16138"/>
    </row>
    <row r="16139" spans="1:2">
      <c r="A16139" s="59"/>
      <c r="B16139"/>
    </row>
    <row r="16140" spans="1:2">
      <c r="A16140" s="59"/>
      <c r="B16140"/>
    </row>
    <row r="16141" spans="1:2">
      <c r="A16141" s="59"/>
      <c r="B16141"/>
    </row>
    <row r="16142" spans="1:2">
      <c r="A16142" s="59"/>
      <c r="B16142"/>
    </row>
    <row r="16143" spans="1:2">
      <c r="A16143" s="59"/>
      <c r="B16143"/>
    </row>
    <row r="16144" spans="1:2">
      <c r="A16144" s="59"/>
      <c r="B16144"/>
    </row>
    <row r="16145" spans="1:2">
      <c r="A16145" s="59"/>
      <c r="B16145"/>
    </row>
    <row r="16146" spans="1:2">
      <c r="A16146" s="59"/>
      <c r="B16146"/>
    </row>
    <row r="16147" spans="1:2">
      <c r="A16147" s="59"/>
      <c r="B16147"/>
    </row>
    <row r="16148" spans="1:2">
      <c r="A16148" s="59"/>
      <c r="B16148"/>
    </row>
    <row r="16149" spans="1:2">
      <c r="A16149" s="59"/>
      <c r="B16149"/>
    </row>
    <row r="16150" spans="1:2">
      <c r="A16150" s="59"/>
      <c r="B16150"/>
    </row>
    <row r="16151" spans="1:2">
      <c r="A16151" s="59"/>
      <c r="B16151"/>
    </row>
    <row r="16152" spans="1:2">
      <c r="A16152" s="59"/>
      <c r="B16152"/>
    </row>
    <row r="16153" spans="1:2">
      <c r="A16153" s="59"/>
      <c r="B16153"/>
    </row>
    <row r="16154" spans="1:2">
      <c r="A16154" s="59"/>
      <c r="B16154"/>
    </row>
    <row r="16155" spans="1:2">
      <c r="A16155" s="59"/>
      <c r="B16155"/>
    </row>
    <row r="16156" spans="1:2">
      <c r="A16156" s="59"/>
      <c r="B16156"/>
    </row>
    <row r="16157" spans="1:2">
      <c r="A16157" s="59"/>
      <c r="B16157"/>
    </row>
    <row r="16158" spans="1:2">
      <c r="A16158" s="59"/>
      <c r="B16158"/>
    </row>
    <row r="16159" spans="1:2">
      <c r="A16159" s="59"/>
      <c r="B16159"/>
    </row>
    <row r="16160" spans="1:2">
      <c r="A16160" s="59"/>
      <c r="B16160"/>
    </row>
    <row r="16161" spans="1:2">
      <c r="A16161" s="59"/>
      <c r="B16161"/>
    </row>
    <row r="16162" spans="1:2">
      <c r="A16162" s="59"/>
      <c r="B16162"/>
    </row>
    <row r="16163" spans="1:2">
      <c r="A16163" s="59"/>
      <c r="B16163"/>
    </row>
    <row r="16164" spans="1:2">
      <c r="A16164" s="59"/>
      <c r="B16164"/>
    </row>
    <row r="16165" spans="1:2">
      <c r="A16165" s="59"/>
      <c r="B16165"/>
    </row>
    <row r="16166" spans="1:2">
      <c r="A16166" s="59"/>
      <c r="B16166"/>
    </row>
    <row r="16167" spans="1:2">
      <c r="A16167" s="59"/>
      <c r="B16167"/>
    </row>
    <row r="16168" spans="1:2">
      <c r="A16168" s="59"/>
      <c r="B16168"/>
    </row>
    <row r="16169" spans="1:2">
      <c r="A16169" s="59"/>
      <c r="B16169"/>
    </row>
    <row r="16170" spans="1:2">
      <c r="A16170" s="59"/>
      <c r="B16170"/>
    </row>
    <row r="16171" spans="1:2">
      <c r="A16171" s="59"/>
      <c r="B16171"/>
    </row>
    <row r="16172" spans="1:2">
      <c r="A16172" s="59"/>
      <c r="B16172"/>
    </row>
    <row r="16173" spans="1:2">
      <c r="A16173" s="59"/>
      <c r="B16173"/>
    </row>
    <row r="16174" spans="1:2">
      <c r="A16174" s="59"/>
      <c r="B16174"/>
    </row>
    <row r="16175" spans="1:2">
      <c r="A16175" s="59"/>
      <c r="B16175"/>
    </row>
    <row r="16176" spans="1:2">
      <c r="A16176" s="59"/>
      <c r="B16176"/>
    </row>
    <row r="16177" spans="1:2">
      <c r="A16177" s="59"/>
      <c r="B16177"/>
    </row>
    <row r="16178" spans="1:2">
      <c r="A16178" s="59"/>
      <c r="B16178"/>
    </row>
    <row r="16179" spans="1:2">
      <c r="A16179" s="59"/>
      <c r="B16179"/>
    </row>
    <row r="16180" spans="1:2">
      <c r="A16180" s="59"/>
      <c r="B16180"/>
    </row>
    <row r="16181" spans="1:2">
      <c r="A16181" s="59"/>
      <c r="B16181"/>
    </row>
    <row r="16182" spans="1:2">
      <c r="A16182" s="59"/>
      <c r="B16182"/>
    </row>
    <row r="16183" spans="1:2">
      <c r="A16183" s="59"/>
      <c r="B16183"/>
    </row>
    <row r="16184" spans="1:2">
      <c r="A16184" s="59"/>
      <c r="B16184"/>
    </row>
    <row r="16185" spans="1:2">
      <c r="A16185" s="59"/>
      <c r="B16185"/>
    </row>
    <row r="16186" spans="1:2">
      <c r="A16186" s="59"/>
      <c r="B16186"/>
    </row>
    <row r="16187" spans="1:2">
      <c r="A16187" s="59"/>
      <c r="B16187"/>
    </row>
    <row r="16188" spans="1:2">
      <c r="A16188" s="59"/>
      <c r="B16188"/>
    </row>
    <row r="16189" spans="1:2">
      <c r="A16189" s="59"/>
      <c r="B16189"/>
    </row>
    <row r="16190" spans="1:2">
      <c r="A16190" s="59"/>
      <c r="B16190"/>
    </row>
    <row r="16191" spans="1:2">
      <c r="A16191" s="59"/>
      <c r="B16191"/>
    </row>
    <row r="16192" spans="1:2">
      <c r="A16192" s="59"/>
      <c r="B16192"/>
    </row>
    <row r="16193" spans="1:2">
      <c r="A16193" s="59"/>
      <c r="B16193"/>
    </row>
    <row r="16194" spans="1:2">
      <c r="A16194" s="59"/>
      <c r="B16194"/>
    </row>
    <row r="16195" spans="1:2">
      <c r="A16195" s="59"/>
      <c r="B16195"/>
    </row>
    <row r="16196" spans="1:2">
      <c r="A16196" s="59"/>
      <c r="B16196"/>
    </row>
    <row r="16197" spans="1:2">
      <c r="A16197" s="59"/>
      <c r="B16197"/>
    </row>
    <row r="16198" spans="1:2">
      <c r="A16198" s="59"/>
      <c r="B16198"/>
    </row>
    <row r="16199" spans="1:2">
      <c r="A16199" s="59"/>
      <c r="B16199"/>
    </row>
    <row r="16200" spans="1:2">
      <c r="A16200" s="59"/>
      <c r="B16200"/>
    </row>
    <row r="16201" spans="1:2">
      <c r="A16201" s="59"/>
      <c r="B16201"/>
    </row>
    <row r="16202" spans="1:2">
      <c r="A16202" s="59"/>
      <c r="B16202"/>
    </row>
    <row r="16203" spans="1:2">
      <c r="A16203" s="59"/>
      <c r="B16203"/>
    </row>
    <row r="16204" spans="1:2">
      <c r="A16204" s="59"/>
      <c r="B16204"/>
    </row>
    <row r="16205" spans="1:2">
      <c r="A16205" s="59"/>
      <c r="B16205"/>
    </row>
    <row r="16206" spans="1:2">
      <c r="A16206" s="59"/>
      <c r="B16206"/>
    </row>
    <row r="16207" spans="1:2">
      <c r="A16207" s="59"/>
      <c r="B16207"/>
    </row>
    <row r="16208" spans="1:2">
      <c r="A16208" s="59"/>
      <c r="B16208"/>
    </row>
    <row r="16209" spans="1:2">
      <c r="A16209" s="59"/>
      <c r="B16209"/>
    </row>
    <row r="16210" spans="1:2">
      <c r="A16210" s="59"/>
      <c r="B16210"/>
    </row>
    <row r="16211" spans="1:2">
      <c r="A16211" s="59"/>
      <c r="B16211"/>
    </row>
    <row r="16212" spans="1:2">
      <c r="A16212" s="59"/>
      <c r="B16212"/>
    </row>
    <row r="16213" spans="1:2">
      <c r="A16213" s="59"/>
      <c r="B16213"/>
    </row>
    <row r="16214" spans="1:2">
      <c r="A16214" s="59"/>
      <c r="B16214"/>
    </row>
    <row r="16215" spans="1:2">
      <c r="A16215" s="59"/>
      <c r="B16215"/>
    </row>
    <row r="16216" spans="1:2">
      <c r="A16216" s="59"/>
      <c r="B16216"/>
    </row>
    <row r="16217" spans="1:2">
      <c r="A16217" s="59"/>
      <c r="B16217"/>
    </row>
    <row r="16218" spans="1:2">
      <c r="A16218" s="59"/>
      <c r="B16218"/>
    </row>
    <row r="16219" spans="1:2">
      <c r="A16219" s="59"/>
      <c r="B16219"/>
    </row>
    <row r="16220" spans="1:2">
      <c r="A16220" s="59"/>
      <c r="B16220"/>
    </row>
    <row r="16221" spans="1:2">
      <c r="A16221" s="59"/>
      <c r="B16221"/>
    </row>
    <row r="16222" spans="1:2">
      <c r="A16222" s="59"/>
      <c r="B16222"/>
    </row>
    <row r="16223" spans="1:2">
      <c r="A16223" s="59"/>
      <c r="B16223"/>
    </row>
    <row r="16224" spans="1:2">
      <c r="A16224" s="59"/>
      <c r="B16224"/>
    </row>
    <row r="16225" spans="1:2">
      <c r="A16225" s="59"/>
      <c r="B16225"/>
    </row>
    <row r="16226" spans="1:2">
      <c r="A16226" s="59"/>
      <c r="B16226"/>
    </row>
    <row r="16227" spans="1:2">
      <c r="A16227" s="59"/>
      <c r="B16227"/>
    </row>
    <row r="16228" spans="1:2">
      <c r="A16228" s="59"/>
      <c r="B16228"/>
    </row>
    <row r="16229" spans="1:2">
      <c r="A16229" s="59"/>
      <c r="B16229"/>
    </row>
    <row r="16230" spans="1:2">
      <c r="A16230" s="59"/>
      <c r="B16230"/>
    </row>
    <row r="16231" spans="1:2">
      <c r="A16231" s="59"/>
      <c r="B16231"/>
    </row>
    <row r="16232" spans="1:2">
      <c r="A16232" s="59"/>
      <c r="B16232"/>
    </row>
    <row r="16233" spans="1:2">
      <c r="A16233" s="59"/>
      <c r="B16233"/>
    </row>
    <row r="16234" spans="1:2">
      <c r="A16234" s="59"/>
      <c r="B16234"/>
    </row>
    <row r="16235" spans="1:2">
      <c r="A16235" s="59"/>
      <c r="B16235"/>
    </row>
    <row r="16236" spans="1:2">
      <c r="A16236" s="59"/>
      <c r="B16236"/>
    </row>
    <row r="16237" spans="1:2">
      <c r="A16237" s="59"/>
      <c r="B16237"/>
    </row>
    <row r="16238" spans="1:2">
      <c r="A16238" s="59"/>
      <c r="B16238"/>
    </row>
    <row r="16239" spans="1:2">
      <c r="A16239" s="59"/>
      <c r="B16239"/>
    </row>
    <row r="16240" spans="1:2">
      <c r="A16240" s="59"/>
      <c r="B16240"/>
    </row>
    <row r="16241" spans="1:2">
      <c r="A16241" s="59"/>
      <c r="B16241"/>
    </row>
    <row r="16242" spans="1:2">
      <c r="A16242" s="59"/>
      <c r="B16242"/>
    </row>
    <row r="16243" spans="1:2">
      <c r="A16243" s="59"/>
      <c r="B16243"/>
    </row>
    <row r="16244" spans="1:2">
      <c r="A16244" s="59"/>
      <c r="B16244"/>
    </row>
    <row r="16245" spans="1:2">
      <c r="A16245" s="59"/>
      <c r="B16245"/>
    </row>
    <row r="16246" spans="1:2">
      <c r="A16246" s="59"/>
      <c r="B16246"/>
    </row>
    <row r="16247" spans="1:2">
      <c r="A16247" s="59"/>
      <c r="B16247"/>
    </row>
    <row r="16248" spans="1:2">
      <c r="A16248" s="59"/>
      <c r="B16248"/>
    </row>
    <row r="16249" spans="1:2">
      <c r="A16249" s="59"/>
      <c r="B16249"/>
    </row>
    <row r="16250" spans="1:2">
      <c r="A16250" s="59"/>
      <c r="B16250"/>
    </row>
    <row r="16251" spans="1:2">
      <c r="A16251" s="59"/>
      <c r="B16251"/>
    </row>
    <row r="16252" spans="1:2">
      <c r="A16252" s="59"/>
      <c r="B16252"/>
    </row>
    <row r="16253" spans="1:2">
      <c r="A16253" s="59"/>
      <c r="B16253"/>
    </row>
    <row r="16254" spans="1:2">
      <c r="A16254" s="59"/>
      <c r="B16254"/>
    </row>
    <row r="16255" spans="1:2">
      <c r="A16255" s="59"/>
      <c r="B16255"/>
    </row>
    <row r="16256" spans="1:2">
      <c r="A16256" s="59"/>
      <c r="B16256"/>
    </row>
    <row r="16257" spans="1:2">
      <c r="A16257" s="59"/>
      <c r="B16257"/>
    </row>
    <row r="16258" spans="1:2">
      <c r="A16258" s="59"/>
      <c r="B16258"/>
    </row>
    <row r="16259" spans="1:2">
      <c r="A16259" s="59"/>
      <c r="B16259"/>
    </row>
    <row r="16260" spans="1:2">
      <c r="A16260" s="59"/>
      <c r="B16260"/>
    </row>
    <row r="16261" spans="1:2">
      <c r="A16261" s="59"/>
      <c r="B16261"/>
    </row>
    <row r="16262" spans="1:2">
      <c r="A16262" s="59"/>
      <c r="B16262"/>
    </row>
    <row r="16263" spans="1:2">
      <c r="A16263" s="59"/>
      <c r="B16263"/>
    </row>
    <row r="16264" spans="1:2">
      <c r="A16264" s="59"/>
      <c r="B16264"/>
    </row>
    <row r="16265" spans="1:2">
      <c r="A16265" s="59"/>
      <c r="B16265"/>
    </row>
    <row r="16266" spans="1:2">
      <c r="A16266" s="59"/>
      <c r="B16266"/>
    </row>
    <row r="16267" spans="1:2">
      <c r="A16267" s="59"/>
      <c r="B16267"/>
    </row>
    <row r="16268" spans="1:2">
      <c r="A16268" s="59"/>
      <c r="B16268"/>
    </row>
    <row r="16269" spans="1:2">
      <c r="A16269" s="59"/>
      <c r="B16269"/>
    </row>
    <row r="16270" spans="1:2">
      <c r="A16270" s="59"/>
      <c r="B16270"/>
    </row>
    <row r="16271" spans="1:2">
      <c r="A16271" s="59"/>
      <c r="B16271"/>
    </row>
    <row r="16272" spans="1:2">
      <c r="A16272" s="59"/>
      <c r="B16272"/>
    </row>
    <row r="16273" spans="1:2">
      <c r="A16273" s="59"/>
      <c r="B16273"/>
    </row>
    <row r="16274" spans="1:2">
      <c r="A16274" s="59"/>
      <c r="B16274"/>
    </row>
    <row r="16275" spans="1:2">
      <c r="A16275" s="59"/>
      <c r="B16275"/>
    </row>
    <row r="16276" spans="1:2">
      <c r="A16276" s="59"/>
      <c r="B16276"/>
    </row>
    <row r="16277" spans="1:2">
      <c r="A16277" s="59"/>
      <c r="B16277"/>
    </row>
    <row r="16278" spans="1:2">
      <c r="A16278" s="59"/>
      <c r="B16278"/>
    </row>
    <row r="16279" spans="1:2">
      <c r="A16279" s="59"/>
      <c r="B16279"/>
    </row>
    <row r="16280" spans="1:2">
      <c r="A16280" s="59"/>
      <c r="B16280"/>
    </row>
    <row r="16281" spans="1:2">
      <c r="A16281" s="59"/>
      <c r="B16281"/>
    </row>
    <row r="16282" spans="1:2">
      <c r="A16282" s="59"/>
      <c r="B16282"/>
    </row>
    <row r="16283" spans="1:2">
      <c r="A16283" s="59"/>
      <c r="B16283"/>
    </row>
    <row r="16284" spans="1:2">
      <c r="A16284" s="59"/>
      <c r="B16284"/>
    </row>
    <row r="16285" spans="1:2">
      <c r="A16285" s="59"/>
      <c r="B16285"/>
    </row>
    <row r="16286" spans="1:2">
      <c r="A16286" s="59"/>
      <c r="B16286"/>
    </row>
    <row r="16287" spans="1:2">
      <c r="A16287" s="59"/>
      <c r="B16287"/>
    </row>
    <row r="16288" spans="1:2">
      <c r="A16288" s="59"/>
      <c r="B16288"/>
    </row>
    <row r="16289" spans="1:2">
      <c r="A16289" s="59"/>
      <c r="B16289"/>
    </row>
    <row r="16290" spans="1:2">
      <c r="A16290" s="59"/>
      <c r="B16290"/>
    </row>
    <row r="16291" spans="1:2">
      <c r="A16291" s="59"/>
      <c r="B16291"/>
    </row>
    <row r="16292" spans="1:2">
      <c r="A16292" s="59"/>
      <c r="B16292"/>
    </row>
    <row r="16293" spans="1:2">
      <c r="A16293" s="59"/>
      <c r="B16293"/>
    </row>
    <row r="16294" spans="1:2">
      <c r="A16294" s="59"/>
      <c r="B16294"/>
    </row>
    <row r="16295" spans="1:2">
      <c r="A16295" s="59"/>
      <c r="B16295"/>
    </row>
    <row r="16296" spans="1:2">
      <c r="A16296" s="59"/>
      <c r="B16296"/>
    </row>
    <row r="16297" spans="1:2">
      <c r="A16297" s="59"/>
      <c r="B16297"/>
    </row>
    <row r="16298" spans="1:2">
      <c r="A16298" s="59"/>
      <c r="B16298"/>
    </row>
    <row r="16299" spans="1:2">
      <c r="A16299" s="59"/>
      <c r="B16299"/>
    </row>
    <row r="16300" spans="1:2">
      <c r="A16300" s="59"/>
      <c r="B16300"/>
    </row>
    <row r="16301" spans="1:2">
      <c r="A16301" s="59"/>
      <c r="B16301"/>
    </row>
    <row r="16302" spans="1:2">
      <c r="A16302" s="59"/>
      <c r="B16302"/>
    </row>
    <row r="16303" spans="1:2">
      <c r="A16303" s="59"/>
      <c r="B16303"/>
    </row>
    <row r="16304" spans="1:2">
      <c r="A16304" s="59"/>
      <c r="B16304"/>
    </row>
    <row r="16305" spans="1:2">
      <c r="A16305" s="59"/>
      <c r="B16305"/>
    </row>
    <row r="16306" spans="1:2">
      <c r="A16306" s="59"/>
      <c r="B16306"/>
    </row>
    <row r="16307" spans="1:2">
      <c r="A16307" s="59"/>
      <c r="B16307"/>
    </row>
    <row r="16308" spans="1:2">
      <c r="A16308" s="59"/>
      <c r="B16308"/>
    </row>
    <row r="16309" spans="1:2">
      <c r="A16309" s="59"/>
      <c r="B16309"/>
    </row>
    <row r="16310" spans="1:2">
      <c r="A16310" s="59"/>
      <c r="B16310"/>
    </row>
    <row r="16311" spans="1:2">
      <c r="A16311" s="59"/>
      <c r="B16311"/>
    </row>
    <row r="16312" spans="1:2">
      <c r="A16312" s="59"/>
      <c r="B16312"/>
    </row>
    <row r="16313" spans="1:2">
      <c r="A16313" s="59"/>
      <c r="B16313"/>
    </row>
    <row r="16314" spans="1:2">
      <c r="A16314" s="59"/>
      <c r="B16314"/>
    </row>
    <row r="16315" spans="1:2">
      <c r="A16315" s="59"/>
      <c r="B16315"/>
    </row>
    <row r="16316" spans="1:2">
      <c r="A16316" s="59"/>
      <c r="B16316"/>
    </row>
    <row r="16317" spans="1:2">
      <c r="A16317" s="59"/>
      <c r="B16317"/>
    </row>
    <row r="16318" spans="1:2">
      <c r="A16318" s="59"/>
      <c r="B16318"/>
    </row>
    <row r="16319" spans="1:2">
      <c r="A16319" s="59"/>
      <c r="B16319"/>
    </row>
    <row r="16320" spans="1:2">
      <c r="A16320" s="59"/>
      <c r="B16320"/>
    </row>
    <row r="16321" spans="1:2">
      <c r="A16321" s="59"/>
      <c r="B16321"/>
    </row>
    <row r="16322" spans="1:2">
      <c r="A16322" s="59"/>
      <c r="B16322"/>
    </row>
    <row r="16323" spans="1:2">
      <c r="A16323" s="59"/>
      <c r="B16323"/>
    </row>
    <row r="16324" spans="1:2">
      <c r="A16324" s="59"/>
      <c r="B16324"/>
    </row>
    <row r="16325" spans="1:2">
      <c r="A16325" s="59"/>
      <c r="B16325"/>
    </row>
    <row r="16326" spans="1:2">
      <c r="A16326" s="59"/>
      <c r="B16326"/>
    </row>
    <row r="16327" spans="1:2">
      <c r="A16327" s="59"/>
      <c r="B16327"/>
    </row>
    <row r="16328" spans="1:2">
      <c r="A16328" s="59"/>
      <c r="B16328"/>
    </row>
    <row r="16329" spans="1:2">
      <c r="A16329" s="59"/>
      <c r="B16329"/>
    </row>
    <row r="16330" spans="1:2">
      <c r="A16330" s="59"/>
      <c r="B16330"/>
    </row>
    <row r="16331" spans="1:2">
      <c r="A16331" s="59"/>
      <c r="B16331"/>
    </row>
    <row r="16332" spans="1:2">
      <c r="A16332" s="59"/>
      <c r="B16332"/>
    </row>
    <row r="16333" spans="1:2">
      <c r="A16333" s="59"/>
      <c r="B16333"/>
    </row>
    <row r="16334" spans="1:2">
      <c r="A16334" s="59"/>
      <c r="B16334"/>
    </row>
    <row r="16335" spans="1:2">
      <c r="A16335" s="59"/>
      <c r="B16335"/>
    </row>
    <row r="16336" spans="1:2">
      <c r="A16336" s="59"/>
      <c r="B16336"/>
    </row>
    <row r="16337" spans="1:2">
      <c r="A16337" s="59"/>
      <c r="B16337"/>
    </row>
    <row r="16338" spans="1:2">
      <c r="A16338" s="59"/>
      <c r="B16338"/>
    </row>
    <row r="16339" spans="1:2">
      <c r="A16339" s="59"/>
      <c r="B16339"/>
    </row>
    <row r="16340" spans="1:2">
      <c r="A16340" s="59"/>
      <c r="B16340"/>
    </row>
    <row r="16341" spans="1:2">
      <c r="A16341" s="59"/>
      <c r="B16341"/>
    </row>
    <row r="16342" spans="1:2">
      <c r="A16342" s="59"/>
      <c r="B16342"/>
    </row>
    <row r="16343" spans="1:2">
      <c r="A16343" s="59"/>
      <c r="B16343"/>
    </row>
    <row r="16344" spans="1:2">
      <c r="A16344" s="59"/>
      <c r="B16344"/>
    </row>
    <row r="16345" spans="1:2">
      <c r="A16345" s="59"/>
      <c r="B16345"/>
    </row>
    <row r="16346" spans="1:2">
      <c r="A16346" s="59"/>
      <c r="B16346"/>
    </row>
    <row r="16347" spans="1:2">
      <c r="A16347" s="59"/>
      <c r="B16347"/>
    </row>
    <row r="16348" spans="1:2">
      <c r="A16348" s="59"/>
      <c r="B16348"/>
    </row>
    <row r="16349" spans="1:2">
      <c r="A16349" s="59"/>
      <c r="B16349"/>
    </row>
    <row r="16350" spans="1:2">
      <c r="A16350" s="59"/>
      <c r="B16350"/>
    </row>
    <row r="16351" spans="1:2">
      <c r="A16351" s="59"/>
      <c r="B16351"/>
    </row>
    <row r="16352" spans="1:2">
      <c r="A16352" s="59"/>
      <c r="B16352"/>
    </row>
    <row r="16353" spans="1:2">
      <c r="A16353" s="59"/>
      <c r="B16353"/>
    </row>
    <row r="16354" spans="1:2">
      <c r="A16354" s="59"/>
      <c r="B16354"/>
    </row>
    <row r="16355" spans="1:2">
      <c r="A16355" s="59"/>
      <c r="B16355"/>
    </row>
    <row r="16356" spans="1:2">
      <c r="A16356" s="59"/>
      <c r="B16356"/>
    </row>
    <row r="16357" spans="1:2">
      <c r="A16357" s="59"/>
      <c r="B16357"/>
    </row>
    <row r="16358" spans="1:2">
      <c r="A16358" s="59"/>
      <c r="B16358"/>
    </row>
    <row r="16359" spans="1:2">
      <c r="A16359" s="59"/>
      <c r="B16359"/>
    </row>
    <row r="16360" spans="1:2">
      <c r="A16360" s="59"/>
      <c r="B16360"/>
    </row>
    <row r="16361" spans="1:2">
      <c r="A16361" s="59"/>
      <c r="B16361"/>
    </row>
    <row r="16362" spans="1:2">
      <c r="A16362" s="59"/>
      <c r="B16362"/>
    </row>
    <row r="16363" spans="1:2">
      <c r="A16363" s="59"/>
      <c r="B16363"/>
    </row>
    <row r="16364" spans="1:2">
      <c r="A16364" s="59"/>
      <c r="B16364"/>
    </row>
    <row r="16365" spans="1:2">
      <c r="A16365" s="59"/>
      <c r="B16365"/>
    </row>
    <row r="16366" spans="1:2">
      <c r="A16366" s="59"/>
      <c r="B16366"/>
    </row>
    <row r="16367" spans="1:2">
      <c r="A16367" s="59"/>
      <c r="B16367"/>
    </row>
    <row r="16368" spans="1:2">
      <c r="A16368" s="59"/>
      <c r="B16368"/>
    </row>
    <row r="16369" spans="1:2">
      <c r="A16369" s="59"/>
      <c r="B16369"/>
    </row>
    <row r="16370" spans="1:2">
      <c r="A16370" s="59"/>
      <c r="B16370"/>
    </row>
    <row r="16371" spans="1:2">
      <c r="A16371" s="59"/>
      <c r="B16371"/>
    </row>
    <row r="16372" spans="1:2">
      <c r="A16372" s="59"/>
      <c r="B16372"/>
    </row>
    <row r="16373" spans="1:2">
      <c r="A16373" s="59"/>
      <c r="B16373"/>
    </row>
    <row r="16374" spans="1:2">
      <c r="A16374" s="59"/>
      <c r="B16374"/>
    </row>
    <row r="16375" spans="1:2">
      <c r="A16375" s="59"/>
      <c r="B16375"/>
    </row>
    <row r="16376" spans="1:2">
      <c r="A16376" s="59"/>
      <c r="B16376"/>
    </row>
    <row r="16377" spans="1:2">
      <c r="A16377" s="59"/>
      <c r="B16377"/>
    </row>
    <row r="16378" spans="1:2">
      <c r="A16378" s="59"/>
      <c r="B16378"/>
    </row>
    <row r="16379" spans="1:2">
      <c r="A16379" s="59"/>
      <c r="B16379"/>
    </row>
    <row r="16380" spans="1:2">
      <c r="A16380" s="59"/>
      <c r="B16380"/>
    </row>
    <row r="16381" spans="1:2">
      <c r="A16381" s="59"/>
      <c r="B16381"/>
    </row>
    <row r="16382" spans="1:2">
      <c r="A16382" s="59"/>
      <c r="B16382"/>
    </row>
    <row r="16383" spans="1:2">
      <c r="A16383" s="59"/>
      <c r="B16383"/>
    </row>
    <row r="16384" spans="1:2">
      <c r="A16384" s="59"/>
      <c r="B16384"/>
    </row>
    <row r="16385" spans="1:2">
      <c r="A16385" s="59"/>
      <c r="B16385"/>
    </row>
    <row r="16386" spans="1:2">
      <c r="A16386" s="59"/>
      <c r="B16386"/>
    </row>
    <row r="16387" spans="1:2">
      <c r="A16387" s="59"/>
      <c r="B16387"/>
    </row>
    <row r="16388" spans="1:2">
      <c r="A16388" s="59"/>
      <c r="B16388"/>
    </row>
    <row r="16389" spans="1:2">
      <c r="A16389" s="59"/>
      <c r="B16389"/>
    </row>
    <row r="16390" spans="1:2">
      <c r="A16390" s="59"/>
      <c r="B16390"/>
    </row>
    <row r="16391" spans="1:2">
      <c r="A16391" s="59"/>
      <c r="B16391"/>
    </row>
    <row r="16392" spans="1:2">
      <c r="A16392" s="59"/>
      <c r="B16392"/>
    </row>
    <row r="16393" spans="1:2">
      <c r="A16393" s="59"/>
      <c r="B16393"/>
    </row>
    <row r="16394" spans="1:2">
      <c r="A16394" s="59"/>
      <c r="B16394"/>
    </row>
    <row r="16395" spans="1:2">
      <c r="A16395" s="59"/>
      <c r="B16395"/>
    </row>
    <row r="16396" spans="1:2">
      <c r="A16396" s="59"/>
      <c r="B16396"/>
    </row>
    <row r="16397" spans="1:2">
      <c r="A16397" s="59"/>
      <c r="B16397"/>
    </row>
    <row r="16398" spans="1:2">
      <c r="A16398" s="59"/>
      <c r="B16398"/>
    </row>
    <row r="16399" spans="1:2">
      <c r="A16399" s="59"/>
      <c r="B16399"/>
    </row>
    <row r="16400" spans="1:2">
      <c r="A16400" s="59"/>
      <c r="B16400"/>
    </row>
    <row r="16401" spans="1:2">
      <c r="A16401" s="59"/>
      <c r="B16401"/>
    </row>
    <row r="16402" spans="1:2">
      <c r="A16402" s="59"/>
      <c r="B16402"/>
    </row>
    <row r="16403" spans="1:2">
      <c r="A16403" s="59"/>
      <c r="B16403"/>
    </row>
    <row r="16404" spans="1:2">
      <c r="A16404" s="59"/>
      <c r="B16404"/>
    </row>
    <row r="16405" spans="1:2">
      <c r="A16405" s="59"/>
      <c r="B16405"/>
    </row>
    <row r="16406" spans="1:2">
      <c r="A16406" s="59"/>
      <c r="B16406"/>
    </row>
    <row r="16407" spans="1:2">
      <c r="A16407" s="59"/>
      <c r="B16407"/>
    </row>
    <row r="16408" spans="1:2">
      <c r="A16408" s="59"/>
      <c r="B16408"/>
    </row>
    <row r="16409" spans="1:2">
      <c r="A16409" s="59"/>
      <c r="B16409"/>
    </row>
    <row r="16410" spans="1:2">
      <c r="A16410" s="59"/>
      <c r="B16410"/>
    </row>
    <row r="16411" spans="1:2">
      <c r="A16411" s="59"/>
      <c r="B16411"/>
    </row>
    <row r="16412" spans="1:2">
      <c r="A16412" s="59"/>
      <c r="B16412"/>
    </row>
    <row r="16413" spans="1:2">
      <c r="A16413" s="59"/>
      <c r="B16413"/>
    </row>
    <row r="16414" spans="1:2">
      <c r="A16414" s="59"/>
      <c r="B16414"/>
    </row>
    <row r="16415" spans="1:2">
      <c r="A16415" s="59"/>
      <c r="B16415"/>
    </row>
    <row r="16416" spans="1:2">
      <c r="A16416" s="59"/>
      <c r="B16416"/>
    </row>
    <row r="16417" spans="1:2">
      <c r="A16417" s="59"/>
      <c r="B16417"/>
    </row>
    <row r="16418" spans="1:2">
      <c r="A16418" s="59"/>
      <c r="B16418"/>
    </row>
    <row r="16419" spans="1:2">
      <c r="A16419" s="59"/>
      <c r="B16419"/>
    </row>
    <row r="16420" spans="1:2">
      <c r="A16420" s="59"/>
      <c r="B16420"/>
    </row>
    <row r="16421" spans="1:2">
      <c r="A16421" s="59"/>
      <c r="B16421"/>
    </row>
    <row r="16422" spans="1:2">
      <c r="A16422" s="59"/>
      <c r="B16422"/>
    </row>
    <row r="16423" spans="1:2">
      <c r="A16423" s="59"/>
      <c r="B16423"/>
    </row>
    <row r="16424" spans="1:2">
      <c r="A16424" s="59"/>
      <c r="B16424"/>
    </row>
    <row r="16425" spans="1:2">
      <c r="A16425" s="59"/>
      <c r="B16425"/>
    </row>
    <row r="16426" spans="1:2">
      <c r="A16426" s="59"/>
      <c r="B16426"/>
    </row>
    <row r="16427" spans="1:2">
      <c r="A16427" s="59"/>
      <c r="B16427"/>
    </row>
    <row r="16428" spans="1:2">
      <c r="A16428" s="59"/>
      <c r="B16428"/>
    </row>
    <row r="16429" spans="1:2">
      <c r="A16429" s="59"/>
      <c r="B16429"/>
    </row>
    <row r="16430" spans="1:2">
      <c r="A16430" s="59"/>
      <c r="B16430"/>
    </row>
    <row r="16431" spans="1:2">
      <c r="A16431" s="59"/>
      <c r="B16431"/>
    </row>
    <row r="16432" spans="1:2">
      <c r="A16432" s="59"/>
      <c r="B16432"/>
    </row>
    <row r="16433" spans="1:2">
      <c r="A16433" s="59"/>
      <c r="B16433"/>
    </row>
    <row r="16434" spans="1:2">
      <c r="A16434" s="59"/>
      <c r="B16434"/>
    </row>
    <row r="16435" spans="1:2">
      <c r="A16435" s="59"/>
      <c r="B16435"/>
    </row>
    <row r="16436" spans="1:2">
      <c r="A16436" s="59"/>
      <c r="B16436"/>
    </row>
    <row r="16437" spans="1:2">
      <c r="A16437" s="59"/>
      <c r="B16437"/>
    </row>
    <row r="16438" spans="1:2">
      <c r="A16438" s="59"/>
      <c r="B16438"/>
    </row>
    <row r="16439" spans="1:2">
      <c r="A16439" s="59"/>
      <c r="B16439"/>
    </row>
    <row r="16440" spans="1:2">
      <c r="A16440" s="59"/>
      <c r="B16440"/>
    </row>
    <row r="16441" spans="1:2">
      <c r="A16441" s="59"/>
      <c r="B16441"/>
    </row>
    <row r="16442" spans="1:2">
      <c r="A16442" s="59"/>
      <c r="B16442"/>
    </row>
    <row r="16443" spans="1:2">
      <c r="A16443" s="59"/>
      <c r="B16443"/>
    </row>
    <row r="16444" spans="1:2">
      <c r="A16444" s="59"/>
      <c r="B16444"/>
    </row>
    <row r="16445" spans="1:2">
      <c r="A16445" s="59"/>
      <c r="B16445"/>
    </row>
    <row r="16446" spans="1:2">
      <c r="A16446" s="59"/>
      <c r="B16446"/>
    </row>
    <row r="16447" spans="1:2">
      <c r="A16447" s="59"/>
      <c r="B16447"/>
    </row>
    <row r="16448" spans="1:2">
      <c r="A16448" s="59"/>
      <c r="B16448"/>
    </row>
    <row r="16449" spans="1:2">
      <c r="A16449" s="59"/>
      <c r="B16449"/>
    </row>
    <row r="16450" spans="1:2">
      <c r="A16450" s="59"/>
      <c r="B16450"/>
    </row>
    <row r="16451" spans="1:2">
      <c r="A16451" s="59"/>
      <c r="B16451"/>
    </row>
    <row r="16452" spans="1:2">
      <c r="A16452" s="59"/>
      <c r="B16452"/>
    </row>
    <row r="16453" spans="1:2">
      <c r="A16453" s="59"/>
      <c r="B16453"/>
    </row>
    <row r="16454" spans="1:2">
      <c r="A16454" s="59"/>
      <c r="B16454"/>
    </row>
    <row r="16455" spans="1:2">
      <c r="A16455" s="59"/>
      <c r="B16455"/>
    </row>
    <row r="16456" spans="1:2">
      <c r="A16456" s="59"/>
      <c r="B16456"/>
    </row>
    <row r="16457" spans="1:2">
      <c r="A16457" s="59"/>
      <c r="B16457"/>
    </row>
    <row r="16458" spans="1:2">
      <c r="A16458" s="59"/>
      <c r="B16458"/>
    </row>
    <row r="16459" spans="1:2">
      <c r="A16459" s="59"/>
      <c r="B16459"/>
    </row>
    <row r="16460" spans="1:2">
      <c r="A16460" s="59"/>
      <c r="B16460"/>
    </row>
    <row r="16461" spans="1:2">
      <c r="A16461" s="59"/>
      <c r="B16461"/>
    </row>
    <row r="16462" spans="1:2">
      <c r="A16462" s="59"/>
      <c r="B16462"/>
    </row>
    <row r="16463" spans="1:2">
      <c r="A16463" s="59"/>
      <c r="B16463"/>
    </row>
    <row r="16464" spans="1:2">
      <c r="A16464" s="59"/>
      <c r="B16464"/>
    </row>
    <row r="16465" spans="1:2">
      <c r="A16465" s="59"/>
      <c r="B16465"/>
    </row>
    <row r="16466" spans="1:2">
      <c r="A16466" s="59"/>
      <c r="B16466"/>
    </row>
    <row r="16467" spans="1:2">
      <c r="A16467" s="59"/>
      <c r="B16467"/>
    </row>
    <row r="16468" spans="1:2">
      <c r="A16468" s="59"/>
      <c r="B16468"/>
    </row>
    <row r="16469" spans="1:2">
      <c r="A16469" s="59"/>
      <c r="B16469"/>
    </row>
    <row r="16470" spans="1:2">
      <c r="A16470" s="59"/>
      <c r="B16470"/>
    </row>
    <row r="16471" spans="1:2">
      <c r="A16471" s="59"/>
      <c r="B16471"/>
    </row>
    <row r="16472" spans="1:2">
      <c r="A16472" s="59"/>
      <c r="B16472"/>
    </row>
    <row r="16473" spans="1:2">
      <c r="A16473" s="59"/>
      <c r="B16473"/>
    </row>
    <row r="16474" spans="1:2">
      <c r="A16474" s="59"/>
      <c r="B16474"/>
    </row>
    <row r="16475" spans="1:2">
      <c r="A16475" s="59"/>
      <c r="B16475"/>
    </row>
    <row r="16476" spans="1:2">
      <c r="A16476" s="59"/>
      <c r="B16476"/>
    </row>
    <row r="16477" spans="1:2">
      <c r="A16477" s="59"/>
      <c r="B16477"/>
    </row>
    <row r="16478" spans="1:2">
      <c r="A16478" s="59"/>
      <c r="B16478"/>
    </row>
    <row r="16479" spans="1:2">
      <c r="A16479" s="59"/>
      <c r="B16479"/>
    </row>
    <row r="16480" spans="1:2">
      <c r="A16480" s="59"/>
      <c r="B16480"/>
    </row>
    <row r="16481" spans="1:2">
      <c r="A16481" s="59"/>
      <c r="B16481"/>
    </row>
    <row r="16482" spans="1:2">
      <c r="A16482" s="59"/>
      <c r="B16482"/>
    </row>
    <row r="16483" spans="1:2">
      <c r="A16483" s="59"/>
      <c r="B16483"/>
    </row>
    <row r="16484" spans="1:2">
      <c r="A16484" s="59"/>
      <c r="B16484"/>
    </row>
    <row r="16485" spans="1:2">
      <c r="A16485" s="59"/>
      <c r="B16485"/>
    </row>
    <row r="16486" spans="1:2">
      <c r="A16486" s="59"/>
      <c r="B16486"/>
    </row>
    <row r="16487" spans="1:2">
      <c r="A16487" s="59"/>
      <c r="B16487"/>
    </row>
    <row r="16488" spans="1:2">
      <c r="A16488" s="59"/>
      <c r="B16488"/>
    </row>
    <row r="16489" spans="1:2">
      <c r="A16489" s="59"/>
      <c r="B16489"/>
    </row>
    <row r="16490" spans="1:2">
      <c r="A16490" s="59"/>
      <c r="B16490"/>
    </row>
    <row r="16491" spans="1:2">
      <c r="A16491" s="59"/>
      <c r="B16491"/>
    </row>
    <row r="16492" spans="1:2">
      <c r="A16492" s="59"/>
      <c r="B16492"/>
    </row>
    <row r="16493" spans="1:2">
      <c r="A16493" s="59"/>
      <c r="B16493"/>
    </row>
    <row r="16494" spans="1:2">
      <c r="A16494" s="59"/>
      <c r="B16494"/>
    </row>
    <row r="16495" spans="1:2">
      <c r="A16495" s="59"/>
      <c r="B16495"/>
    </row>
    <row r="16496" spans="1:2">
      <c r="A16496" s="59"/>
      <c r="B16496"/>
    </row>
    <row r="16497" spans="1:2">
      <c r="A16497" s="59"/>
      <c r="B16497"/>
    </row>
    <row r="16498" spans="1:2">
      <c r="A16498" s="59"/>
      <c r="B16498"/>
    </row>
    <row r="16499" spans="1:2">
      <c r="A16499" s="59"/>
      <c r="B16499"/>
    </row>
    <row r="16500" spans="1:2">
      <c r="A16500" s="59"/>
      <c r="B16500"/>
    </row>
    <row r="16501" spans="1:2">
      <c r="A16501" s="59"/>
      <c r="B16501"/>
    </row>
    <row r="16502" spans="1:2">
      <c r="A16502" s="59"/>
      <c r="B16502"/>
    </row>
    <row r="16503" spans="1:2">
      <c r="A16503" s="59"/>
      <c r="B16503"/>
    </row>
    <row r="16504" spans="1:2">
      <c r="A16504" s="59"/>
      <c r="B16504"/>
    </row>
    <row r="16505" spans="1:2">
      <c r="A16505" s="59"/>
      <c r="B16505"/>
    </row>
    <row r="16506" spans="1:2">
      <c r="A16506" s="59"/>
      <c r="B16506"/>
    </row>
    <row r="16507" spans="1:2">
      <c r="A16507" s="59"/>
      <c r="B16507"/>
    </row>
    <row r="16508" spans="1:2">
      <c r="A16508" s="59"/>
      <c r="B16508"/>
    </row>
    <row r="16509" spans="1:2">
      <c r="A16509" s="59"/>
      <c r="B16509"/>
    </row>
    <row r="16510" spans="1:2">
      <c r="A16510" s="59"/>
      <c r="B16510"/>
    </row>
    <row r="16511" spans="1:2">
      <c r="A16511" s="59"/>
      <c r="B16511"/>
    </row>
    <row r="16512" spans="1:2">
      <c r="A16512" s="59"/>
      <c r="B16512"/>
    </row>
    <row r="16513" spans="1:2">
      <c r="A16513" s="59"/>
      <c r="B16513"/>
    </row>
    <row r="16514" spans="1:2">
      <c r="A16514" s="59"/>
      <c r="B16514"/>
    </row>
    <row r="16515" spans="1:2">
      <c r="A16515" s="59"/>
      <c r="B16515"/>
    </row>
    <row r="16516" spans="1:2">
      <c r="A16516" s="59"/>
      <c r="B16516"/>
    </row>
    <row r="16517" spans="1:2">
      <c r="A16517" s="59"/>
      <c r="B16517"/>
    </row>
    <row r="16518" spans="1:2">
      <c r="A16518" s="59"/>
      <c r="B16518"/>
    </row>
    <row r="16519" spans="1:2">
      <c r="A16519" s="59"/>
      <c r="B16519"/>
    </row>
    <row r="16520" spans="1:2">
      <c r="A16520" s="59"/>
      <c r="B16520"/>
    </row>
    <row r="16521" spans="1:2">
      <c r="A16521" s="59"/>
      <c r="B16521"/>
    </row>
    <row r="16522" spans="1:2">
      <c r="A16522" s="59"/>
      <c r="B16522"/>
    </row>
    <row r="16523" spans="1:2">
      <c r="A16523" s="59"/>
      <c r="B16523"/>
    </row>
    <row r="16524" spans="1:2">
      <c r="A16524" s="59"/>
      <c r="B16524"/>
    </row>
    <row r="16525" spans="1:2">
      <c r="A16525" s="59"/>
      <c r="B16525"/>
    </row>
    <row r="16526" spans="1:2">
      <c r="A16526" s="59"/>
      <c r="B16526"/>
    </row>
    <row r="16527" spans="1:2">
      <c r="A16527" s="59"/>
      <c r="B16527"/>
    </row>
    <row r="16528" spans="1:2">
      <c r="A16528" s="59"/>
      <c r="B16528"/>
    </row>
    <row r="16529" spans="1:2">
      <c r="A16529" s="59"/>
      <c r="B16529"/>
    </row>
    <row r="16530" spans="1:2">
      <c r="A16530" s="59"/>
      <c r="B16530"/>
    </row>
    <row r="16531" spans="1:2">
      <c r="A16531" s="59"/>
      <c r="B16531"/>
    </row>
    <row r="16532" spans="1:2">
      <c r="A16532" s="59"/>
      <c r="B16532"/>
    </row>
    <row r="16533" spans="1:2">
      <c r="A16533" s="59"/>
      <c r="B16533"/>
    </row>
    <row r="16534" spans="1:2">
      <c r="A16534" s="59"/>
      <c r="B16534"/>
    </row>
    <row r="16535" spans="1:2">
      <c r="A16535" s="59"/>
      <c r="B16535"/>
    </row>
    <row r="16536" spans="1:2">
      <c r="A16536" s="59"/>
      <c r="B16536"/>
    </row>
    <row r="16537" spans="1:2">
      <c r="A16537" s="59"/>
      <c r="B16537"/>
    </row>
    <row r="16538" spans="1:2">
      <c r="A16538" s="59"/>
      <c r="B16538"/>
    </row>
    <row r="16539" spans="1:2">
      <c r="A16539" s="59"/>
      <c r="B16539"/>
    </row>
    <row r="16540" spans="1:2">
      <c r="A16540" s="59"/>
      <c r="B16540"/>
    </row>
    <row r="16541" spans="1:2">
      <c r="A16541" s="59"/>
      <c r="B16541"/>
    </row>
    <row r="16542" spans="1:2">
      <c r="A16542" s="59"/>
      <c r="B16542"/>
    </row>
    <row r="16543" spans="1:2">
      <c r="A16543" s="59"/>
      <c r="B16543"/>
    </row>
    <row r="16544" spans="1:2">
      <c r="A16544" s="59"/>
      <c r="B16544"/>
    </row>
    <row r="16545" spans="1:2">
      <c r="A16545" s="59"/>
      <c r="B16545"/>
    </row>
    <row r="16546" spans="1:2">
      <c r="A16546" s="59"/>
      <c r="B16546"/>
    </row>
    <row r="16547" spans="1:2">
      <c r="A16547" s="59"/>
      <c r="B16547"/>
    </row>
    <row r="16548" spans="1:2">
      <c r="A16548" s="59"/>
      <c r="B16548"/>
    </row>
    <row r="16549" spans="1:2">
      <c r="A16549" s="59"/>
      <c r="B16549"/>
    </row>
    <row r="16550" spans="1:2">
      <c r="A16550" s="59"/>
      <c r="B16550"/>
    </row>
    <row r="16551" spans="1:2">
      <c r="A16551" s="59"/>
      <c r="B16551"/>
    </row>
    <row r="16552" spans="1:2">
      <c r="A16552" s="59"/>
      <c r="B16552"/>
    </row>
    <row r="16553" spans="1:2">
      <c r="A16553" s="59"/>
      <c r="B16553"/>
    </row>
    <row r="16554" spans="1:2">
      <c r="A16554" s="59"/>
      <c r="B16554"/>
    </row>
    <row r="16555" spans="1:2">
      <c r="A16555" s="59"/>
      <c r="B16555"/>
    </row>
    <row r="16556" spans="1:2">
      <c r="A16556" s="59"/>
      <c r="B16556"/>
    </row>
    <row r="16557" spans="1:2">
      <c r="A16557" s="59"/>
      <c r="B16557"/>
    </row>
    <row r="16558" spans="1:2">
      <c r="A16558" s="59"/>
      <c r="B16558"/>
    </row>
    <row r="16559" spans="1:2">
      <c r="A16559" s="59"/>
      <c r="B16559"/>
    </row>
    <row r="16560" spans="1:2">
      <c r="A16560" s="59"/>
      <c r="B16560"/>
    </row>
    <row r="16561" spans="1:2">
      <c r="A16561" s="59"/>
      <c r="B16561"/>
    </row>
    <row r="16562" spans="1:2">
      <c r="A16562" s="59"/>
      <c r="B16562"/>
    </row>
    <row r="16563" spans="1:2">
      <c r="A16563" s="59"/>
      <c r="B16563"/>
    </row>
    <row r="16564" spans="1:2">
      <c r="A16564" s="59"/>
      <c r="B16564"/>
    </row>
    <row r="16565" spans="1:2">
      <c r="A16565" s="59"/>
      <c r="B16565"/>
    </row>
    <row r="16566" spans="1:2">
      <c r="A16566" s="59"/>
      <c r="B16566"/>
    </row>
    <row r="16567" spans="1:2">
      <c r="A16567" s="59"/>
      <c r="B16567"/>
    </row>
    <row r="16568" spans="1:2">
      <c r="A16568" s="59"/>
      <c r="B16568"/>
    </row>
    <row r="16569" spans="1:2">
      <c r="A16569" s="59"/>
      <c r="B16569"/>
    </row>
    <row r="16570" spans="1:2">
      <c r="A16570" s="59"/>
      <c r="B16570"/>
    </row>
    <row r="16571" spans="1:2">
      <c r="A16571" s="59"/>
      <c r="B16571"/>
    </row>
    <row r="16572" spans="1:2">
      <c r="A16572" s="59"/>
      <c r="B16572"/>
    </row>
    <row r="16573" spans="1:2">
      <c r="A16573" s="59"/>
      <c r="B16573"/>
    </row>
    <row r="16574" spans="1:2">
      <c r="A16574" s="59"/>
      <c r="B16574"/>
    </row>
    <row r="16575" spans="1:2">
      <c r="A16575" s="59"/>
      <c r="B16575"/>
    </row>
    <row r="16576" spans="1:2">
      <c r="A16576" s="59"/>
      <c r="B16576"/>
    </row>
    <row r="16577" spans="1:2">
      <c r="A16577" s="59"/>
      <c r="B16577"/>
    </row>
    <row r="16578" spans="1:2">
      <c r="A16578" s="59"/>
      <c r="B16578"/>
    </row>
    <row r="16579" spans="1:2">
      <c r="A16579" s="59"/>
      <c r="B16579"/>
    </row>
    <row r="16580" spans="1:2">
      <c r="A16580" s="59"/>
      <c r="B16580"/>
    </row>
    <row r="16581" spans="1:2">
      <c r="A16581" s="59"/>
      <c r="B16581"/>
    </row>
    <row r="16582" spans="1:2">
      <c r="A16582" s="59"/>
      <c r="B16582"/>
    </row>
    <row r="16583" spans="1:2">
      <c r="A16583" s="59"/>
      <c r="B16583"/>
    </row>
    <row r="16584" spans="1:2">
      <c r="A16584" s="59"/>
      <c r="B16584"/>
    </row>
    <row r="16585" spans="1:2">
      <c r="A16585" s="59"/>
      <c r="B16585"/>
    </row>
    <row r="16586" spans="1:2">
      <c r="A16586" s="59"/>
      <c r="B16586"/>
    </row>
    <row r="16587" spans="1:2">
      <c r="A16587" s="59"/>
      <c r="B16587"/>
    </row>
    <row r="16588" spans="1:2">
      <c r="A16588" s="59"/>
      <c r="B16588"/>
    </row>
    <row r="16589" spans="1:2">
      <c r="A16589" s="59"/>
      <c r="B16589"/>
    </row>
    <row r="16590" spans="1:2">
      <c r="A16590" s="59"/>
      <c r="B16590"/>
    </row>
    <row r="16591" spans="1:2">
      <c r="A16591" s="59"/>
      <c r="B16591"/>
    </row>
    <row r="16592" spans="1:2">
      <c r="A16592" s="59"/>
      <c r="B16592"/>
    </row>
  </sheetData>
  <sortState ref="B58:U72">
    <sortCondition ref="C58:C72"/>
  </sortState>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12"/>
  <sheetViews>
    <sheetView workbookViewId="0">
      <selection activeCell="A24" sqref="A24:U31"/>
    </sheetView>
  </sheetViews>
  <sheetFormatPr baseColWidth="10" defaultRowHeight="15"/>
  <cols>
    <col min="2" max="2" width="29.140625" bestFit="1" customWidth="1"/>
    <col min="3" max="10" width="11.42578125" style="16"/>
  </cols>
  <sheetData>
    <row r="2" spans="1:20" s="165" customFormat="1" ht="15.75">
      <c r="A2" s="165" t="s">
        <v>1804</v>
      </c>
      <c r="C2" s="245"/>
      <c r="D2" s="245"/>
      <c r="E2" s="245"/>
      <c r="F2" s="245"/>
      <c r="G2" s="245"/>
      <c r="H2" s="245"/>
      <c r="I2" s="245"/>
      <c r="J2" s="245"/>
    </row>
    <row r="3" spans="1:20" s="165" customFormat="1" ht="15.75">
      <c r="C3" s="245"/>
      <c r="D3" s="245"/>
      <c r="E3" s="245"/>
      <c r="F3" s="245"/>
      <c r="G3" s="245"/>
      <c r="H3" s="245"/>
      <c r="I3" s="245"/>
      <c r="J3" s="245"/>
    </row>
    <row r="4" spans="1:20">
      <c r="C4" s="16">
        <v>2008</v>
      </c>
      <c r="D4" s="16">
        <v>2009</v>
      </c>
      <c r="E4" s="16">
        <v>2010</v>
      </c>
      <c r="F4" s="16">
        <v>2011</v>
      </c>
      <c r="G4" s="16">
        <v>2012</v>
      </c>
      <c r="H4" s="16">
        <v>2013</v>
      </c>
      <c r="I4" s="16">
        <v>2014</v>
      </c>
      <c r="J4" s="16">
        <v>2015</v>
      </c>
      <c r="K4" t="s">
        <v>1677</v>
      </c>
      <c r="L4">
        <v>2008</v>
      </c>
      <c r="M4">
        <v>2009</v>
      </c>
      <c r="N4">
        <v>2010</v>
      </c>
      <c r="O4">
        <v>2011</v>
      </c>
      <c r="P4">
        <v>2012</v>
      </c>
      <c r="Q4">
        <v>2013</v>
      </c>
      <c r="R4">
        <v>2014</v>
      </c>
      <c r="S4">
        <v>2015</v>
      </c>
    </row>
    <row r="5" spans="1:20" ht="30">
      <c r="A5" t="s">
        <v>483</v>
      </c>
      <c r="B5" t="s">
        <v>484</v>
      </c>
      <c r="C5" s="14" t="s">
        <v>716</v>
      </c>
      <c r="D5" s="14" t="s">
        <v>717</v>
      </c>
      <c r="E5" s="14" t="s">
        <v>718</v>
      </c>
      <c r="F5" s="14" t="s">
        <v>719</v>
      </c>
      <c r="G5" s="14" t="s">
        <v>720</v>
      </c>
      <c r="H5" s="14" t="s">
        <v>721</v>
      </c>
      <c r="I5" s="14" t="s">
        <v>722</v>
      </c>
      <c r="J5" s="14" t="s">
        <v>723</v>
      </c>
      <c r="K5" t="s">
        <v>708</v>
      </c>
      <c r="L5" t="s">
        <v>706</v>
      </c>
      <c r="M5" s="59" t="s">
        <v>709</v>
      </c>
      <c r="N5" s="59" t="s">
        <v>710</v>
      </c>
      <c r="O5" s="59" t="s">
        <v>711</v>
      </c>
      <c r="P5" s="59" t="s">
        <v>712</v>
      </c>
      <c r="Q5" s="59" t="s">
        <v>713</v>
      </c>
      <c r="R5" s="59" t="s">
        <v>714</v>
      </c>
      <c r="S5" s="59" t="s">
        <v>715</v>
      </c>
    </row>
    <row r="6" spans="1:20">
      <c r="A6" t="s">
        <v>88</v>
      </c>
      <c r="B6" t="s">
        <v>89</v>
      </c>
      <c r="C6" s="651">
        <v>118400</v>
      </c>
      <c r="D6" s="651">
        <v>115644</v>
      </c>
      <c r="E6" s="651">
        <v>117756</v>
      </c>
      <c r="F6" s="651">
        <v>117788</v>
      </c>
      <c r="G6" s="651">
        <v>117501</v>
      </c>
      <c r="H6" s="651">
        <v>117663</v>
      </c>
      <c r="I6" s="651">
        <v>116489</v>
      </c>
      <c r="J6" s="651">
        <v>115656</v>
      </c>
      <c r="K6" s="168">
        <f>+RATE((2014-2007),,-C6,J6)</f>
        <v>-3.3441749553008967E-3</v>
      </c>
      <c r="L6">
        <v>100</v>
      </c>
      <c r="M6" s="164">
        <f t="shared" ref="M6:S6" si="0">(D6/$C6)*100</f>
        <v>97.672297297297291</v>
      </c>
      <c r="N6" s="164">
        <f t="shared" si="0"/>
        <v>99.456081081081081</v>
      </c>
      <c r="O6" s="164">
        <f t="shared" si="0"/>
        <v>99.483108108108112</v>
      </c>
      <c r="P6" s="164">
        <f t="shared" si="0"/>
        <v>99.240709459459467</v>
      </c>
      <c r="Q6" s="164">
        <f t="shared" si="0"/>
        <v>99.37753378378379</v>
      </c>
      <c r="R6" s="164">
        <f t="shared" si="0"/>
        <v>98.38597972972974</v>
      </c>
      <c r="S6" s="164">
        <f t="shared" si="0"/>
        <v>97.682432432432435</v>
      </c>
    </row>
    <row r="7" spans="1:20">
      <c r="A7" t="s">
        <v>5</v>
      </c>
      <c r="B7" t="s">
        <v>6</v>
      </c>
      <c r="C7" s="651">
        <v>351123</v>
      </c>
      <c r="D7" s="651">
        <v>349339</v>
      </c>
      <c r="E7" s="651">
        <v>354615</v>
      </c>
      <c r="F7" s="651">
        <v>359900</v>
      </c>
      <c r="G7" s="651">
        <v>363689</v>
      </c>
      <c r="H7" s="651">
        <v>366009</v>
      </c>
      <c r="I7" s="651">
        <v>367492</v>
      </c>
      <c r="J7" s="651">
        <v>373544</v>
      </c>
      <c r="K7" s="168">
        <f t="shared" ref="K7:K53" si="1">+RATE((2014-2007),,-C7,J7)</f>
        <v>8.8819572430639485E-3</v>
      </c>
      <c r="L7">
        <v>100</v>
      </c>
      <c r="M7" s="164">
        <f t="shared" ref="M7:M53" si="2">(D7/$C7)*100</f>
        <v>99.491915938289438</v>
      </c>
      <c r="N7" s="164">
        <f t="shared" ref="N7:N53" si="3">(E7/$C7)*100</f>
        <v>100.9945232867115</v>
      </c>
      <c r="O7" s="164">
        <f t="shared" ref="O7:O53" si="4">(F7/$C7)*100</f>
        <v>102.49969383948074</v>
      </c>
      <c r="P7" s="164">
        <f t="shared" ref="P7:P53" si="5">(G7/$C7)*100</f>
        <v>103.57880286964966</v>
      </c>
      <c r="Q7" s="164">
        <f t="shared" ref="Q7:Q53" si="6">(H7/$C7)*100</f>
        <v>104.23953999025983</v>
      </c>
      <c r="R7" s="164">
        <f t="shared" ref="R7:R53" si="7">(I7/$C7)*100</f>
        <v>104.66189910658088</v>
      </c>
      <c r="S7" s="164">
        <f t="shared" ref="S7:S53" si="8">(J7/$C7)*100</f>
        <v>106.38551162982772</v>
      </c>
    </row>
    <row r="8" spans="1:20">
      <c r="A8" t="s">
        <v>87</v>
      </c>
      <c r="B8" s="76" t="s">
        <v>1406</v>
      </c>
      <c r="C8" s="651">
        <v>80671</v>
      </c>
      <c r="D8" s="651">
        <v>81208</v>
      </c>
      <c r="E8" s="651">
        <v>80980</v>
      </c>
      <c r="F8" s="651">
        <v>81624</v>
      </c>
      <c r="G8" s="651">
        <v>79475</v>
      </c>
      <c r="H8" s="651">
        <v>79086</v>
      </c>
      <c r="I8" s="651">
        <v>79641</v>
      </c>
      <c r="J8" s="651">
        <v>80613</v>
      </c>
      <c r="K8" s="168">
        <f t="shared" si="1"/>
        <v>-1.0274161096906962E-4</v>
      </c>
      <c r="L8">
        <v>100</v>
      </c>
      <c r="M8" s="164">
        <f t="shared" si="2"/>
        <v>100.6656667203828</v>
      </c>
      <c r="N8" s="164">
        <f t="shared" si="3"/>
        <v>100.38303727485713</v>
      </c>
      <c r="O8" s="164">
        <f t="shared" si="4"/>
        <v>101.18134149818398</v>
      </c>
      <c r="P8" s="164">
        <f t="shared" si="5"/>
        <v>98.517435013821569</v>
      </c>
      <c r="Q8" s="164">
        <f t="shared" si="6"/>
        <v>98.035229512464213</v>
      </c>
      <c r="R8" s="164">
        <f t="shared" si="7"/>
        <v>98.72320908380955</v>
      </c>
      <c r="S8" s="164">
        <f t="shared" si="8"/>
        <v>99.928103035787331</v>
      </c>
    </row>
    <row r="9" spans="1:20">
      <c r="A9" t="s">
        <v>7</v>
      </c>
      <c r="B9" t="s">
        <v>8</v>
      </c>
      <c r="C9" s="651">
        <v>241610</v>
      </c>
      <c r="D9" s="651">
        <v>234455</v>
      </c>
      <c r="E9" s="651">
        <v>237634</v>
      </c>
      <c r="F9" s="651">
        <v>238480</v>
      </c>
      <c r="G9" s="651">
        <v>237104</v>
      </c>
      <c r="H9" s="651">
        <v>237133</v>
      </c>
      <c r="I9" s="651">
        <v>235723</v>
      </c>
      <c r="J9" s="651">
        <v>235815</v>
      </c>
      <c r="K9" s="168">
        <f t="shared" si="1"/>
        <v>-3.4621723293757766E-3</v>
      </c>
      <c r="L9">
        <v>100</v>
      </c>
      <c r="M9" s="164">
        <f t="shared" si="2"/>
        <v>97.03861595132652</v>
      </c>
      <c r="N9" s="164">
        <f t="shared" si="3"/>
        <v>98.35437274947229</v>
      </c>
      <c r="O9" s="164">
        <f t="shared" si="4"/>
        <v>98.704523819378338</v>
      </c>
      <c r="P9" s="164">
        <f t="shared" si="5"/>
        <v>98.135010968089063</v>
      </c>
      <c r="Q9" s="164">
        <f t="shared" si="6"/>
        <v>98.147013782542118</v>
      </c>
      <c r="R9" s="164">
        <f t="shared" si="7"/>
        <v>97.563428666032038</v>
      </c>
      <c r="S9" s="164">
        <f t="shared" si="8"/>
        <v>97.601506560158938</v>
      </c>
      <c r="T9" s="246">
        <f>MIN(M6:S53)</f>
        <v>93.79845395160342</v>
      </c>
    </row>
    <row r="10" spans="1:20">
      <c r="A10" t="s">
        <v>9</v>
      </c>
      <c r="B10" t="s">
        <v>10</v>
      </c>
      <c r="C10" s="651">
        <v>283346</v>
      </c>
      <c r="D10" s="651">
        <v>280519</v>
      </c>
      <c r="E10" s="651">
        <v>284005</v>
      </c>
      <c r="F10" s="651">
        <v>287479</v>
      </c>
      <c r="G10" s="651">
        <v>288253</v>
      </c>
      <c r="H10" s="651">
        <v>286063</v>
      </c>
      <c r="I10" s="651">
        <v>288763</v>
      </c>
      <c r="J10" s="651">
        <v>293444</v>
      </c>
      <c r="K10" s="168">
        <f t="shared" si="1"/>
        <v>5.0151130316156128E-3</v>
      </c>
      <c r="L10">
        <v>100</v>
      </c>
      <c r="M10" s="164">
        <f t="shared" si="2"/>
        <v>99.002279898075145</v>
      </c>
      <c r="N10" s="164">
        <f t="shared" si="3"/>
        <v>100.23257783769665</v>
      </c>
      <c r="O10" s="164">
        <f t="shared" si="4"/>
        <v>101.45864067253466</v>
      </c>
      <c r="P10" s="164">
        <f t="shared" si="5"/>
        <v>101.73180493107368</v>
      </c>
      <c r="Q10" s="164">
        <f t="shared" si="6"/>
        <v>100.95889830807563</v>
      </c>
      <c r="R10" s="164">
        <f t="shared" si="7"/>
        <v>101.91179688437457</v>
      </c>
      <c r="S10" s="164">
        <f t="shared" si="8"/>
        <v>103.56384067535804</v>
      </c>
      <c r="T10" s="246">
        <f>MAX(M6:S53)</f>
        <v>108.77166145287573</v>
      </c>
    </row>
    <row r="11" spans="1:20">
      <c r="A11" t="s">
        <v>11</v>
      </c>
      <c r="B11" t="s">
        <v>12</v>
      </c>
      <c r="C11" s="651">
        <v>642239</v>
      </c>
      <c r="D11" s="651">
        <v>628551</v>
      </c>
      <c r="E11" s="651">
        <v>639673</v>
      </c>
      <c r="F11" s="651">
        <v>650049</v>
      </c>
      <c r="G11" s="651">
        <v>652462</v>
      </c>
      <c r="H11" s="651">
        <v>655670</v>
      </c>
      <c r="I11" s="651">
        <v>660221</v>
      </c>
      <c r="J11" s="651">
        <v>671957</v>
      </c>
      <c r="K11" s="168">
        <f t="shared" si="1"/>
        <v>6.4829010244731033E-3</v>
      </c>
      <c r="L11">
        <v>100</v>
      </c>
      <c r="M11" s="164">
        <f t="shared" si="2"/>
        <v>97.86870619815987</v>
      </c>
      <c r="N11" s="164">
        <f t="shared" si="3"/>
        <v>99.600460264792389</v>
      </c>
      <c r="O11" s="164">
        <f t="shared" si="4"/>
        <v>101.21605819640351</v>
      </c>
      <c r="P11" s="164">
        <f t="shared" si="5"/>
        <v>101.59177502456251</v>
      </c>
      <c r="Q11" s="164">
        <f t="shared" si="6"/>
        <v>102.09127754620944</v>
      </c>
      <c r="R11" s="164">
        <f t="shared" si="7"/>
        <v>102.79989225194981</v>
      </c>
      <c r="S11" s="164">
        <f t="shared" si="8"/>
        <v>104.62724935732648</v>
      </c>
    </row>
    <row r="12" spans="1:20">
      <c r="A12" t="s">
        <v>13</v>
      </c>
      <c r="B12" t="s">
        <v>54</v>
      </c>
      <c r="C12" s="651">
        <v>375223</v>
      </c>
      <c r="D12" s="651">
        <v>371225</v>
      </c>
      <c r="E12" s="651">
        <v>372286</v>
      </c>
      <c r="F12" s="651">
        <v>375204</v>
      </c>
      <c r="G12" s="651">
        <v>376604</v>
      </c>
      <c r="H12" s="651">
        <v>376918</v>
      </c>
      <c r="I12" s="651">
        <v>379271</v>
      </c>
      <c r="J12" s="651">
        <v>383033</v>
      </c>
      <c r="K12" s="168">
        <f t="shared" si="1"/>
        <v>2.9472820716395683E-3</v>
      </c>
      <c r="L12">
        <v>100</v>
      </c>
      <c r="M12" s="164">
        <f t="shared" si="2"/>
        <v>98.934500283831213</v>
      </c>
      <c r="N12" s="164">
        <f t="shared" si="3"/>
        <v>99.217265466136141</v>
      </c>
      <c r="O12" s="164">
        <f t="shared" si="4"/>
        <v>99.994936344520454</v>
      </c>
      <c r="P12" s="164">
        <f t="shared" si="5"/>
        <v>100.36804780090773</v>
      </c>
      <c r="Q12" s="164">
        <f t="shared" si="6"/>
        <v>100.45173137041172</v>
      </c>
      <c r="R12" s="164">
        <f t="shared" si="7"/>
        <v>101.07882512532547</v>
      </c>
      <c r="S12" s="164">
        <f t="shared" si="8"/>
        <v>102.0814289102747</v>
      </c>
    </row>
    <row r="13" spans="1:20">
      <c r="A13" t="s">
        <v>14</v>
      </c>
      <c r="B13" t="s">
        <v>15</v>
      </c>
      <c r="C13" s="651">
        <v>172523</v>
      </c>
      <c r="D13" s="651">
        <v>171954</v>
      </c>
      <c r="E13" s="651">
        <v>174640</v>
      </c>
      <c r="F13" s="651">
        <v>176295</v>
      </c>
      <c r="G13" s="651">
        <v>176083</v>
      </c>
      <c r="H13" s="651">
        <v>176312</v>
      </c>
      <c r="I13" s="651">
        <v>179123</v>
      </c>
      <c r="J13" s="651">
        <v>183415</v>
      </c>
      <c r="K13" s="168">
        <f t="shared" si="1"/>
        <v>8.7841827628682648E-3</v>
      </c>
      <c r="L13">
        <v>100</v>
      </c>
      <c r="M13" s="164">
        <f t="shared" si="2"/>
        <v>99.670188902349253</v>
      </c>
      <c r="N13" s="164">
        <f t="shared" si="3"/>
        <v>101.22708276577616</v>
      </c>
      <c r="O13" s="164">
        <f t="shared" si="4"/>
        <v>102.18637514998001</v>
      </c>
      <c r="P13" s="164">
        <f t="shared" si="5"/>
        <v>102.06349298354422</v>
      </c>
      <c r="Q13" s="164">
        <f t="shared" si="6"/>
        <v>102.19622890860929</v>
      </c>
      <c r="R13" s="164">
        <f t="shared" si="7"/>
        <v>103.82557687960445</v>
      </c>
      <c r="S13" s="164">
        <f t="shared" si="8"/>
        <v>106.31336111706844</v>
      </c>
    </row>
    <row r="14" spans="1:20">
      <c r="A14" t="s">
        <v>16</v>
      </c>
      <c r="B14" t="s">
        <v>17</v>
      </c>
      <c r="C14" s="651">
        <v>320311</v>
      </c>
      <c r="D14" s="651">
        <v>314683</v>
      </c>
      <c r="E14" s="651">
        <v>321373</v>
      </c>
      <c r="F14" s="651">
        <v>328068</v>
      </c>
      <c r="G14" s="651">
        <v>330916</v>
      </c>
      <c r="H14" s="651">
        <v>332377</v>
      </c>
      <c r="I14" s="651">
        <v>334847</v>
      </c>
      <c r="J14" s="651">
        <v>340642</v>
      </c>
      <c r="K14" s="168">
        <f t="shared" si="1"/>
        <v>8.8301396357580112E-3</v>
      </c>
      <c r="L14">
        <v>100</v>
      </c>
      <c r="M14" s="164">
        <f t="shared" si="2"/>
        <v>98.242957625557665</v>
      </c>
      <c r="N14" s="164">
        <f t="shared" si="3"/>
        <v>100.33155277214956</v>
      </c>
      <c r="O14" s="164">
        <f t="shared" si="4"/>
        <v>102.42170890166121</v>
      </c>
      <c r="P14" s="164">
        <f t="shared" si="5"/>
        <v>103.31084477273649</v>
      </c>
      <c r="Q14" s="164">
        <f t="shared" si="6"/>
        <v>103.7669639818801</v>
      </c>
      <c r="R14" s="164">
        <f t="shared" si="7"/>
        <v>104.53808954422421</v>
      </c>
      <c r="S14" s="164">
        <f t="shared" si="8"/>
        <v>106.34726874818537</v>
      </c>
    </row>
    <row r="15" spans="1:20">
      <c r="A15" t="s">
        <v>18</v>
      </c>
      <c r="B15" t="s">
        <v>19</v>
      </c>
      <c r="C15" s="651">
        <v>171173</v>
      </c>
      <c r="D15" s="651">
        <v>167420</v>
      </c>
      <c r="E15" s="651">
        <v>167646</v>
      </c>
      <c r="F15" s="651">
        <v>166223</v>
      </c>
      <c r="G15" s="651">
        <v>165375</v>
      </c>
      <c r="H15" s="651">
        <v>164372</v>
      </c>
      <c r="I15" s="651">
        <v>161903</v>
      </c>
      <c r="J15" s="651">
        <v>164865</v>
      </c>
      <c r="K15" s="168">
        <f t="shared" si="1"/>
        <v>-5.3496087197694329E-3</v>
      </c>
      <c r="L15">
        <v>100</v>
      </c>
      <c r="M15" s="164">
        <f t="shared" si="2"/>
        <v>97.807481320068007</v>
      </c>
      <c r="N15" s="164">
        <f t="shared" si="3"/>
        <v>97.939511488377249</v>
      </c>
      <c r="O15" s="164">
        <f t="shared" si="4"/>
        <v>97.108188791456598</v>
      </c>
      <c r="P15" s="164">
        <f t="shared" si="5"/>
        <v>96.612783558154618</v>
      </c>
      <c r="Q15" s="164">
        <f t="shared" si="6"/>
        <v>96.026826660746735</v>
      </c>
      <c r="R15" s="164">
        <f t="shared" si="7"/>
        <v>94.584426282182349</v>
      </c>
      <c r="S15" s="164">
        <f t="shared" si="8"/>
        <v>96.314839373031958</v>
      </c>
    </row>
    <row r="16" spans="1:20">
      <c r="A16" t="s">
        <v>20</v>
      </c>
      <c r="B16" t="s">
        <v>21</v>
      </c>
      <c r="C16" s="651">
        <v>225554</v>
      </c>
      <c r="D16" s="651">
        <v>221835</v>
      </c>
      <c r="E16" s="651">
        <v>223951</v>
      </c>
      <c r="F16" s="651">
        <v>227476</v>
      </c>
      <c r="G16" s="651">
        <v>226810</v>
      </c>
      <c r="H16" s="651">
        <v>228389</v>
      </c>
      <c r="I16" s="651">
        <v>229748</v>
      </c>
      <c r="J16" s="651">
        <v>233397</v>
      </c>
      <c r="K16" s="168">
        <f t="shared" si="1"/>
        <v>4.8949797712878398E-3</v>
      </c>
      <c r="L16">
        <v>100</v>
      </c>
      <c r="M16" s="164">
        <f t="shared" si="2"/>
        <v>98.35117089477464</v>
      </c>
      <c r="N16" s="164">
        <f t="shared" si="3"/>
        <v>99.289305443485816</v>
      </c>
      <c r="O16" s="164">
        <f t="shared" si="4"/>
        <v>100.85212410331894</v>
      </c>
      <c r="P16" s="164">
        <f t="shared" si="5"/>
        <v>100.55685113099302</v>
      </c>
      <c r="Q16" s="164">
        <f t="shared" si="6"/>
        <v>101.256905220036</v>
      </c>
      <c r="R16" s="164">
        <f t="shared" si="7"/>
        <v>101.85942169059294</v>
      </c>
      <c r="S16" s="164">
        <f t="shared" si="8"/>
        <v>103.47721609902729</v>
      </c>
    </row>
    <row r="17" spans="1:19">
      <c r="A17" t="s">
        <v>22</v>
      </c>
      <c r="B17" t="s">
        <v>23</v>
      </c>
      <c r="C17" s="651">
        <v>229632</v>
      </c>
      <c r="D17" s="651">
        <v>223822</v>
      </c>
      <c r="E17" s="651">
        <v>222663</v>
      </c>
      <c r="F17" s="651">
        <v>223404</v>
      </c>
      <c r="G17" s="651">
        <v>220787</v>
      </c>
      <c r="H17" s="651">
        <v>218576</v>
      </c>
      <c r="I17" s="651">
        <v>217670</v>
      </c>
      <c r="J17" s="651">
        <v>218497</v>
      </c>
      <c r="K17" s="168">
        <f t="shared" si="1"/>
        <v>-7.0756691829687596E-3</v>
      </c>
      <c r="L17">
        <v>100</v>
      </c>
      <c r="M17" s="164">
        <f t="shared" si="2"/>
        <v>97.469864827201775</v>
      </c>
      <c r="N17" s="164">
        <f t="shared" si="3"/>
        <v>96.965144230769226</v>
      </c>
      <c r="O17" s="164">
        <f t="shared" si="4"/>
        <v>97.287834448160538</v>
      </c>
      <c r="P17" s="164">
        <f t="shared" si="5"/>
        <v>96.148184921962098</v>
      </c>
      <c r="Q17" s="164">
        <f t="shared" si="6"/>
        <v>95.185340022296543</v>
      </c>
      <c r="R17" s="164">
        <f t="shared" si="7"/>
        <v>94.790795707915279</v>
      </c>
      <c r="S17" s="164">
        <f t="shared" si="8"/>
        <v>95.150937151616503</v>
      </c>
    </row>
    <row r="18" spans="1:19">
      <c r="A18" t="s">
        <v>24</v>
      </c>
      <c r="B18" t="s">
        <v>25</v>
      </c>
      <c r="C18" s="651">
        <v>211643</v>
      </c>
      <c r="D18" s="651">
        <v>206696</v>
      </c>
      <c r="E18" s="651">
        <v>208104</v>
      </c>
      <c r="F18" s="651">
        <v>209732</v>
      </c>
      <c r="G18" s="651">
        <v>208527</v>
      </c>
      <c r="H18" s="651">
        <v>208240</v>
      </c>
      <c r="I18" s="651">
        <v>207402</v>
      </c>
      <c r="J18" s="651">
        <v>209010</v>
      </c>
      <c r="K18" s="168">
        <f t="shared" si="1"/>
        <v>-1.7868010867670644E-3</v>
      </c>
      <c r="L18">
        <v>100</v>
      </c>
      <c r="M18" s="164">
        <f t="shared" si="2"/>
        <v>97.662573295596829</v>
      </c>
      <c r="N18" s="164">
        <f t="shared" si="3"/>
        <v>98.327844530648306</v>
      </c>
      <c r="O18" s="164">
        <f t="shared" si="4"/>
        <v>99.097064396176577</v>
      </c>
      <c r="P18" s="164">
        <f t="shared" si="5"/>
        <v>98.52770939742868</v>
      </c>
      <c r="Q18" s="164">
        <f t="shared" si="6"/>
        <v>98.392103684033955</v>
      </c>
      <c r="R18" s="164">
        <f t="shared" si="7"/>
        <v>97.996153900672354</v>
      </c>
      <c r="S18" s="164">
        <f t="shared" si="8"/>
        <v>98.755923890702732</v>
      </c>
    </row>
    <row r="19" spans="1:19">
      <c r="A19" t="s">
        <v>51</v>
      </c>
      <c r="B19" t="s">
        <v>55</v>
      </c>
      <c r="C19" s="651">
        <v>124615</v>
      </c>
      <c r="D19" s="651">
        <v>124430</v>
      </c>
      <c r="E19" s="651">
        <v>126561</v>
      </c>
      <c r="F19" s="651">
        <v>127000</v>
      </c>
      <c r="G19" s="651">
        <v>126058</v>
      </c>
      <c r="H19" s="651">
        <v>125275</v>
      </c>
      <c r="I19" s="651">
        <v>124557</v>
      </c>
      <c r="J19" s="651">
        <v>125682</v>
      </c>
      <c r="K19" s="168">
        <f t="shared" si="1"/>
        <v>1.2187310371552136E-3</v>
      </c>
      <c r="L19">
        <v>100</v>
      </c>
      <c r="M19" s="164">
        <f t="shared" si="2"/>
        <v>99.851542751675154</v>
      </c>
      <c r="N19" s="164">
        <f t="shared" si="3"/>
        <v>101.56160975805481</v>
      </c>
      <c r="O19" s="164">
        <f t="shared" si="4"/>
        <v>101.9138947959716</v>
      </c>
      <c r="P19" s="164">
        <f t="shared" si="5"/>
        <v>101.15796653693377</v>
      </c>
      <c r="Q19" s="164">
        <f t="shared" si="6"/>
        <v>100.52963126429401</v>
      </c>
      <c r="R19" s="164">
        <f t="shared" si="7"/>
        <v>99.953456646471125</v>
      </c>
      <c r="S19" s="164">
        <f t="shared" si="8"/>
        <v>100.85623721060868</v>
      </c>
    </row>
    <row r="20" spans="1:19">
      <c r="A20" t="s">
        <v>26</v>
      </c>
      <c r="B20" t="s">
        <v>27</v>
      </c>
      <c r="C20" s="651">
        <v>414759</v>
      </c>
      <c r="D20" s="651">
        <v>413920</v>
      </c>
      <c r="E20" s="651">
        <v>421185</v>
      </c>
      <c r="F20" s="651">
        <v>430186</v>
      </c>
      <c r="G20" s="651">
        <v>436342</v>
      </c>
      <c r="H20" s="651">
        <v>440030</v>
      </c>
      <c r="I20" s="651">
        <v>442687</v>
      </c>
      <c r="J20" s="651">
        <v>449559</v>
      </c>
      <c r="K20" s="168">
        <f t="shared" si="1"/>
        <v>1.1576418852877891E-2</v>
      </c>
      <c r="L20">
        <v>100</v>
      </c>
      <c r="M20" s="164">
        <f t="shared" si="2"/>
        <v>99.797713853105051</v>
      </c>
      <c r="N20" s="164">
        <f t="shared" si="3"/>
        <v>101.54933346835151</v>
      </c>
      <c r="O20" s="164">
        <f t="shared" si="4"/>
        <v>103.7195094018454</v>
      </c>
      <c r="P20" s="164">
        <f t="shared" si="5"/>
        <v>105.20374482530819</v>
      </c>
      <c r="Q20" s="164">
        <f t="shared" si="6"/>
        <v>106.09293589771409</v>
      </c>
      <c r="R20" s="164">
        <f t="shared" si="7"/>
        <v>106.73354888019308</v>
      </c>
      <c r="S20" s="164">
        <f t="shared" si="8"/>
        <v>108.39041467454594</v>
      </c>
    </row>
    <row r="21" spans="1:19">
      <c r="A21" t="s">
        <v>28</v>
      </c>
      <c r="B21" t="s">
        <v>29</v>
      </c>
      <c r="C21" s="177">
        <v>750819</v>
      </c>
      <c r="D21" s="177">
        <v>734780</v>
      </c>
      <c r="E21" s="177">
        <v>747110</v>
      </c>
      <c r="F21" s="177">
        <v>759550</v>
      </c>
      <c r="G21" s="177">
        <v>760552</v>
      </c>
      <c r="H21" s="177">
        <v>765017</v>
      </c>
      <c r="I21" s="651">
        <v>770451</v>
      </c>
      <c r="J21" s="651">
        <v>783230</v>
      </c>
      <c r="K21" s="168">
        <f t="shared" si="1"/>
        <v>6.0556595531909207E-3</v>
      </c>
      <c r="L21">
        <v>100</v>
      </c>
      <c r="M21" s="164">
        <f t="shared" si="2"/>
        <v>97.86379939772435</v>
      </c>
      <c r="N21" s="164">
        <f t="shared" si="3"/>
        <v>99.50600610799674</v>
      </c>
      <c r="O21" s="164">
        <f t="shared" si="4"/>
        <v>101.16286348640617</v>
      </c>
      <c r="P21" s="164">
        <f t="shared" si="5"/>
        <v>101.29631775434558</v>
      </c>
      <c r="Q21" s="164">
        <f t="shared" si="6"/>
        <v>101.89100169281811</v>
      </c>
      <c r="R21" s="164">
        <f t="shared" si="7"/>
        <v>102.61474469878893</v>
      </c>
      <c r="S21" s="164">
        <f t="shared" si="8"/>
        <v>104.31675277263895</v>
      </c>
    </row>
    <row r="22" spans="1:19">
      <c r="A22" t="s">
        <v>30</v>
      </c>
      <c r="B22" t="s">
        <v>59</v>
      </c>
      <c r="C22" s="651">
        <v>509414</v>
      </c>
      <c r="D22" s="651">
        <v>503454</v>
      </c>
      <c r="E22" s="651">
        <v>506262</v>
      </c>
      <c r="F22" s="651">
        <v>511992</v>
      </c>
      <c r="G22" s="651">
        <v>512376</v>
      </c>
      <c r="H22" s="651">
        <v>512369</v>
      </c>
      <c r="I22" s="651">
        <v>516754</v>
      </c>
      <c r="J22" s="651">
        <v>521553</v>
      </c>
      <c r="K22" s="168">
        <f t="shared" si="1"/>
        <v>3.3699303060919887E-3</v>
      </c>
      <c r="L22">
        <v>100</v>
      </c>
      <c r="M22" s="164">
        <f t="shared" si="2"/>
        <v>98.830028228513541</v>
      </c>
      <c r="N22" s="164">
        <f t="shared" si="3"/>
        <v>99.381249828234004</v>
      </c>
      <c r="O22" s="164">
        <f t="shared" si="4"/>
        <v>100.50607168236445</v>
      </c>
      <c r="P22" s="164">
        <f t="shared" si="5"/>
        <v>100.58145241395016</v>
      </c>
      <c r="Q22" s="164">
        <f t="shared" si="6"/>
        <v>100.58007828603061</v>
      </c>
      <c r="R22" s="164">
        <f t="shared" si="7"/>
        <v>101.44087127562258</v>
      </c>
      <c r="S22" s="164">
        <f t="shared" si="8"/>
        <v>102.38293411645539</v>
      </c>
    </row>
    <row r="23" spans="1:19">
      <c r="A23" t="s">
        <v>31</v>
      </c>
      <c r="B23" t="s">
        <v>32</v>
      </c>
      <c r="C23" s="651">
        <v>392229</v>
      </c>
      <c r="D23" s="651">
        <v>391297</v>
      </c>
      <c r="E23" s="651">
        <v>397948</v>
      </c>
      <c r="F23" s="651">
        <v>406917</v>
      </c>
      <c r="G23" s="651">
        <v>413107</v>
      </c>
      <c r="H23" s="651">
        <v>417025</v>
      </c>
      <c r="I23" s="651">
        <v>420061</v>
      </c>
      <c r="J23" s="651">
        <v>426634</v>
      </c>
      <c r="K23" s="168">
        <f t="shared" si="1"/>
        <v>1.2083949440202708E-2</v>
      </c>
      <c r="L23">
        <v>100</v>
      </c>
      <c r="M23" s="164">
        <f t="shared" si="2"/>
        <v>99.762383709516627</v>
      </c>
      <c r="N23" s="164">
        <f t="shared" si="3"/>
        <v>101.45807678677508</v>
      </c>
      <c r="O23" s="164">
        <f t="shared" si="4"/>
        <v>103.74475115302539</v>
      </c>
      <c r="P23" s="164">
        <f t="shared" si="5"/>
        <v>105.32291085054904</v>
      </c>
      <c r="Q23" s="164">
        <f t="shared" si="6"/>
        <v>106.32181710174413</v>
      </c>
      <c r="R23" s="164">
        <f t="shared" si="7"/>
        <v>107.09585471752472</v>
      </c>
      <c r="S23" s="164">
        <f t="shared" si="8"/>
        <v>108.77166145287573</v>
      </c>
    </row>
    <row r="24" spans="1:19">
      <c r="A24" t="s">
        <v>33</v>
      </c>
      <c r="B24" t="s">
        <v>34</v>
      </c>
      <c r="C24" s="651">
        <v>390533</v>
      </c>
      <c r="D24" s="651">
        <v>384741</v>
      </c>
      <c r="E24" s="651">
        <v>387899</v>
      </c>
      <c r="F24" s="651">
        <v>390865</v>
      </c>
      <c r="G24" s="651">
        <v>390017</v>
      </c>
      <c r="H24" s="651">
        <v>387537</v>
      </c>
      <c r="I24" s="651">
        <v>388534</v>
      </c>
      <c r="J24" s="651">
        <v>392278</v>
      </c>
      <c r="K24" s="168">
        <f t="shared" si="1"/>
        <v>6.3710277246170567E-4</v>
      </c>
      <c r="L24">
        <v>100</v>
      </c>
      <c r="M24" s="164">
        <f t="shared" si="2"/>
        <v>98.516898699981823</v>
      </c>
      <c r="N24" s="164">
        <f t="shared" si="3"/>
        <v>99.325537150509689</v>
      </c>
      <c r="O24" s="164">
        <f t="shared" si="4"/>
        <v>100.08501202203144</v>
      </c>
      <c r="P24" s="164">
        <f t="shared" si="5"/>
        <v>99.867872881421022</v>
      </c>
      <c r="Q24" s="164">
        <f t="shared" si="6"/>
        <v>99.232843319258563</v>
      </c>
      <c r="R24" s="164">
        <f t="shared" si="7"/>
        <v>99.488135445660163</v>
      </c>
      <c r="S24" s="164">
        <f t="shared" si="8"/>
        <v>100.44682523627966</v>
      </c>
    </row>
    <row r="25" spans="1:19">
      <c r="A25" t="s">
        <v>35</v>
      </c>
      <c r="B25" t="s">
        <v>61</v>
      </c>
      <c r="C25" s="651">
        <v>337384</v>
      </c>
      <c r="D25" s="651">
        <v>335766</v>
      </c>
      <c r="E25" s="651">
        <v>341098</v>
      </c>
      <c r="F25" s="651">
        <v>346364</v>
      </c>
      <c r="G25" s="651">
        <v>350232</v>
      </c>
      <c r="H25" s="651">
        <v>352500</v>
      </c>
      <c r="I25" s="651">
        <v>354280</v>
      </c>
      <c r="J25" s="651">
        <v>360254</v>
      </c>
      <c r="K25" s="168">
        <f t="shared" si="1"/>
        <v>9.4136884539134866E-3</v>
      </c>
      <c r="L25">
        <v>100</v>
      </c>
      <c r="M25" s="164">
        <f t="shared" si="2"/>
        <v>99.52042776183815</v>
      </c>
      <c r="N25" s="164">
        <f t="shared" si="3"/>
        <v>101.10082280131837</v>
      </c>
      <c r="O25" s="164">
        <f t="shared" si="4"/>
        <v>102.66165556161526</v>
      </c>
      <c r="P25" s="164">
        <f t="shared" si="5"/>
        <v>103.80812368102814</v>
      </c>
      <c r="Q25" s="164">
        <f t="shared" si="6"/>
        <v>104.48035472932919</v>
      </c>
      <c r="R25" s="164">
        <f t="shared" si="7"/>
        <v>105.00794347094113</v>
      </c>
      <c r="S25" s="164">
        <f t="shared" si="8"/>
        <v>106.77862613520499</v>
      </c>
    </row>
    <row r="26" spans="1:19">
      <c r="A26" t="s">
        <v>36</v>
      </c>
      <c r="B26" t="s">
        <v>37</v>
      </c>
      <c r="C26" s="651">
        <v>289340</v>
      </c>
      <c r="D26" s="651">
        <v>284308</v>
      </c>
      <c r="E26" s="651">
        <v>285560</v>
      </c>
      <c r="F26" s="651">
        <v>287256</v>
      </c>
      <c r="G26" s="651">
        <v>286832</v>
      </c>
      <c r="H26" s="651">
        <v>283843</v>
      </c>
      <c r="I26" s="651">
        <v>280796</v>
      </c>
      <c r="J26" s="651">
        <v>285089</v>
      </c>
      <c r="K26" s="168">
        <f t="shared" si="1"/>
        <v>-2.1122025798068311E-3</v>
      </c>
      <c r="L26">
        <v>100</v>
      </c>
      <c r="M26" s="164">
        <f t="shared" si="2"/>
        <v>98.260869565217391</v>
      </c>
      <c r="N26" s="164">
        <f t="shared" si="3"/>
        <v>98.693578488974907</v>
      </c>
      <c r="O26" s="164">
        <f t="shared" si="4"/>
        <v>99.27974009815442</v>
      </c>
      <c r="P26" s="164">
        <f t="shared" si="5"/>
        <v>99.133199695859545</v>
      </c>
      <c r="Q26" s="164">
        <f t="shared" si="6"/>
        <v>98.100158982511914</v>
      </c>
      <c r="R26" s="164">
        <f t="shared" si="7"/>
        <v>97.047072648095664</v>
      </c>
      <c r="S26" s="164">
        <f t="shared" si="8"/>
        <v>98.530794221331305</v>
      </c>
    </row>
    <row r="27" spans="1:19">
      <c r="A27" t="s">
        <v>38</v>
      </c>
      <c r="B27" t="s">
        <v>39</v>
      </c>
      <c r="C27" s="651">
        <v>285321</v>
      </c>
      <c r="D27" s="651">
        <v>280857</v>
      </c>
      <c r="E27" s="651">
        <v>287236</v>
      </c>
      <c r="F27" s="651">
        <v>293761</v>
      </c>
      <c r="G27" s="651">
        <v>296564</v>
      </c>
      <c r="H27" s="651">
        <v>298288</v>
      </c>
      <c r="I27" s="651">
        <v>300497</v>
      </c>
      <c r="J27" s="651">
        <v>305537</v>
      </c>
      <c r="K27" s="168">
        <f t="shared" si="1"/>
        <v>9.8274066134934335E-3</v>
      </c>
      <c r="L27">
        <v>100</v>
      </c>
      <c r="M27" s="164">
        <f t="shared" si="2"/>
        <v>98.435446391958521</v>
      </c>
      <c r="N27" s="164">
        <f t="shared" si="3"/>
        <v>100.6711738708332</v>
      </c>
      <c r="O27" s="164">
        <f t="shared" si="4"/>
        <v>102.95807178581317</v>
      </c>
      <c r="P27" s="164">
        <f t="shared" si="5"/>
        <v>103.9404740625471</v>
      </c>
      <c r="Q27" s="164">
        <f t="shared" si="6"/>
        <v>104.54470578751651</v>
      </c>
      <c r="R27" s="164">
        <f t="shared" si="7"/>
        <v>105.31892149543847</v>
      </c>
      <c r="S27" s="164">
        <f t="shared" si="8"/>
        <v>107.08535298838852</v>
      </c>
    </row>
    <row r="28" spans="1:19">
      <c r="A28" t="s">
        <v>40</v>
      </c>
      <c r="B28" t="s">
        <v>41</v>
      </c>
      <c r="C28" s="651">
        <v>258107</v>
      </c>
      <c r="D28" s="651">
        <v>251399</v>
      </c>
      <c r="E28" s="651">
        <v>253246</v>
      </c>
      <c r="F28" s="651">
        <v>255111</v>
      </c>
      <c r="G28" s="651">
        <v>253137</v>
      </c>
      <c r="H28" s="651">
        <v>253483</v>
      </c>
      <c r="I28" s="651">
        <v>252971</v>
      </c>
      <c r="J28" s="651">
        <v>254314</v>
      </c>
      <c r="K28" s="168">
        <f t="shared" si="1"/>
        <v>-2.1126942030076229E-3</v>
      </c>
      <c r="L28">
        <v>100</v>
      </c>
      <c r="M28" s="164">
        <f t="shared" si="2"/>
        <v>97.40107784755935</v>
      </c>
      <c r="N28" s="164">
        <f t="shared" si="3"/>
        <v>98.116672542782652</v>
      </c>
      <c r="O28" s="164">
        <f t="shared" si="4"/>
        <v>98.83924108993557</v>
      </c>
      <c r="P28" s="164">
        <f t="shared" si="5"/>
        <v>98.074441994986572</v>
      </c>
      <c r="Q28" s="164">
        <f t="shared" si="6"/>
        <v>98.208494926522718</v>
      </c>
      <c r="R28" s="164">
        <f t="shared" si="7"/>
        <v>98.010127582746691</v>
      </c>
      <c r="S28" s="164">
        <f t="shared" si="8"/>
        <v>98.530454423940455</v>
      </c>
    </row>
    <row r="29" spans="1:19">
      <c r="A29" t="s">
        <v>42</v>
      </c>
      <c r="B29" t="s">
        <v>43</v>
      </c>
      <c r="C29" s="651">
        <v>215553</v>
      </c>
      <c r="D29" s="651">
        <v>209065</v>
      </c>
      <c r="E29" s="651">
        <v>211878</v>
      </c>
      <c r="F29" s="651">
        <v>213062</v>
      </c>
      <c r="G29" s="651">
        <v>212092</v>
      </c>
      <c r="H29" s="651">
        <v>212027</v>
      </c>
      <c r="I29" s="651">
        <v>210774</v>
      </c>
      <c r="J29" s="651">
        <v>210787</v>
      </c>
      <c r="K29" s="168">
        <f t="shared" si="1"/>
        <v>-3.189000593330596E-3</v>
      </c>
      <c r="L29">
        <v>100</v>
      </c>
      <c r="M29" s="164">
        <f t="shared" si="2"/>
        <v>96.990067408015662</v>
      </c>
      <c r="N29" s="164">
        <f t="shared" si="3"/>
        <v>98.295082879848579</v>
      </c>
      <c r="O29" s="164">
        <f t="shared" si="4"/>
        <v>98.844367742504176</v>
      </c>
      <c r="P29" s="164">
        <f t="shared" si="5"/>
        <v>98.394362407389366</v>
      </c>
      <c r="Q29" s="164">
        <f t="shared" si="6"/>
        <v>98.364207410706413</v>
      </c>
      <c r="R29" s="164">
        <f t="shared" si="7"/>
        <v>97.782911859264317</v>
      </c>
      <c r="S29" s="164">
        <f t="shared" si="8"/>
        <v>97.788942858600905</v>
      </c>
    </row>
    <row r="30" spans="1:19">
      <c r="A30" t="s">
        <v>44</v>
      </c>
      <c r="B30" t="s">
        <v>45</v>
      </c>
      <c r="C30" s="651">
        <v>209147</v>
      </c>
      <c r="D30" s="651">
        <v>204915</v>
      </c>
      <c r="E30" s="651">
        <v>206596</v>
      </c>
      <c r="F30" s="651">
        <v>210187</v>
      </c>
      <c r="G30" s="651">
        <v>209740</v>
      </c>
      <c r="H30" s="651">
        <v>210893</v>
      </c>
      <c r="I30" s="651">
        <v>211984</v>
      </c>
      <c r="J30" s="651">
        <v>215507</v>
      </c>
      <c r="K30" s="168">
        <f t="shared" si="1"/>
        <v>4.2886037964988168E-3</v>
      </c>
      <c r="L30">
        <v>100</v>
      </c>
      <c r="M30" s="164">
        <f t="shared" si="2"/>
        <v>97.976542814384132</v>
      </c>
      <c r="N30" s="164">
        <f t="shared" si="3"/>
        <v>98.78028372388799</v>
      </c>
      <c r="O30" s="164">
        <f t="shared" si="4"/>
        <v>100.49725790950863</v>
      </c>
      <c r="P30" s="164">
        <f t="shared" si="5"/>
        <v>100.28353263494097</v>
      </c>
      <c r="Q30" s="164">
        <f t="shared" si="6"/>
        <v>100.83481952884814</v>
      </c>
      <c r="R30" s="164">
        <f t="shared" si="7"/>
        <v>101.35646220122689</v>
      </c>
      <c r="S30" s="164">
        <f t="shared" si="8"/>
        <v>103.04092336968735</v>
      </c>
    </row>
    <row r="31" spans="1:19">
      <c r="A31" t="s">
        <v>46</v>
      </c>
      <c r="B31" t="s">
        <v>47</v>
      </c>
      <c r="C31" s="651">
        <v>186609</v>
      </c>
      <c r="D31" s="651">
        <v>182290</v>
      </c>
      <c r="E31" s="651">
        <v>181118</v>
      </c>
      <c r="F31" s="651">
        <v>181731</v>
      </c>
      <c r="G31" s="651">
        <v>179474</v>
      </c>
      <c r="H31" s="651">
        <v>177344</v>
      </c>
      <c r="I31" s="651">
        <v>176120</v>
      </c>
      <c r="J31" s="651">
        <v>176332</v>
      </c>
      <c r="K31" s="168">
        <f t="shared" si="1"/>
        <v>-8.0597640959906899E-3</v>
      </c>
      <c r="L31">
        <v>100</v>
      </c>
      <c r="M31" s="164">
        <f t="shared" si="2"/>
        <v>97.68553499563258</v>
      </c>
      <c r="N31" s="164">
        <f t="shared" si="3"/>
        <v>97.057483829825998</v>
      </c>
      <c r="O31" s="164">
        <f t="shared" si="4"/>
        <v>97.385978168255548</v>
      </c>
      <c r="P31" s="164">
        <f t="shared" si="5"/>
        <v>96.176497382227012</v>
      </c>
      <c r="Q31" s="164">
        <f t="shared" si="6"/>
        <v>95.035073335155332</v>
      </c>
      <c r="R31" s="164">
        <f t="shared" si="7"/>
        <v>94.379156417964836</v>
      </c>
      <c r="S31" s="164">
        <f t="shared" si="8"/>
        <v>94.4927629428377</v>
      </c>
    </row>
    <row r="32" spans="1:19">
      <c r="A32" t="s">
        <v>56</v>
      </c>
      <c r="B32" t="s">
        <v>63</v>
      </c>
      <c r="C32" s="651">
        <v>123581</v>
      </c>
      <c r="D32" s="651">
        <v>123234</v>
      </c>
      <c r="E32" s="651">
        <v>125062</v>
      </c>
      <c r="F32" s="651">
        <v>126093</v>
      </c>
      <c r="G32" s="651">
        <v>125240</v>
      </c>
      <c r="H32" s="651">
        <v>124819</v>
      </c>
      <c r="I32" s="651">
        <v>124786</v>
      </c>
      <c r="J32" s="651">
        <v>125949</v>
      </c>
      <c r="K32" s="168">
        <f t="shared" si="1"/>
        <v>2.7151438566409281E-3</v>
      </c>
      <c r="L32">
        <v>100</v>
      </c>
      <c r="M32" s="164">
        <f t="shared" si="2"/>
        <v>99.719212500303442</v>
      </c>
      <c r="N32" s="164">
        <f t="shared" si="3"/>
        <v>101.19840428544842</v>
      </c>
      <c r="O32" s="164">
        <f t="shared" si="4"/>
        <v>102.03267492575721</v>
      </c>
      <c r="P32" s="164">
        <f t="shared" si="5"/>
        <v>101.3424393717481</v>
      </c>
      <c r="Q32" s="164">
        <f t="shared" si="6"/>
        <v>101.00177211707302</v>
      </c>
      <c r="R32" s="164">
        <f t="shared" si="7"/>
        <v>100.97506898309612</v>
      </c>
      <c r="S32" s="164">
        <f t="shared" si="8"/>
        <v>101.91615215931252</v>
      </c>
    </row>
    <row r="33" spans="1:19">
      <c r="A33" t="s">
        <v>57</v>
      </c>
      <c r="B33" t="s">
        <v>64</v>
      </c>
      <c r="C33" s="651">
        <v>122923</v>
      </c>
      <c r="D33" s="651">
        <v>122565</v>
      </c>
      <c r="E33" s="651">
        <v>122228</v>
      </c>
      <c r="F33" s="651">
        <v>123001</v>
      </c>
      <c r="G33" s="651">
        <v>120520</v>
      </c>
      <c r="H33" s="651">
        <v>119764</v>
      </c>
      <c r="I33" s="651">
        <v>120413</v>
      </c>
      <c r="J33" s="651">
        <v>122566</v>
      </c>
      <c r="K33" s="168">
        <f t="shared" si="1"/>
        <v>-4.154112178127222E-4</v>
      </c>
      <c r="L33">
        <v>100</v>
      </c>
      <c r="M33" s="164">
        <f t="shared" si="2"/>
        <v>99.708760768936656</v>
      </c>
      <c r="N33" s="164">
        <f t="shared" si="3"/>
        <v>99.434605403382605</v>
      </c>
      <c r="O33" s="164">
        <f t="shared" si="4"/>
        <v>100.06345435760598</v>
      </c>
      <c r="P33" s="164">
        <f t="shared" si="5"/>
        <v>98.045117675292659</v>
      </c>
      <c r="Q33" s="164">
        <f t="shared" si="6"/>
        <v>97.43009851695777</v>
      </c>
      <c r="R33" s="164">
        <f t="shared" si="7"/>
        <v>97.958071312935729</v>
      </c>
      <c r="S33" s="164">
        <f t="shared" si="8"/>
        <v>99.709574286341848</v>
      </c>
    </row>
    <row r="34" spans="1:19">
      <c r="A34" t="s">
        <v>48</v>
      </c>
      <c r="B34" t="s">
        <v>49</v>
      </c>
      <c r="C34" s="651">
        <v>157428</v>
      </c>
      <c r="D34" s="651">
        <v>157106</v>
      </c>
      <c r="E34" s="651">
        <v>160191</v>
      </c>
      <c r="F34" s="651">
        <v>162239</v>
      </c>
      <c r="G34" s="651">
        <v>162087</v>
      </c>
      <c r="H34" s="651">
        <v>161907</v>
      </c>
      <c r="I34" s="651">
        <v>164361</v>
      </c>
      <c r="J34" s="651">
        <v>168111</v>
      </c>
      <c r="K34" s="168">
        <f t="shared" si="1"/>
        <v>9.4235914185418733E-3</v>
      </c>
      <c r="L34">
        <v>100</v>
      </c>
      <c r="M34" s="164">
        <f t="shared" si="2"/>
        <v>99.795462052493832</v>
      </c>
      <c r="N34" s="164">
        <f t="shared" si="3"/>
        <v>101.75508804024697</v>
      </c>
      <c r="O34" s="164">
        <f t="shared" si="4"/>
        <v>103.05600020326753</v>
      </c>
      <c r="P34" s="164">
        <f t="shared" si="5"/>
        <v>102.95944812866836</v>
      </c>
      <c r="Q34" s="164">
        <f t="shared" si="6"/>
        <v>102.84511014559037</v>
      </c>
      <c r="R34" s="164">
        <f t="shared" si="7"/>
        <v>104.40391798155346</v>
      </c>
      <c r="S34" s="164">
        <f t="shared" si="8"/>
        <v>106.78595929567803</v>
      </c>
    </row>
    <row r="35" spans="1:19">
      <c r="A35" t="s">
        <v>58</v>
      </c>
      <c r="B35" t="s">
        <v>65</v>
      </c>
      <c r="C35" s="651">
        <v>126904</v>
      </c>
      <c r="D35" s="651">
        <v>123879</v>
      </c>
      <c r="E35" s="651">
        <v>126162</v>
      </c>
      <c r="F35" s="651">
        <v>125919</v>
      </c>
      <c r="G35" s="651">
        <v>124805</v>
      </c>
      <c r="H35" s="651">
        <v>124933</v>
      </c>
      <c r="I35" s="651">
        <v>123725</v>
      </c>
      <c r="J35" s="651">
        <v>123158</v>
      </c>
      <c r="K35" s="168">
        <f t="shared" si="1"/>
        <v>-4.2712537407960964E-3</v>
      </c>
      <c r="L35">
        <v>100</v>
      </c>
      <c r="M35" s="164">
        <f t="shared" si="2"/>
        <v>97.616308390594469</v>
      </c>
      <c r="N35" s="164">
        <f t="shared" si="3"/>
        <v>99.415306058122681</v>
      </c>
      <c r="O35" s="164">
        <f t="shared" si="4"/>
        <v>99.223822732143987</v>
      </c>
      <c r="P35" s="164">
        <f t="shared" si="5"/>
        <v>98.345993822101747</v>
      </c>
      <c r="Q35" s="164">
        <f t="shared" si="6"/>
        <v>98.446857467061719</v>
      </c>
      <c r="R35" s="164">
        <f t="shared" si="7"/>
        <v>97.494956817751998</v>
      </c>
      <c r="S35" s="164">
        <f t="shared" si="8"/>
        <v>97.048162390468377</v>
      </c>
    </row>
    <row r="36" spans="1:19">
      <c r="A36" t="s">
        <v>486</v>
      </c>
      <c r="B36" t="s">
        <v>465</v>
      </c>
      <c r="C36" s="651">
        <v>300555</v>
      </c>
      <c r="D36" s="651">
        <v>295033</v>
      </c>
      <c r="E36" s="651">
        <v>296297</v>
      </c>
      <c r="F36" s="651">
        <v>297615</v>
      </c>
      <c r="G36" s="651">
        <v>297411</v>
      </c>
      <c r="H36" s="651">
        <v>294378</v>
      </c>
      <c r="I36" s="651">
        <v>290955</v>
      </c>
      <c r="J36" s="651">
        <v>295338</v>
      </c>
      <c r="K36" s="168">
        <f t="shared" si="1"/>
        <v>-2.4983456905431889E-3</v>
      </c>
      <c r="L36">
        <v>100</v>
      </c>
      <c r="M36" s="164">
        <f t="shared" si="2"/>
        <v>98.162732278617895</v>
      </c>
      <c r="N36" s="164">
        <f t="shared" si="3"/>
        <v>98.583287584635087</v>
      </c>
      <c r="O36" s="164">
        <f t="shared" si="4"/>
        <v>99.021809652143531</v>
      </c>
      <c r="P36" s="164">
        <f t="shared" si="5"/>
        <v>98.953935219843288</v>
      </c>
      <c r="Q36" s="164">
        <f t="shared" si="6"/>
        <v>97.944802116085242</v>
      </c>
      <c r="R36" s="164">
        <f t="shared" si="7"/>
        <v>96.805909068223784</v>
      </c>
      <c r="S36" s="164">
        <f t="shared" si="8"/>
        <v>98.264211209262868</v>
      </c>
    </row>
    <row r="37" spans="1:19">
      <c r="A37" t="s">
        <v>487</v>
      </c>
      <c r="B37" t="s">
        <v>466</v>
      </c>
      <c r="C37" s="651">
        <v>570832</v>
      </c>
      <c r="D37" s="651">
        <v>563795</v>
      </c>
      <c r="E37" s="651">
        <v>567439</v>
      </c>
      <c r="F37" s="651">
        <v>574110</v>
      </c>
      <c r="G37" s="651">
        <v>575525</v>
      </c>
      <c r="H37" s="651">
        <v>575885</v>
      </c>
      <c r="I37" s="651">
        <v>580550</v>
      </c>
      <c r="J37" s="651">
        <v>586556</v>
      </c>
      <c r="K37" s="168">
        <f t="shared" si="1"/>
        <v>3.8894299208177127E-3</v>
      </c>
      <c r="L37">
        <v>100</v>
      </c>
      <c r="M37" s="164">
        <f t="shared" si="2"/>
        <v>98.76723799646831</v>
      </c>
      <c r="N37" s="164">
        <f t="shared" si="3"/>
        <v>99.405604451046898</v>
      </c>
      <c r="O37" s="164">
        <f t="shared" si="4"/>
        <v>100.57424951649523</v>
      </c>
      <c r="P37" s="164">
        <f t="shared" si="5"/>
        <v>100.82213330717269</v>
      </c>
      <c r="Q37" s="164">
        <f t="shared" si="6"/>
        <v>100.88519914791041</v>
      </c>
      <c r="R37" s="164">
        <f t="shared" si="7"/>
        <v>101.70242733413684</v>
      </c>
      <c r="S37" s="164">
        <f t="shared" si="8"/>
        <v>102.75457577711131</v>
      </c>
    </row>
    <row r="38" spans="1:19">
      <c r="A38" t="s">
        <v>488</v>
      </c>
      <c r="B38" t="s">
        <v>467</v>
      </c>
      <c r="C38" s="651">
        <v>400154</v>
      </c>
      <c r="D38" s="651">
        <v>399195</v>
      </c>
      <c r="E38" s="651">
        <v>405913</v>
      </c>
      <c r="F38" s="651">
        <v>414834</v>
      </c>
      <c r="G38" s="651">
        <v>420668</v>
      </c>
      <c r="H38" s="651">
        <v>424213</v>
      </c>
      <c r="I38" s="651">
        <v>426945</v>
      </c>
      <c r="J38" s="651">
        <v>433671</v>
      </c>
      <c r="K38" s="168">
        <f t="shared" si="1"/>
        <v>1.1557233114816158E-2</v>
      </c>
      <c r="L38">
        <v>100</v>
      </c>
      <c r="M38" s="164">
        <f t="shared" si="2"/>
        <v>99.760342268226736</v>
      </c>
      <c r="N38" s="164">
        <f t="shared" si="3"/>
        <v>101.43919590957482</v>
      </c>
      <c r="O38" s="164">
        <f t="shared" si="4"/>
        <v>103.66858759377639</v>
      </c>
      <c r="P38" s="164">
        <f t="shared" si="5"/>
        <v>105.12652628737935</v>
      </c>
      <c r="Q38" s="164">
        <f t="shared" si="6"/>
        <v>106.01243521244321</v>
      </c>
      <c r="R38" s="164">
        <f t="shared" si="7"/>
        <v>106.69517235864193</v>
      </c>
      <c r="S38" s="164">
        <f t="shared" si="8"/>
        <v>108.37602523028633</v>
      </c>
    </row>
    <row r="39" spans="1:19">
      <c r="A39" t="s">
        <v>71</v>
      </c>
      <c r="B39" t="s">
        <v>116</v>
      </c>
      <c r="C39" s="651">
        <v>393363</v>
      </c>
      <c r="D39" s="651">
        <v>391297</v>
      </c>
      <c r="E39" s="651">
        <v>397224</v>
      </c>
      <c r="F39" s="651">
        <v>403246</v>
      </c>
      <c r="G39" s="651">
        <v>407665</v>
      </c>
      <c r="H39" s="651">
        <v>410588</v>
      </c>
      <c r="I39" s="651">
        <v>412058</v>
      </c>
      <c r="J39" s="651">
        <v>417767</v>
      </c>
      <c r="K39" s="168">
        <f t="shared" si="1"/>
        <v>8.6357910283477637E-3</v>
      </c>
      <c r="L39">
        <v>100</v>
      </c>
      <c r="M39" s="164">
        <f t="shared" si="2"/>
        <v>99.474785376357204</v>
      </c>
      <c r="N39" s="164">
        <f t="shared" si="3"/>
        <v>100.98153613837599</v>
      </c>
      <c r="O39" s="164">
        <f t="shared" si="4"/>
        <v>102.51243762123026</v>
      </c>
      <c r="P39" s="164">
        <f t="shared" si="5"/>
        <v>103.63582746725035</v>
      </c>
      <c r="Q39" s="164">
        <f t="shared" si="6"/>
        <v>104.37890701464043</v>
      </c>
      <c r="R39" s="164">
        <f t="shared" si="7"/>
        <v>104.75260764230494</v>
      </c>
      <c r="S39" s="164">
        <f t="shared" si="8"/>
        <v>106.2039388554592</v>
      </c>
    </row>
    <row r="40" spans="1:19">
      <c r="A40" t="s">
        <v>489</v>
      </c>
      <c r="B40" t="s">
        <v>468</v>
      </c>
      <c r="C40" s="651">
        <v>248064</v>
      </c>
      <c r="D40" s="651">
        <v>246168</v>
      </c>
      <c r="E40" s="651">
        <v>250230</v>
      </c>
      <c r="F40" s="651">
        <v>251695</v>
      </c>
      <c r="G40" s="651">
        <v>250704</v>
      </c>
      <c r="H40" s="651">
        <v>250785</v>
      </c>
      <c r="I40" s="651">
        <v>253094</v>
      </c>
      <c r="J40" s="651">
        <v>258781</v>
      </c>
      <c r="K40" s="168">
        <f t="shared" si="1"/>
        <v>6.0604861362740297E-3</v>
      </c>
      <c r="L40">
        <v>100</v>
      </c>
      <c r="M40" s="164">
        <f t="shared" si="2"/>
        <v>99.235681114551085</v>
      </c>
      <c r="N40" s="164">
        <f t="shared" si="3"/>
        <v>100.87316176470588</v>
      </c>
      <c r="O40" s="164">
        <f t="shared" si="4"/>
        <v>101.46373516511869</v>
      </c>
      <c r="P40" s="164">
        <f t="shared" si="5"/>
        <v>101.06424148606811</v>
      </c>
      <c r="Q40" s="164">
        <f t="shared" si="6"/>
        <v>101.09689434984521</v>
      </c>
      <c r="R40" s="164">
        <f t="shared" si="7"/>
        <v>102.02770252837978</v>
      </c>
      <c r="S40" s="164">
        <f t="shared" si="8"/>
        <v>104.3202560629515</v>
      </c>
    </row>
    <row r="41" spans="1:19">
      <c r="A41" t="s">
        <v>490</v>
      </c>
      <c r="B41" t="s">
        <v>469</v>
      </c>
      <c r="C41" s="651">
        <v>290411</v>
      </c>
      <c r="D41" s="651">
        <v>285406</v>
      </c>
      <c r="E41" s="651">
        <v>289210</v>
      </c>
      <c r="F41" s="651">
        <v>293434</v>
      </c>
      <c r="G41" s="651">
        <v>291998</v>
      </c>
      <c r="H41" s="651">
        <v>292748</v>
      </c>
      <c r="I41" s="651">
        <v>294612</v>
      </c>
      <c r="J41" s="651">
        <v>299494</v>
      </c>
      <c r="K41" s="168">
        <f t="shared" si="1"/>
        <v>4.4092957414360087E-3</v>
      </c>
      <c r="L41">
        <v>100</v>
      </c>
      <c r="M41" s="164">
        <f t="shared" si="2"/>
        <v>98.276580432559371</v>
      </c>
      <c r="N41" s="164">
        <f t="shared" si="3"/>
        <v>99.586448171729032</v>
      </c>
      <c r="O41" s="164">
        <f t="shared" si="4"/>
        <v>101.04093853194267</v>
      </c>
      <c r="P41" s="164">
        <f t="shared" si="5"/>
        <v>100.54646690380184</v>
      </c>
      <c r="Q41" s="164">
        <f t="shared" si="6"/>
        <v>100.80472158423753</v>
      </c>
      <c r="R41" s="164">
        <f t="shared" si="7"/>
        <v>101.4465705500136</v>
      </c>
      <c r="S41" s="164">
        <f t="shared" si="8"/>
        <v>103.12763634986277</v>
      </c>
    </row>
    <row r="42" spans="1:19">
      <c r="A42" t="s">
        <v>491</v>
      </c>
      <c r="B42" t="s">
        <v>470</v>
      </c>
      <c r="C42" s="651">
        <v>342366</v>
      </c>
      <c r="D42" s="651">
        <v>332833</v>
      </c>
      <c r="E42" s="651">
        <v>337250</v>
      </c>
      <c r="F42" s="651">
        <v>339133</v>
      </c>
      <c r="G42" s="651">
        <v>336790</v>
      </c>
      <c r="H42" s="651">
        <v>338612</v>
      </c>
      <c r="I42" s="651">
        <v>337351</v>
      </c>
      <c r="J42" s="651">
        <v>338044</v>
      </c>
      <c r="K42" s="168">
        <f t="shared" si="1"/>
        <v>-1.8132506063403223E-3</v>
      </c>
      <c r="L42">
        <v>100</v>
      </c>
      <c r="M42" s="164">
        <f t="shared" si="2"/>
        <v>97.215552946262179</v>
      </c>
      <c r="N42" s="164">
        <f t="shared" si="3"/>
        <v>98.50569273818077</v>
      </c>
      <c r="O42" s="164">
        <f t="shared" si="4"/>
        <v>99.055688941074763</v>
      </c>
      <c r="P42" s="164">
        <f t="shared" si="5"/>
        <v>98.371333602051607</v>
      </c>
      <c r="Q42" s="164">
        <f t="shared" si="6"/>
        <v>98.90351261515454</v>
      </c>
      <c r="R42" s="164">
        <f t="shared" si="7"/>
        <v>98.53519333111349</v>
      </c>
      <c r="S42" s="164">
        <f t="shared" si="8"/>
        <v>98.737608290542866</v>
      </c>
    </row>
    <row r="43" spans="1:19">
      <c r="A43" t="s">
        <v>492</v>
      </c>
      <c r="B43" t="s">
        <v>471</v>
      </c>
      <c r="C43" s="651">
        <v>391207</v>
      </c>
      <c r="D43" s="651">
        <v>382240</v>
      </c>
      <c r="E43" s="651">
        <v>389273</v>
      </c>
      <c r="F43" s="651">
        <v>397761</v>
      </c>
      <c r="G43" s="651">
        <v>401270</v>
      </c>
      <c r="H43" s="651">
        <v>402932</v>
      </c>
      <c r="I43" s="651">
        <v>404958</v>
      </c>
      <c r="J43" s="651">
        <v>411731</v>
      </c>
      <c r="K43" s="168">
        <f t="shared" si="1"/>
        <v>7.3315151774157421E-3</v>
      </c>
      <c r="L43">
        <v>100</v>
      </c>
      <c r="M43" s="164">
        <f t="shared" si="2"/>
        <v>97.707863100609131</v>
      </c>
      <c r="N43" s="164">
        <f t="shared" si="3"/>
        <v>99.505632567924394</v>
      </c>
      <c r="O43" s="164">
        <f t="shared" si="4"/>
        <v>101.67532789546199</v>
      </c>
      <c r="P43" s="164">
        <f t="shared" si="5"/>
        <v>102.57229548551024</v>
      </c>
      <c r="Q43" s="164">
        <f t="shared" si="6"/>
        <v>102.99713450935182</v>
      </c>
      <c r="R43" s="164">
        <f t="shared" si="7"/>
        <v>103.51501890303598</v>
      </c>
      <c r="S43" s="164">
        <f t="shared" si="8"/>
        <v>105.24632739189228</v>
      </c>
    </row>
    <row r="44" spans="1:19">
      <c r="A44" t="s">
        <v>493</v>
      </c>
      <c r="B44" t="s">
        <v>472</v>
      </c>
      <c r="C44" s="651">
        <v>708789</v>
      </c>
      <c r="D44" s="651">
        <v>691749</v>
      </c>
      <c r="E44" s="651">
        <v>695839</v>
      </c>
      <c r="F44" s="651">
        <v>702489</v>
      </c>
      <c r="G44" s="651">
        <v>696161</v>
      </c>
      <c r="H44" s="651">
        <v>690739</v>
      </c>
      <c r="I44" s="651">
        <v>690558</v>
      </c>
      <c r="J44" s="651">
        <v>694358</v>
      </c>
      <c r="K44" s="168">
        <f t="shared" si="1"/>
        <v>-2.9342868741283907E-3</v>
      </c>
      <c r="L44">
        <v>100</v>
      </c>
      <c r="M44" s="164">
        <f t="shared" si="2"/>
        <v>97.595899484896066</v>
      </c>
      <c r="N44" s="164">
        <f t="shared" si="3"/>
        <v>98.172940042805408</v>
      </c>
      <c r="O44" s="164">
        <f t="shared" si="4"/>
        <v>99.111160020824258</v>
      </c>
      <c r="P44" s="164">
        <f t="shared" si="5"/>
        <v>98.218369641741049</v>
      </c>
      <c r="Q44" s="164">
        <f t="shared" si="6"/>
        <v>97.453402916805985</v>
      </c>
      <c r="R44" s="164">
        <f t="shared" si="7"/>
        <v>97.427866403118557</v>
      </c>
      <c r="S44" s="164">
        <f t="shared" si="8"/>
        <v>97.963992104843612</v>
      </c>
    </row>
    <row r="45" spans="1:19">
      <c r="A45" t="s">
        <v>494</v>
      </c>
      <c r="B45" t="s">
        <v>478</v>
      </c>
      <c r="C45" s="651">
        <v>326521</v>
      </c>
      <c r="D45" s="651">
        <v>321481</v>
      </c>
      <c r="E45" s="651">
        <v>322050</v>
      </c>
      <c r="F45" s="651">
        <v>322724</v>
      </c>
      <c r="G45" s="651">
        <v>315538</v>
      </c>
      <c r="H45" s="651">
        <v>312699</v>
      </c>
      <c r="I45" s="651">
        <v>311740</v>
      </c>
      <c r="J45" s="651">
        <v>312712</v>
      </c>
      <c r="K45" s="168">
        <f t="shared" si="1"/>
        <v>-6.1540750594812014E-3</v>
      </c>
      <c r="L45">
        <v>100</v>
      </c>
      <c r="M45" s="164">
        <f t="shared" si="2"/>
        <v>98.456454561881174</v>
      </c>
      <c r="N45" s="164">
        <f t="shared" si="3"/>
        <v>98.630715941700529</v>
      </c>
      <c r="O45" s="164">
        <f t="shared" si="4"/>
        <v>98.83713451814738</v>
      </c>
      <c r="P45" s="164">
        <f t="shared" si="5"/>
        <v>96.636357232766031</v>
      </c>
      <c r="Q45" s="164">
        <f t="shared" si="6"/>
        <v>95.766887887762195</v>
      </c>
      <c r="R45" s="164">
        <f t="shared" si="7"/>
        <v>95.473185491897922</v>
      </c>
      <c r="S45" s="164">
        <f t="shared" si="8"/>
        <v>95.770869254963699</v>
      </c>
    </row>
    <row r="46" spans="1:19">
      <c r="A46" t="s">
        <v>495</v>
      </c>
      <c r="B46" t="s">
        <v>473</v>
      </c>
      <c r="C46" s="651">
        <v>346183</v>
      </c>
      <c r="D46" s="651">
        <v>336990</v>
      </c>
      <c r="E46" s="651">
        <v>340829</v>
      </c>
      <c r="F46" s="651">
        <v>343905</v>
      </c>
      <c r="G46" s="651">
        <v>340770</v>
      </c>
      <c r="H46" s="651">
        <v>340865</v>
      </c>
      <c r="I46" s="651">
        <v>339492</v>
      </c>
      <c r="J46" s="651">
        <v>340583</v>
      </c>
      <c r="K46" s="168">
        <f t="shared" si="1"/>
        <v>-2.327099796602563E-3</v>
      </c>
      <c r="L46">
        <v>100</v>
      </c>
      <c r="M46" s="164">
        <f t="shared" si="2"/>
        <v>97.344468099242306</v>
      </c>
      <c r="N46" s="164">
        <f t="shared" si="3"/>
        <v>98.453419145365316</v>
      </c>
      <c r="O46" s="164">
        <f t="shared" si="4"/>
        <v>99.341966532152071</v>
      </c>
      <c r="P46" s="164">
        <f t="shared" si="5"/>
        <v>98.436376136320959</v>
      </c>
      <c r="Q46" s="164">
        <f t="shared" si="6"/>
        <v>98.463818269527962</v>
      </c>
      <c r="R46" s="164">
        <f t="shared" si="7"/>
        <v>98.067207228546749</v>
      </c>
      <c r="S46" s="164">
        <f t="shared" si="8"/>
        <v>98.382358463587181</v>
      </c>
    </row>
    <row r="47" spans="1:19">
      <c r="A47" t="s">
        <v>496</v>
      </c>
      <c r="B47" t="s">
        <v>474</v>
      </c>
      <c r="C47" s="651">
        <v>646147</v>
      </c>
      <c r="D47" s="651">
        <v>632849</v>
      </c>
      <c r="E47" s="651">
        <v>643417</v>
      </c>
      <c r="F47" s="651">
        <v>653932</v>
      </c>
      <c r="G47" s="651">
        <v>656008</v>
      </c>
      <c r="H47" s="651">
        <v>658571</v>
      </c>
      <c r="I47" s="651">
        <v>663640</v>
      </c>
      <c r="J47" s="651">
        <v>675490</v>
      </c>
      <c r="K47" s="168">
        <f t="shared" si="1"/>
        <v>6.3646432900185167E-3</v>
      </c>
      <c r="L47">
        <v>100</v>
      </c>
      <c r="M47" s="164">
        <f t="shared" si="2"/>
        <v>97.941954384992897</v>
      </c>
      <c r="N47" s="164">
        <f t="shared" si="3"/>
        <v>99.577495523464478</v>
      </c>
      <c r="O47" s="164">
        <f t="shared" si="4"/>
        <v>101.20483419407658</v>
      </c>
      <c r="P47" s="164">
        <f t="shared" si="5"/>
        <v>101.52612331249699</v>
      </c>
      <c r="Q47" s="164">
        <f t="shared" si="6"/>
        <v>101.92278227709795</v>
      </c>
      <c r="R47" s="164">
        <f t="shared" si="7"/>
        <v>102.70727868426226</v>
      </c>
      <c r="S47" s="164">
        <f t="shared" si="8"/>
        <v>104.54122668680657</v>
      </c>
    </row>
    <row r="48" spans="1:19">
      <c r="A48" t="s">
        <v>497</v>
      </c>
      <c r="B48" t="s">
        <v>475</v>
      </c>
      <c r="C48" s="651">
        <v>357298</v>
      </c>
      <c r="D48" s="651">
        <v>346417</v>
      </c>
      <c r="E48" s="651">
        <v>346776</v>
      </c>
      <c r="F48" s="651">
        <v>347973</v>
      </c>
      <c r="G48" s="651">
        <v>342893</v>
      </c>
      <c r="H48" s="651">
        <v>338242</v>
      </c>
      <c r="I48" s="651">
        <v>337041</v>
      </c>
      <c r="J48" s="651">
        <v>335140</v>
      </c>
      <c r="K48" s="168">
        <f t="shared" si="1"/>
        <v>-9.1042760191447965E-3</v>
      </c>
      <c r="L48">
        <v>100</v>
      </c>
      <c r="M48" s="164">
        <f t="shared" si="2"/>
        <v>96.954642903122874</v>
      </c>
      <c r="N48" s="164">
        <f t="shared" si="3"/>
        <v>97.055119256195113</v>
      </c>
      <c r="O48" s="164">
        <f t="shared" si="4"/>
        <v>97.390133725909465</v>
      </c>
      <c r="P48" s="164">
        <f t="shared" si="5"/>
        <v>95.968351348174352</v>
      </c>
      <c r="Q48" s="164">
        <f t="shared" si="6"/>
        <v>94.666636812968434</v>
      </c>
      <c r="R48" s="164">
        <f t="shared" si="7"/>
        <v>94.330502829570833</v>
      </c>
      <c r="S48" s="164">
        <f t="shared" si="8"/>
        <v>93.79845395160342</v>
      </c>
    </row>
    <row r="49" spans="1:19">
      <c r="A49" t="s">
        <v>498</v>
      </c>
      <c r="B49" t="s">
        <v>476</v>
      </c>
      <c r="C49" s="651">
        <v>198689</v>
      </c>
      <c r="D49" s="651">
        <v>197711</v>
      </c>
      <c r="E49" s="651">
        <v>201184</v>
      </c>
      <c r="F49" s="651">
        <v>202194</v>
      </c>
      <c r="G49" s="651">
        <v>200222</v>
      </c>
      <c r="H49" s="651">
        <v>199282</v>
      </c>
      <c r="I49" s="651">
        <v>198912</v>
      </c>
      <c r="J49" s="651">
        <v>200257</v>
      </c>
      <c r="K49" s="168">
        <f t="shared" si="1"/>
        <v>1.1235955404224748E-3</v>
      </c>
      <c r="L49">
        <v>100</v>
      </c>
      <c r="M49" s="164">
        <f t="shared" si="2"/>
        <v>99.507773454997505</v>
      </c>
      <c r="N49" s="164">
        <f t="shared" si="3"/>
        <v>101.2557313187947</v>
      </c>
      <c r="O49" s="164">
        <f t="shared" si="4"/>
        <v>101.76406343582181</v>
      </c>
      <c r="P49" s="164">
        <f t="shared" si="5"/>
        <v>100.77155755980452</v>
      </c>
      <c r="Q49" s="164">
        <f t="shared" si="6"/>
        <v>100.29845638158126</v>
      </c>
      <c r="R49" s="164">
        <f t="shared" si="7"/>
        <v>100.11223570504657</v>
      </c>
      <c r="S49" s="164">
        <f t="shared" si="8"/>
        <v>100.78917302920645</v>
      </c>
    </row>
    <row r="50" spans="1:19">
      <c r="A50" t="s">
        <v>499</v>
      </c>
      <c r="B50" t="s">
        <v>477</v>
      </c>
      <c r="C50" s="651">
        <v>135343</v>
      </c>
      <c r="D50" s="651">
        <v>132051</v>
      </c>
      <c r="E50" s="651">
        <v>134384</v>
      </c>
      <c r="F50" s="651">
        <v>133743</v>
      </c>
      <c r="G50" s="651">
        <v>132256</v>
      </c>
      <c r="H50" s="651">
        <v>131776</v>
      </c>
      <c r="I50" s="651">
        <v>130393</v>
      </c>
      <c r="J50" s="651">
        <v>129383</v>
      </c>
      <c r="K50" s="168">
        <f t="shared" si="1"/>
        <v>-6.4129627726365176E-3</v>
      </c>
      <c r="L50">
        <v>100</v>
      </c>
      <c r="M50" s="164">
        <f t="shared" si="2"/>
        <v>97.567661423198842</v>
      </c>
      <c r="N50" s="164">
        <f t="shared" si="3"/>
        <v>99.291429922493222</v>
      </c>
      <c r="O50" s="164">
        <f t="shared" si="4"/>
        <v>98.81781843168838</v>
      </c>
      <c r="P50" s="164">
        <f t="shared" si="5"/>
        <v>97.719128436638755</v>
      </c>
      <c r="Q50" s="164">
        <f t="shared" si="6"/>
        <v>97.364473966145269</v>
      </c>
      <c r="R50" s="164">
        <f t="shared" si="7"/>
        <v>96.34262577303592</v>
      </c>
      <c r="S50" s="164">
        <f t="shared" si="8"/>
        <v>95.596373658039198</v>
      </c>
    </row>
    <row r="51" spans="1:19">
      <c r="A51" t="s">
        <v>73</v>
      </c>
      <c r="B51" t="s">
        <v>74</v>
      </c>
      <c r="C51" s="651">
        <v>796842</v>
      </c>
      <c r="D51" s="651">
        <v>786677</v>
      </c>
      <c r="E51" s="651">
        <v>796226</v>
      </c>
      <c r="F51" s="651">
        <v>804111</v>
      </c>
      <c r="G51" s="651">
        <v>803862</v>
      </c>
      <c r="H51" s="651">
        <v>803694</v>
      </c>
      <c r="I51" s="651">
        <v>804730</v>
      </c>
      <c r="J51" s="651">
        <v>810253</v>
      </c>
      <c r="K51" s="168">
        <f t="shared" si="1"/>
        <v>2.3871488351025851E-3</v>
      </c>
      <c r="L51">
        <v>100</v>
      </c>
      <c r="M51" s="164">
        <f t="shared" si="2"/>
        <v>98.724339329503223</v>
      </c>
      <c r="N51" s="164">
        <f t="shared" si="3"/>
        <v>99.922694837872513</v>
      </c>
      <c r="O51" s="164">
        <f t="shared" si="4"/>
        <v>100.9122260121831</v>
      </c>
      <c r="P51" s="164">
        <f t="shared" si="5"/>
        <v>100.88097765931012</v>
      </c>
      <c r="Q51" s="164">
        <f t="shared" si="6"/>
        <v>100.85989443327537</v>
      </c>
      <c r="R51" s="164">
        <f t="shared" si="7"/>
        <v>100.98990766048979</v>
      </c>
      <c r="S51" s="164">
        <f t="shared" si="8"/>
        <v>101.68301871638292</v>
      </c>
    </row>
    <row r="52" spans="1:19">
      <c r="A52" s="60" t="s">
        <v>69</v>
      </c>
      <c r="B52" t="s">
        <v>680</v>
      </c>
      <c r="C52" s="652">
        <v>272728</v>
      </c>
      <c r="D52" s="652">
        <v>270953</v>
      </c>
      <c r="E52" s="652">
        <v>274572</v>
      </c>
      <c r="F52" s="652">
        <v>278427</v>
      </c>
      <c r="G52" s="652">
        <v>280353</v>
      </c>
      <c r="H52" s="652">
        <v>282044</v>
      </c>
      <c r="I52" s="652">
        <v>282512</v>
      </c>
      <c r="J52" s="651">
        <v>287386</v>
      </c>
      <c r="K52" s="168">
        <f t="shared" si="1"/>
        <v>7.5067926565767626E-3</v>
      </c>
      <c r="L52">
        <v>100</v>
      </c>
      <c r="M52" s="164">
        <f t="shared" si="2"/>
        <v>99.349168402217586</v>
      </c>
      <c r="N52" s="164">
        <f t="shared" si="3"/>
        <v>100.67613153031591</v>
      </c>
      <c r="O52" s="164">
        <f t="shared" si="4"/>
        <v>102.08962776099264</v>
      </c>
      <c r="P52" s="164">
        <f t="shared" si="5"/>
        <v>102.79582587779765</v>
      </c>
      <c r="Q52" s="164">
        <f t="shared" si="6"/>
        <v>103.41585755771318</v>
      </c>
      <c r="R52" s="164">
        <f t="shared" si="7"/>
        <v>103.58745710011441</v>
      </c>
      <c r="S52" s="164">
        <f t="shared" si="8"/>
        <v>105.37458566777156</v>
      </c>
    </row>
    <row r="53" spans="1:19">
      <c r="A53" t="s">
        <v>705</v>
      </c>
      <c r="B53" t="s">
        <v>1479</v>
      </c>
      <c r="C53" s="651">
        <v>17647045</v>
      </c>
      <c r="D53" s="651">
        <v>17255205</v>
      </c>
      <c r="E53" s="651">
        <v>17412060</v>
      </c>
      <c r="F53" s="651">
        <v>17528552</v>
      </c>
      <c r="G53" s="651">
        <v>17438134</v>
      </c>
      <c r="H53" s="651">
        <v>17381191</v>
      </c>
      <c r="I53" s="651">
        <v>17348193</v>
      </c>
      <c r="J53" s="651">
        <v>17445314</v>
      </c>
      <c r="K53" s="168">
        <f t="shared" si="1"/>
        <v>-1.6411195114916096E-3</v>
      </c>
      <c r="L53">
        <v>100</v>
      </c>
      <c r="M53" s="164">
        <f t="shared" si="2"/>
        <v>97.779571593997744</v>
      </c>
      <c r="N53" s="164">
        <f t="shared" si="3"/>
        <v>98.668417290260209</v>
      </c>
      <c r="O53" s="164">
        <f t="shared" si="4"/>
        <v>99.328539140689003</v>
      </c>
      <c r="P53" s="164">
        <f t="shared" si="5"/>
        <v>98.816170072666552</v>
      </c>
      <c r="Q53" s="164">
        <f t="shared" si="6"/>
        <v>98.493492819902713</v>
      </c>
      <c r="R53" s="164">
        <f t="shared" si="7"/>
        <v>98.306504006761472</v>
      </c>
      <c r="S53" s="164">
        <f t="shared" si="8"/>
        <v>98.856856771204477</v>
      </c>
    </row>
    <row r="56" spans="1:19">
      <c r="A56" s="166" t="s">
        <v>1684</v>
      </c>
    </row>
    <row r="58" spans="1:19" s="59" customFormat="1" ht="45">
      <c r="A58" s="59" t="s">
        <v>483</v>
      </c>
      <c r="B58" s="59" t="s">
        <v>484</v>
      </c>
      <c r="C58" s="14" t="s">
        <v>724</v>
      </c>
      <c r="D58" s="14" t="s">
        <v>726</v>
      </c>
      <c r="E58" s="14" t="s">
        <v>510</v>
      </c>
      <c r="F58" s="14" t="s">
        <v>725</v>
      </c>
      <c r="G58" s="14" t="s">
        <v>727</v>
      </c>
      <c r="H58" s="16" t="s">
        <v>1522</v>
      </c>
      <c r="I58" s="14" t="s">
        <v>728</v>
      </c>
      <c r="J58" s="14" t="s">
        <v>729</v>
      </c>
      <c r="L58" s="59" t="s">
        <v>1146</v>
      </c>
      <c r="M58" s="59" t="s">
        <v>1147</v>
      </c>
      <c r="N58" s="59" t="s">
        <v>1148</v>
      </c>
      <c r="O58" s="59" t="s">
        <v>1149</v>
      </c>
      <c r="P58" s="14" t="s">
        <v>1150</v>
      </c>
      <c r="Q58" s="16" t="s">
        <v>1524</v>
      </c>
      <c r="R58" s="59" t="s">
        <v>728</v>
      </c>
      <c r="S58" s="59" t="s">
        <v>729</v>
      </c>
    </row>
    <row r="59" spans="1:19">
      <c r="A59" t="s">
        <v>88</v>
      </c>
      <c r="B59" t="s">
        <v>89</v>
      </c>
      <c r="C59" s="654">
        <v>26</v>
      </c>
      <c r="D59" s="654">
        <v>17827</v>
      </c>
      <c r="E59" s="654">
        <v>11659</v>
      </c>
      <c r="F59" s="654">
        <v>26469</v>
      </c>
      <c r="G59" s="654">
        <v>56594</v>
      </c>
      <c r="H59" s="654">
        <v>3081</v>
      </c>
      <c r="I59" s="654"/>
      <c r="J59" s="16">
        <f t="shared" ref="J59:J106" si="9">SUM(C59:I59)</f>
        <v>115656</v>
      </c>
      <c r="L59" s="158">
        <f t="shared" ref="L59:Q59" si="10">C59/$J59</f>
        <v>2.2480459293076018E-4</v>
      </c>
      <c r="M59" s="158">
        <f t="shared" si="10"/>
        <v>0.15413813377602545</v>
      </c>
      <c r="N59" s="158">
        <f t="shared" si="10"/>
        <v>0.10080756726845128</v>
      </c>
      <c r="O59" s="158">
        <f t="shared" si="10"/>
        <v>0.22885972193401122</v>
      </c>
      <c r="P59" s="158">
        <f t="shared" si="10"/>
        <v>0.48933042816628625</v>
      </c>
      <c r="Q59" s="158">
        <f t="shared" si="10"/>
        <v>2.663934426229508E-2</v>
      </c>
      <c r="R59" s="158">
        <f t="shared" ref="R59" si="11">I59/$J59</f>
        <v>0</v>
      </c>
      <c r="S59" s="167">
        <f>SUM(L59:R59)</f>
        <v>1</v>
      </c>
    </row>
    <row r="60" spans="1:19">
      <c r="A60" t="s">
        <v>5</v>
      </c>
      <c r="B60" t="s">
        <v>6</v>
      </c>
      <c r="C60" s="654">
        <v>51</v>
      </c>
      <c r="D60" s="654">
        <v>47435</v>
      </c>
      <c r="E60" s="654">
        <v>30441</v>
      </c>
      <c r="F60" s="654">
        <v>64242</v>
      </c>
      <c r="G60" s="654">
        <v>220912</v>
      </c>
      <c r="H60" s="654">
        <v>10459</v>
      </c>
      <c r="I60" s="654">
        <v>4</v>
      </c>
      <c r="J60" s="16">
        <f t="shared" si="9"/>
        <v>373544</v>
      </c>
      <c r="L60" s="158">
        <f t="shared" ref="L60:L106" si="12">C60/$J60</f>
        <v>1.3653010087165101E-4</v>
      </c>
      <c r="M60" s="158">
        <f t="shared" ref="M60:M106" si="13">D60/$J60</f>
        <v>0.12698637911464244</v>
      </c>
      <c r="N60" s="158">
        <f t="shared" ref="N60:N106" si="14">E60/$J60</f>
        <v>8.1492407855567217E-2</v>
      </c>
      <c r="O60" s="158">
        <f t="shared" ref="O60:O106" si="15">F60/$J60</f>
        <v>0.17197974000385496</v>
      </c>
      <c r="P60" s="158">
        <f t="shared" ref="P60:P106" si="16">G60/$J60</f>
        <v>0.59139485575996398</v>
      </c>
      <c r="Q60" s="158">
        <f t="shared" ref="Q60:Q106" si="17">H60/$J60</f>
        <v>2.7999378921894073E-2</v>
      </c>
      <c r="R60" s="158">
        <f t="shared" ref="R60:R106" si="18">I60/$J60</f>
        <v>1.0708243205619685E-5</v>
      </c>
      <c r="S60" s="167">
        <f t="shared" ref="S60:S106" si="19">SUM(L60:R60)</f>
        <v>0.99999999999999989</v>
      </c>
    </row>
    <row r="61" spans="1:19">
      <c r="A61" t="s">
        <v>87</v>
      </c>
      <c r="B61" s="76" t="s">
        <v>1406</v>
      </c>
      <c r="C61" s="654"/>
      <c r="D61" s="654">
        <v>10571</v>
      </c>
      <c r="E61" s="654">
        <v>7478</v>
      </c>
      <c r="F61" s="654">
        <v>14949</v>
      </c>
      <c r="G61" s="654">
        <v>44398</v>
      </c>
      <c r="H61" s="654">
        <v>3217</v>
      </c>
      <c r="I61" s="654"/>
      <c r="J61" s="16">
        <f t="shared" si="9"/>
        <v>80613</v>
      </c>
      <c r="L61" s="158">
        <f t="shared" si="12"/>
        <v>0</v>
      </c>
      <c r="M61" s="158">
        <f t="shared" si="13"/>
        <v>0.13113269571905276</v>
      </c>
      <c r="N61" s="158">
        <f t="shared" si="14"/>
        <v>9.2764194360711053E-2</v>
      </c>
      <c r="O61" s="158">
        <f t="shared" si="15"/>
        <v>0.18544155409177179</v>
      </c>
      <c r="P61" s="158">
        <f t="shared" si="16"/>
        <v>0.55075484103060302</v>
      </c>
      <c r="Q61" s="158">
        <f t="shared" si="17"/>
        <v>3.9906714797861384E-2</v>
      </c>
      <c r="R61" s="158">
        <f t="shared" si="18"/>
        <v>0</v>
      </c>
      <c r="S61" s="167">
        <f t="shared" si="19"/>
        <v>1</v>
      </c>
    </row>
    <row r="62" spans="1:19">
      <c r="A62" t="s">
        <v>7</v>
      </c>
      <c r="B62" t="s">
        <v>8</v>
      </c>
      <c r="C62" s="654">
        <v>7</v>
      </c>
      <c r="D62" s="654">
        <v>53990</v>
      </c>
      <c r="E62" s="654">
        <v>17063</v>
      </c>
      <c r="F62" s="654">
        <v>33967</v>
      </c>
      <c r="G62" s="654">
        <v>125412</v>
      </c>
      <c r="H62" s="654">
        <v>5371</v>
      </c>
      <c r="I62" s="654">
        <v>5</v>
      </c>
      <c r="J62" s="16">
        <f t="shared" si="9"/>
        <v>235815</v>
      </c>
      <c r="L62" s="158">
        <f t="shared" si="12"/>
        <v>2.9684286410957741E-5</v>
      </c>
      <c r="M62" s="158">
        <f t="shared" si="13"/>
        <v>0.22895066047537263</v>
      </c>
      <c r="N62" s="158">
        <f t="shared" si="14"/>
        <v>7.2357568432881714E-2</v>
      </c>
      <c r="O62" s="158">
        <f t="shared" si="15"/>
        <v>0.14404087950300024</v>
      </c>
      <c r="P62" s="158">
        <f t="shared" si="16"/>
        <v>0.53182367533871888</v>
      </c>
      <c r="Q62" s="158">
        <f t="shared" si="17"/>
        <v>2.2776328901893433E-2</v>
      </c>
      <c r="R62" s="158">
        <f t="shared" si="18"/>
        <v>2.1203061722112674E-5</v>
      </c>
      <c r="S62" s="167">
        <f t="shared" si="19"/>
        <v>1</v>
      </c>
    </row>
    <row r="63" spans="1:19">
      <c r="A63" t="s">
        <v>9</v>
      </c>
      <c r="B63" t="s">
        <v>10</v>
      </c>
      <c r="C63" s="654">
        <v>7</v>
      </c>
      <c r="D63" s="654">
        <v>26747</v>
      </c>
      <c r="E63" s="654">
        <v>18864</v>
      </c>
      <c r="F63" s="654">
        <v>50078</v>
      </c>
      <c r="G63" s="654">
        <v>182761</v>
      </c>
      <c r="H63" s="654">
        <v>14984</v>
      </c>
      <c r="I63" s="654">
        <v>3</v>
      </c>
      <c r="J63" s="16">
        <f t="shared" si="9"/>
        <v>293444</v>
      </c>
      <c r="L63" s="158">
        <f t="shared" si="12"/>
        <v>2.385463665980562E-5</v>
      </c>
      <c r="M63" s="158">
        <f t="shared" si="13"/>
        <v>9.1148566677117265E-2</v>
      </c>
      <c r="N63" s="158">
        <f t="shared" si="14"/>
        <v>6.4284837992939034E-2</v>
      </c>
      <c r="O63" s="158">
        <f t="shared" si="15"/>
        <v>0.1706560706642494</v>
      </c>
      <c r="P63" s="158">
        <f t="shared" si="16"/>
        <v>0.62281389294039069</v>
      </c>
      <c r="Q63" s="158">
        <f t="shared" si="17"/>
        <v>5.1062553672932484E-2</v>
      </c>
      <c r="R63" s="158">
        <f t="shared" si="18"/>
        <v>1.0223415711345266E-5</v>
      </c>
      <c r="S63" s="167">
        <f t="shared" si="19"/>
        <v>1</v>
      </c>
    </row>
    <row r="64" spans="1:19">
      <c r="A64" t="s">
        <v>11</v>
      </c>
      <c r="B64" t="s">
        <v>12</v>
      </c>
      <c r="C64" s="654">
        <v>146</v>
      </c>
      <c r="D64" s="654">
        <v>109877</v>
      </c>
      <c r="E64" s="654">
        <v>46221</v>
      </c>
      <c r="F64" s="654">
        <v>101959</v>
      </c>
      <c r="G64" s="654">
        <v>390355</v>
      </c>
      <c r="H64" s="654">
        <v>23385</v>
      </c>
      <c r="I64" s="654">
        <v>14</v>
      </c>
      <c r="J64" s="16">
        <f t="shared" si="9"/>
        <v>671957</v>
      </c>
      <c r="L64" s="158">
        <f t="shared" si="12"/>
        <v>2.1727580782698893E-4</v>
      </c>
      <c r="M64" s="158">
        <f t="shared" si="13"/>
        <v>0.16351790367538399</v>
      </c>
      <c r="N64" s="158">
        <f t="shared" si="14"/>
        <v>6.8785651462816816E-2</v>
      </c>
      <c r="O64" s="158">
        <f t="shared" si="15"/>
        <v>0.15173441157693127</v>
      </c>
      <c r="P64" s="158">
        <f t="shared" si="16"/>
        <v>0.58092258879660452</v>
      </c>
      <c r="Q64" s="158">
        <f t="shared" si="17"/>
        <v>3.4801334013932442E-2</v>
      </c>
      <c r="R64" s="158">
        <f t="shared" si="18"/>
        <v>2.0834666503957843E-5</v>
      </c>
      <c r="S64" s="167">
        <f t="shared" si="19"/>
        <v>1</v>
      </c>
    </row>
    <row r="65" spans="1:19">
      <c r="A65" t="s">
        <v>13</v>
      </c>
      <c r="B65" t="s">
        <v>54</v>
      </c>
      <c r="C65" s="654">
        <v>6</v>
      </c>
      <c r="D65" s="654">
        <v>44558</v>
      </c>
      <c r="E65" s="654">
        <v>24836</v>
      </c>
      <c r="F65" s="654">
        <v>62375</v>
      </c>
      <c r="G65" s="654">
        <v>236175</v>
      </c>
      <c r="H65" s="654">
        <v>15083</v>
      </c>
      <c r="I65" s="654"/>
      <c r="J65" s="16">
        <f t="shared" si="9"/>
        <v>383033</v>
      </c>
      <c r="L65" s="158">
        <f t="shared" si="12"/>
        <v>1.5664446666475211E-5</v>
      </c>
      <c r="M65" s="158">
        <f t="shared" si="13"/>
        <v>0.11632940242746709</v>
      </c>
      <c r="N65" s="158">
        <f t="shared" si="14"/>
        <v>6.4840366234763067E-2</v>
      </c>
      <c r="O65" s="158">
        <f t="shared" si="15"/>
        <v>0.16284497680356522</v>
      </c>
      <c r="P65" s="158">
        <f t="shared" si="16"/>
        <v>0.61659178190913055</v>
      </c>
      <c r="Q65" s="158">
        <f t="shared" si="17"/>
        <v>3.9377808178407601E-2</v>
      </c>
      <c r="R65" s="158">
        <f t="shared" si="18"/>
        <v>0</v>
      </c>
      <c r="S65" s="167">
        <f t="shared" si="19"/>
        <v>1</v>
      </c>
    </row>
    <row r="66" spans="1:19">
      <c r="A66" t="s">
        <v>14</v>
      </c>
      <c r="B66" t="s">
        <v>15</v>
      </c>
      <c r="C66" s="654">
        <v>33</v>
      </c>
      <c r="D66" s="654">
        <v>15118</v>
      </c>
      <c r="E66" s="654">
        <v>13634</v>
      </c>
      <c r="F66" s="654">
        <v>32957</v>
      </c>
      <c r="G66" s="654">
        <v>114663</v>
      </c>
      <c r="H66" s="654">
        <v>7007</v>
      </c>
      <c r="I66" s="654">
        <v>3</v>
      </c>
      <c r="J66" s="16">
        <f t="shared" si="9"/>
        <v>183415</v>
      </c>
      <c r="L66" s="158">
        <f t="shared" si="12"/>
        <v>1.7991985388327017E-4</v>
      </c>
      <c r="M66" s="158">
        <f t="shared" si="13"/>
        <v>8.2425101545675103E-2</v>
      </c>
      <c r="N66" s="158">
        <f t="shared" si="14"/>
        <v>7.4334160237712291E-2</v>
      </c>
      <c r="O66" s="158">
        <f t="shared" si="15"/>
        <v>0.17968541286154349</v>
      </c>
      <c r="P66" s="158">
        <f t="shared" si="16"/>
        <v>0.62515606684295177</v>
      </c>
      <c r="Q66" s="158">
        <f t="shared" si="17"/>
        <v>3.8202982307881037E-2</v>
      </c>
      <c r="R66" s="158">
        <f t="shared" si="18"/>
        <v>1.635635035302456E-5</v>
      </c>
      <c r="S66" s="167">
        <f t="shared" si="19"/>
        <v>0.99999999999999989</v>
      </c>
    </row>
    <row r="67" spans="1:19">
      <c r="A67" t="s">
        <v>16</v>
      </c>
      <c r="B67" t="s">
        <v>17</v>
      </c>
      <c r="C67" s="654">
        <v>15</v>
      </c>
      <c r="D67" s="654">
        <v>52505</v>
      </c>
      <c r="E67" s="654">
        <v>27210</v>
      </c>
      <c r="F67" s="654">
        <v>55308</v>
      </c>
      <c r="G67" s="654">
        <v>193875</v>
      </c>
      <c r="H67" s="654">
        <v>11722</v>
      </c>
      <c r="I67" s="654">
        <v>7</v>
      </c>
      <c r="J67" s="16">
        <f t="shared" si="9"/>
        <v>340642</v>
      </c>
      <c r="L67" s="158">
        <f t="shared" si="12"/>
        <v>4.4034499562590641E-5</v>
      </c>
      <c r="M67" s="158">
        <f t="shared" si="13"/>
        <v>0.1541354266355881</v>
      </c>
      <c r="N67" s="158">
        <f t="shared" si="14"/>
        <v>7.9878582206539414E-2</v>
      </c>
      <c r="O67" s="158">
        <f t="shared" si="15"/>
        <v>0.16236400678718421</v>
      </c>
      <c r="P67" s="158">
        <f t="shared" si="16"/>
        <v>0.56914590684648403</v>
      </c>
      <c r="Q67" s="158">
        <f t="shared" si="17"/>
        <v>3.44114935915125E-2</v>
      </c>
      <c r="R67" s="158">
        <f t="shared" si="18"/>
        <v>2.0549433129208964E-5</v>
      </c>
      <c r="S67" s="167">
        <f t="shared" si="19"/>
        <v>1</v>
      </c>
    </row>
    <row r="68" spans="1:19">
      <c r="A68" t="s">
        <v>18</v>
      </c>
      <c r="B68" t="s">
        <v>19</v>
      </c>
      <c r="C68" s="654"/>
      <c r="D68" s="654">
        <v>14947</v>
      </c>
      <c r="E68" s="654">
        <v>13661</v>
      </c>
      <c r="F68" s="654">
        <v>31294</v>
      </c>
      <c r="G68" s="654">
        <v>98361</v>
      </c>
      <c r="H68" s="654">
        <v>6601</v>
      </c>
      <c r="I68" s="654">
        <v>1</v>
      </c>
      <c r="J68" s="16">
        <f t="shared" si="9"/>
        <v>164865</v>
      </c>
      <c r="L68" s="158">
        <f t="shared" si="12"/>
        <v>0</v>
      </c>
      <c r="M68" s="158">
        <f t="shared" si="13"/>
        <v>9.066205683437964E-2</v>
      </c>
      <c r="N68" s="158">
        <f t="shared" si="14"/>
        <v>8.2861735359233316E-2</v>
      </c>
      <c r="O68" s="158">
        <f t="shared" si="15"/>
        <v>0.18981590998695902</v>
      </c>
      <c r="P68" s="158">
        <f t="shared" si="16"/>
        <v>0.59661541261031759</v>
      </c>
      <c r="Q68" s="158">
        <f t="shared" si="17"/>
        <v>4.0038819640311772E-2</v>
      </c>
      <c r="R68" s="158">
        <f t="shared" si="18"/>
        <v>6.0655687987140993E-6</v>
      </c>
      <c r="S68" s="167">
        <f t="shared" si="19"/>
        <v>1</v>
      </c>
    </row>
    <row r="69" spans="1:19">
      <c r="A69" t="s">
        <v>20</v>
      </c>
      <c r="B69" t="s">
        <v>21</v>
      </c>
      <c r="C69" s="654">
        <v>30</v>
      </c>
      <c r="D69" s="654">
        <v>38574</v>
      </c>
      <c r="E69" s="654">
        <v>18970</v>
      </c>
      <c r="F69" s="654">
        <v>36483</v>
      </c>
      <c r="G69" s="654">
        <v>130636</v>
      </c>
      <c r="H69" s="654">
        <v>8702</v>
      </c>
      <c r="I69" s="654">
        <v>2</v>
      </c>
      <c r="J69" s="16">
        <f t="shared" si="9"/>
        <v>233397</v>
      </c>
      <c r="L69" s="158">
        <f t="shared" si="12"/>
        <v>1.2853635650843842E-4</v>
      </c>
      <c r="M69" s="158">
        <f t="shared" si="13"/>
        <v>0.1652720471985501</v>
      </c>
      <c r="N69" s="158">
        <f t="shared" si="14"/>
        <v>8.127782276550255E-2</v>
      </c>
      <c r="O69" s="158">
        <f t="shared" si="15"/>
        <v>0.15631306314991195</v>
      </c>
      <c r="P69" s="158">
        <f t="shared" si="16"/>
        <v>0.55971584896121196</v>
      </c>
      <c r="Q69" s="158">
        <f t="shared" si="17"/>
        <v>3.7284112477881035E-2</v>
      </c>
      <c r="R69" s="158">
        <f t="shared" si="18"/>
        <v>8.5690904338958934E-6</v>
      </c>
      <c r="S69" s="167">
        <f t="shared" si="19"/>
        <v>0.99999999999999989</v>
      </c>
    </row>
    <row r="70" spans="1:19">
      <c r="A70" t="s">
        <v>22</v>
      </c>
      <c r="B70" t="s">
        <v>23</v>
      </c>
      <c r="C70" s="654">
        <v>23</v>
      </c>
      <c r="D70" s="654">
        <v>44628</v>
      </c>
      <c r="E70" s="654">
        <v>18777</v>
      </c>
      <c r="F70" s="654">
        <v>35237</v>
      </c>
      <c r="G70" s="654">
        <v>113410</v>
      </c>
      <c r="H70" s="654">
        <v>6401</v>
      </c>
      <c r="I70" s="654">
        <v>21</v>
      </c>
      <c r="J70" s="16">
        <f t="shared" si="9"/>
        <v>218497</v>
      </c>
      <c r="L70" s="158">
        <f t="shared" si="12"/>
        <v>1.0526460317532964E-4</v>
      </c>
      <c r="M70" s="158">
        <f t="shared" si="13"/>
        <v>0.204249943935157</v>
      </c>
      <c r="N70" s="158">
        <f t="shared" si="14"/>
        <v>8.5937106687963685E-2</v>
      </c>
      <c r="O70" s="158">
        <f t="shared" si="15"/>
        <v>0.16126994878648218</v>
      </c>
      <c r="P70" s="158">
        <f t="shared" si="16"/>
        <v>0.51904602809191891</v>
      </c>
      <c r="Q70" s="158">
        <f t="shared" si="17"/>
        <v>2.9295596735881956E-2</v>
      </c>
      <c r="R70" s="158">
        <f t="shared" si="18"/>
        <v>9.6111159420953152E-5</v>
      </c>
      <c r="S70" s="167">
        <f t="shared" si="19"/>
        <v>1</v>
      </c>
    </row>
    <row r="71" spans="1:19">
      <c r="A71" t="s">
        <v>24</v>
      </c>
      <c r="B71" t="s">
        <v>25</v>
      </c>
      <c r="C71" s="654">
        <v>33</v>
      </c>
      <c r="D71" s="654">
        <v>26304</v>
      </c>
      <c r="E71" s="654">
        <v>12550</v>
      </c>
      <c r="F71" s="654">
        <v>37448</v>
      </c>
      <c r="G71" s="654">
        <v>125431</v>
      </c>
      <c r="H71" s="654">
        <v>7244</v>
      </c>
      <c r="I71" s="654"/>
      <c r="J71" s="16">
        <f t="shared" si="9"/>
        <v>209010</v>
      </c>
      <c r="L71" s="158">
        <f t="shared" si="12"/>
        <v>1.578871824314626E-4</v>
      </c>
      <c r="M71" s="158">
        <f t="shared" si="13"/>
        <v>0.12585043777809674</v>
      </c>
      <c r="N71" s="158">
        <f t="shared" si="14"/>
        <v>6.0044973924692602E-2</v>
      </c>
      <c r="O71" s="158">
        <f t="shared" si="15"/>
        <v>0.1791684608391943</v>
      </c>
      <c r="P71" s="158">
        <f t="shared" si="16"/>
        <v>0.60011961150184201</v>
      </c>
      <c r="Q71" s="158">
        <f t="shared" si="17"/>
        <v>3.4658628773742886E-2</v>
      </c>
      <c r="R71" s="158">
        <f t="shared" si="18"/>
        <v>0</v>
      </c>
      <c r="S71" s="167">
        <f t="shared" si="19"/>
        <v>1</v>
      </c>
    </row>
    <row r="72" spans="1:19">
      <c r="A72" t="s">
        <v>51</v>
      </c>
      <c r="B72" t="s">
        <v>55</v>
      </c>
      <c r="C72" s="654">
        <v>27</v>
      </c>
      <c r="D72" s="654">
        <v>13155</v>
      </c>
      <c r="E72" s="654">
        <v>10912</v>
      </c>
      <c r="F72" s="654">
        <v>26042</v>
      </c>
      <c r="G72" s="654">
        <v>70929</v>
      </c>
      <c r="H72" s="654">
        <v>4612</v>
      </c>
      <c r="I72" s="654">
        <v>5</v>
      </c>
      <c r="J72" s="16">
        <f t="shared" si="9"/>
        <v>125682</v>
      </c>
      <c r="L72" s="158">
        <f t="shared" si="12"/>
        <v>2.1482789898314794E-4</v>
      </c>
      <c r="M72" s="158">
        <f t="shared" si="13"/>
        <v>0.10466892633790041</v>
      </c>
      <c r="N72" s="158">
        <f t="shared" si="14"/>
        <v>8.682229754459668E-2</v>
      </c>
      <c r="O72" s="158">
        <f t="shared" si="15"/>
        <v>0.2072054868636718</v>
      </c>
      <c r="P72" s="158">
        <f t="shared" si="16"/>
        <v>0.56435289062872962</v>
      </c>
      <c r="Q72" s="158">
        <f t="shared" si="17"/>
        <v>3.6695787781862159E-2</v>
      </c>
      <c r="R72" s="158">
        <f t="shared" si="18"/>
        <v>3.978294425613851E-5</v>
      </c>
      <c r="S72" s="167">
        <f t="shared" si="19"/>
        <v>0.99999999999999989</v>
      </c>
    </row>
    <row r="73" spans="1:19">
      <c r="A73" t="s">
        <v>26</v>
      </c>
      <c r="B73" t="s">
        <v>27</v>
      </c>
      <c r="C73" s="654">
        <v>87</v>
      </c>
      <c r="D73" s="654">
        <v>78993</v>
      </c>
      <c r="E73" s="654">
        <v>33672</v>
      </c>
      <c r="F73" s="654">
        <v>63995</v>
      </c>
      <c r="G73" s="654">
        <v>261255</v>
      </c>
      <c r="H73" s="654">
        <v>11556</v>
      </c>
      <c r="I73" s="654">
        <v>1</v>
      </c>
      <c r="J73" s="16">
        <f t="shared" si="9"/>
        <v>449559</v>
      </c>
      <c r="L73" s="158">
        <f t="shared" si="12"/>
        <v>1.9352298585947561E-4</v>
      </c>
      <c r="M73" s="158">
        <f t="shared" si="13"/>
        <v>0.17571219795399493</v>
      </c>
      <c r="N73" s="158">
        <f t="shared" si="14"/>
        <v>7.4900068734026007E-2</v>
      </c>
      <c r="O73" s="158">
        <f t="shared" si="15"/>
        <v>0.14235061471353036</v>
      </c>
      <c r="P73" s="158">
        <f t="shared" si="16"/>
        <v>0.58113618012318735</v>
      </c>
      <c r="Q73" s="158">
        <f t="shared" si="17"/>
        <v>2.570519108726552E-2</v>
      </c>
      <c r="R73" s="158">
        <f t="shared" si="18"/>
        <v>2.2244021363158115E-6</v>
      </c>
      <c r="S73" s="167">
        <f t="shared" si="19"/>
        <v>0.99999999999999989</v>
      </c>
    </row>
    <row r="74" spans="1:19">
      <c r="A74" t="s">
        <v>28</v>
      </c>
      <c r="B74" t="s">
        <v>29</v>
      </c>
      <c r="C74" s="654">
        <v>171</v>
      </c>
      <c r="D74" s="654">
        <v>136218</v>
      </c>
      <c r="E74" s="654">
        <v>55023</v>
      </c>
      <c r="F74" s="654">
        <v>124523</v>
      </c>
      <c r="G74" s="654">
        <v>442343</v>
      </c>
      <c r="H74" s="654">
        <v>24935</v>
      </c>
      <c r="I74" s="654">
        <v>17</v>
      </c>
      <c r="J74" s="16">
        <f t="shared" si="9"/>
        <v>783230</v>
      </c>
      <c r="L74" s="158">
        <f t="shared" si="12"/>
        <v>2.183266728802523E-4</v>
      </c>
      <c r="M74" s="158">
        <f t="shared" si="13"/>
        <v>0.17391826155790763</v>
      </c>
      <c r="N74" s="158">
        <f t="shared" si="14"/>
        <v>7.0251394864854516E-2</v>
      </c>
      <c r="O74" s="158">
        <f t="shared" si="15"/>
        <v>0.15898650460273483</v>
      </c>
      <c r="P74" s="158">
        <f t="shared" si="16"/>
        <v>0.56476769275947036</v>
      </c>
      <c r="Q74" s="158">
        <f t="shared" si="17"/>
        <v>3.1836114551281235E-2</v>
      </c>
      <c r="R74" s="158">
        <f t="shared" si="18"/>
        <v>2.1704990871136194E-5</v>
      </c>
      <c r="S74" s="167">
        <f t="shared" si="19"/>
        <v>1</v>
      </c>
    </row>
    <row r="75" spans="1:19">
      <c r="A75" t="s">
        <v>30</v>
      </c>
      <c r="B75" t="s">
        <v>59</v>
      </c>
      <c r="C75" s="654">
        <v>47</v>
      </c>
      <c r="D75" s="654">
        <v>65924</v>
      </c>
      <c r="E75" s="654">
        <v>35856</v>
      </c>
      <c r="F75" s="654">
        <v>82521</v>
      </c>
      <c r="G75" s="654">
        <v>319328</v>
      </c>
      <c r="H75" s="654">
        <v>17877</v>
      </c>
      <c r="I75" s="654"/>
      <c r="J75" s="16">
        <f t="shared" si="9"/>
        <v>521553</v>
      </c>
      <c r="L75" s="158">
        <f t="shared" si="12"/>
        <v>9.0115482031548087E-5</v>
      </c>
      <c r="M75" s="158">
        <f t="shared" si="13"/>
        <v>0.1263994263286761</v>
      </c>
      <c r="N75" s="158">
        <f t="shared" si="14"/>
        <v>6.8748526036663579E-2</v>
      </c>
      <c r="O75" s="158">
        <f t="shared" si="15"/>
        <v>0.15822169558990171</v>
      </c>
      <c r="P75" s="158">
        <f t="shared" si="16"/>
        <v>0.61226375842915293</v>
      </c>
      <c r="Q75" s="158">
        <f t="shared" si="17"/>
        <v>3.4276478133574151E-2</v>
      </c>
      <c r="R75" s="158">
        <f t="shared" si="18"/>
        <v>0</v>
      </c>
      <c r="S75" s="167">
        <f t="shared" si="19"/>
        <v>1</v>
      </c>
    </row>
    <row r="76" spans="1:19">
      <c r="A76" t="s">
        <v>31</v>
      </c>
      <c r="B76" t="s">
        <v>32</v>
      </c>
      <c r="C76" s="654">
        <v>86</v>
      </c>
      <c r="D76" s="654">
        <v>72408</v>
      </c>
      <c r="E76" s="654">
        <v>31332</v>
      </c>
      <c r="F76" s="654">
        <v>59702</v>
      </c>
      <c r="G76" s="654">
        <v>251791</v>
      </c>
      <c r="H76" s="654">
        <v>11314</v>
      </c>
      <c r="I76" s="654">
        <v>1</v>
      </c>
      <c r="J76" s="16">
        <f t="shared" si="9"/>
        <v>426634</v>
      </c>
      <c r="L76" s="158">
        <f t="shared" si="12"/>
        <v>2.0157793331051908E-4</v>
      </c>
      <c r="M76" s="158">
        <f t="shared" si="13"/>
        <v>0.16971924412962869</v>
      </c>
      <c r="N76" s="158">
        <f t="shared" si="14"/>
        <v>7.3439997749827721E-2</v>
      </c>
      <c r="O76" s="158">
        <f t="shared" si="15"/>
        <v>0.13993727644772802</v>
      </c>
      <c r="P76" s="158">
        <f t="shared" si="16"/>
        <v>0.59018034193242919</v>
      </c>
      <c r="Q76" s="158">
        <f t="shared" si="17"/>
        <v>2.6519217877618757E-2</v>
      </c>
      <c r="R76" s="158">
        <f t="shared" si="18"/>
        <v>2.343929457099059E-6</v>
      </c>
      <c r="S76" s="167">
        <f t="shared" si="19"/>
        <v>1</v>
      </c>
    </row>
    <row r="77" spans="1:19">
      <c r="A77" t="s">
        <v>33</v>
      </c>
      <c r="B77" t="s">
        <v>34</v>
      </c>
      <c r="C77" s="654">
        <v>8</v>
      </c>
      <c r="D77" s="654">
        <v>42191</v>
      </c>
      <c r="E77" s="654">
        <v>24842</v>
      </c>
      <c r="F77" s="654">
        <v>72471</v>
      </c>
      <c r="G77" s="654">
        <v>234461</v>
      </c>
      <c r="H77" s="654">
        <v>18298</v>
      </c>
      <c r="I77" s="654">
        <v>7</v>
      </c>
      <c r="J77" s="16">
        <f t="shared" si="9"/>
        <v>392278</v>
      </c>
      <c r="L77" s="158">
        <f t="shared" si="12"/>
        <v>2.039370038595078E-5</v>
      </c>
      <c r="M77" s="158">
        <f t="shared" si="13"/>
        <v>0.10755382662295616</v>
      </c>
      <c r="N77" s="158">
        <f t="shared" si="14"/>
        <v>6.3327538123473665E-2</v>
      </c>
      <c r="O77" s="158">
        <f t="shared" si="15"/>
        <v>0.18474398258377986</v>
      </c>
      <c r="P77" s="158">
        <f t="shared" si="16"/>
        <v>0.59769092327380069</v>
      </c>
      <c r="Q77" s="158">
        <f t="shared" si="17"/>
        <v>4.664549120776592E-2</v>
      </c>
      <c r="R77" s="158">
        <f t="shared" si="18"/>
        <v>1.7844487837706931E-5</v>
      </c>
      <c r="S77" s="167">
        <f t="shared" si="19"/>
        <v>1</v>
      </c>
    </row>
    <row r="78" spans="1:19">
      <c r="A78" t="s">
        <v>35</v>
      </c>
      <c r="B78" t="s">
        <v>61</v>
      </c>
      <c r="C78" s="654">
        <v>39</v>
      </c>
      <c r="D78" s="654">
        <v>43879</v>
      </c>
      <c r="E78" s="654">
        <v>29027</v>
      </c>
      <c r="F78" s="654">
        <v>61782</v>
      </c>
      <c r="G78" s="654">
        <v>215126</v>
      </c>
      <c r="H78" s="654">
        <v>10397</v>
      </c>
      <c r="I78" s="654">
        <v>4</v>
      </c>
      <c r="J78" s="16">
        <f t="shared" si="9"/>
        <v>360254</v>
      </c>
      <c r="L78" s="158">
        <f t="shared" si="12"/>
        <v>1.0825695203939442E-4</v>
      </c>
      <c r="M78" s="158">
        <f t="shared" si="13"/>
        <v>0.12180017432145097</v>
      </c>
      <c r="N78" s="158">
        <f t="shared" si="14"/>
        <v>8.0573706329423123E-2</v>
      </c>
      <c r="O78" s="158">
        <f t="shared" si="15"/>
        <v>0.17149566694609913</v>
      </c>
      <c r="P78" s="158">
        <f t="shared" si="16"/>
        <v>0.59715089908786578</v>
      </c>
      <c r="Q78" s="158">
        <f t="shared" si="17"/>
        <v>2.886019308598933E-2</v>
      </c>
      <c r="R78" s="158">
        <f t="shared" si="18"/>
        <v>1.1103277132245582E-5</v>
      </c>
      <c r="S78" s="167">
        <f t="shared" si="19"/>
        <v>1</v>
      </c>
    </row>
    <row r="79" spans="1:19">
      <c r="A79" t="s">
        <v>36</v>
      </c>
      <c r="B79" t="s">
        <v>37</v>
      </c>
      <c r="C79" s="654">
        <v>0</v>
      </c>
      <c r="D79" s="654">
        <v>28070</v>
      </c>
      <c r="E79" s="654">
        <v>20849</v>
      </c>
      <c r="F79" s="654">
        <v>54057</v>
      </c>
      <c r="G79" s="654">
        <v>172303</v>
      </c>
      <c r="H79" s="654">
        <v>9804</v>
      </c>
      <c r="I79" s="654">
        <v>6</v>
      </c>
      <c r="J79" s="16">
        <f t="shared" si="9"/>
        <v>285089</v>
      </c>
      <c r="L79" s="158">
        <f t="shared" si="12"/>
        <v>0</v>
      </c>
      <c r="M79" s="158">
        <f t="shared" si="13"/>
        <v>9.8460480762147959E-2</v>
      </c>
      <c r="N79" s="158">
        <f t="shared" si="14"/>
        <v>7.3131548393659526E-2</v>
      </c>
      <c r="O79" s="158">
        <f t="shared" si="15"/>
        <v>0.18961447127037523</v>
      </c>
      <c r="P79" s="158">
        <f t="shared" si="16"/>
        <v>0.60438319261704243</v>
      </c>
      <c r="Q79" s="158">
        <f t="shared" si="17"/>
        <v>3.4389260897474121E-2</v>
      </c>
      <c r="R79" s="158">
        <f t="shared" si="18"/>
        <v>2.1046059300779756E-5</v>
      </c>
      <c r="S79" s="167">
        <f t="shared" si="19"/>
        <v>1</v>
      </c>
    </row>
    <row r="80" spans="1:19">
      <c r="A80" t="s">
        <v>38</v>
      </c>
      <c r="B80" t="s">
        <v>39</v>
      </c>
      <c r="C80" s="654">
        <v>15</v>
      </c>
      <c r="D80" s="654">
        <v>40098</v>
      </c>
      <c r="E80" s="654">
        <v>23422</v>
      </c>
      <c r="F80" s="654">
        <v>49554</v>
      </c>
      <c r="G80" s="654">
        <v>181422</v>
      </c>
      <c r="H80" s="654">
        <v>11019</v>
      </c>
      <c r="I80" s="654">
        <v>7</v>
      </c>
      <c r="J80" s="16">
        <f t="shared" si="9"/>
        <v>305537</v>
      </c>
      <c r="L80" s="158">
        <f t="shared" si="12"/>
        <v>4.9093890428982411E-5</v>
      </c>
      <c r="M80" s="158">
        <f t="shared" si="13"/>
        <v>0.13123778789475579</v>
      </c>
      <c r="N80" s="158">
        <f t="shared" si="14"/>
        <v>7.6658473441841735E-2</v>
      </c>
      <c r="O80" s="158">
        <f t="shared" si="15"/>
        <v>0.16218657642118631</v>
      </c>
      <c r="P80" s="158">
        <f t="shared" si="16"/>
        <v>0.59378078596045647</v>
      </c>
      <c r="Q80" s="158">
        <f t="shared" si="17"/>
        <v>3.6064371909130484E-2</v>
      </c>
      <c r="R80" s="158">
        <f t="shared" si="18"/>
        <v>2.2910482200191793E-5</v>
      </c>
      <c r="S80" s="167">
        <f t="shared" si="19"/>
        <v>0.99999999999999989</v>
      </c>
    </row>
    <row r="81" spans="1:19">
      <c r="A81" t="s">
        <v>40</v>
      </c>
      <c r="B81" t="s">
        <v>41</v>
      </c>
      <c r="C81" s="654">
        <v>36</v>
      </c>
      <c r="D81" s="654">
        <v>43702</v>
      </c>
      <c r="E81" s="654">
        <v>17074</v>
      </c>
      <c r="F81" s="654">
        <v>45797</v>
      </c>
      <c r="G81" s="654">
        <v>140148</v>
      </c>
      <c r="H81" s="654">
        <v>7557</v>
      </c>
      <c r="I81" s="654"/>
      <c r="J81" s="16">
        <f t="shared" si="9"/>
        <v>254314</v>
      </c>
      <c r="L81" s="158">
        <f t="shared" si="12"/>
        <v>1.4155728744780075E-4</v>
      </c>
      <c r="M81" s="158">
        <f t="shared" si="13"/>
        <v>0.17184268266788302</v>
      </c>
      <c r="N81" s="158">
        <f t="shared" si="14"/>
        <v>6.7137475718993062E-2</v>
      </c>
      <c r="O81" s="158">
        <f t="shared" si="15"/>
        <v>0.18008053036797031</v>
      </c>
      <c r="P81" s="158">
        <f t="shared" si="16"/>
        <v>0.55108252003428837</v>
      </c>
      <c r="Q81" s="158">
        <f t="shared" si="17"/>
        <v>2.9715233923417506E-2</v>
      </c>
      <c r="R81" s="158">
        <f t="shared" si="18"/>
        <v>0</v>
      </c>
      <c r="S81" s="167">
        <f t="shared" si="19"/>
        <v>1</v>
      </c>
    </row>
    <row r="82" spans="1:19">
      <c r="A82" t="s">
        <v>42</v>
      </c>
      <c r="B82" t="s">
        <v>43</v>
      </c>
      <c r="C82" s="654">
        <v>2</v>
      </c>
      <c r="D82" s="654">
        <v>48256</v>
      </c>
      <c r="E82" s="654">
        <v>14463</v>
      </c>
      <c r="F82" s="654">
        <v>29839</v>
      </c>
      <c r="G82" s="654">
        <v>113153</v>
      </c>
      <c r="H82" s="654">
        <v>5073</v>
      </c>
      <c r="I82" s="654">
        <v>1</v>
      </c>
      <c r="J82" s="16">
        <f t="shared" si="9"/>
        <v>210787</v>
      </c>
      <c r="L82" s="158">
        <f t="shared" si="12"/>
        <v>9.4882511729850508E-6</v>
      </c>
      <c r="M82" s="158">
        <f t="shared" si="13"/>
        <v>0.22893252430178332</v>
      </c>
      <c r="N82" s="158">
        <f t="shared" si="14"/>
        <v>6.8614288357441391E-2</v>
      </c>
      <c r="O82" s="158">
        <f t="shared" si="15"/>
        <v>0.14155996337535048</v>
      </c>
      <c r="P82" s="158">
        <f t="shared" si="16"/>
        <v>0.53681204248838876</v>
      </c>
      <c r="Q82" s="158">
        <f t="shared" si="17"/>
        <v>2.4066949100276583E-2</v>
      </c>
      <c r="R82" s="158">
        <f t="shared" si="18"/>
        <v>4.7441255864925254E-6</v>
      </c>
      <c r="S82" s="167">
        <f t="shared" si="19"/>
        <v>1</v>
      </c>
    </row>
    <row r="83" spans="1:19">
      <c r="A83" t="s">
        <v>44</v>
      </c>
      <c r="B83" t="s">
        <v>45</v>
      </c>
      <c r="C83" s="654">
        <v>19</v>
      </c>
      <c r="D83" s="654">
        <v>32452</v>
      </c>
      <c r="E83" s="654">
        <v>17203</v>
      </c>
      <c r="F83" s="654">
        <v>33776</v>
      </c>
      <c r="G83" s="654">
        <v>123751</v>
      </c>
      <c r="H83" s="654">
        <v>8306</v>
      </c>
      <c r="I83" s="654"/>
      <c r="J83" s="16">
        <f t="shared" si="9"/>
        <v>215507</v>
      </c>
      <c r="L83" s="158">
        <f t="shared" si="12"/>
        <v>8.8164189562288004E-5</v>
      </c>
      <c r="M83" s="158">
        <f t="shared" si="13"/>
        <v>0.15058443577238789</v>
      </c>
      <c r="N83" s="158">
        <f t="shared" si="14"/>
        <v>7.9825713317896868E-2</v>
      </c>
      <c r="O83" s="158">
        <f t="shared" si="15"/>
        <v>0.1567280877187284</v>
      </c>
      <c r="P83" s="158">
        <f t="shared" si="16"/>
        <v>0.57423192750119489</v>
      </c>
      <c r="Q83" s="158">
        <f t="shared" si="17"/>
        <v>3.8541671500229691E-2</v>
      </c>
      <c r="R83" s="158">
        <f t="shared" si="18"/>
        <v>0</v>
      </c>
      <c r="S83" s="167">
        <f t="shared" si="19"/>
        <v>1</v>
      </c>
    </row>
    <row r="84" spans="1:19">
      <c r="A84" t="s">
        <v>46</v>
      </c>
      <c r="B84" t="s">
        <v>47</v>
      </c>
      <c r="C84" s="654">
        <v>21</v>
      </c>
      <c r="D84" s="654">
        <v>28791</v>
      </c>
      <c r="E84" s="654">
        <v>15189</v>
      </c>
      <c r="F84" s="654">
        <v>30002</v>
      </c>
      <c r="G84" s="654">
        <v>96383</v>
      </c>
      <c r="H84" s="654">
        <v>5925</v>
      </c>
      <c r="I84" s="654">
        <v>21</v>
      </c>
      <c r="J84" s="16">
        <f t="shared" si="9"/>
        <v>176332</v>
      </c>
      <c r="L84" s="158">
        <f t="shared" si="12"/>
        <v>1.1909352811741488E-4</v>
      </c>
      <c r="M84" s="158">
        <f t="shared" si="13"/>
        <v>0.16327722704897579</v>
      </c>
      <c r="N84" s="158">
        <f t="shared" si="14"/>
        <v>8.6138647551210215E-2</v>
      </c>
      <c r="O84" s="158">
        <f t="shared" si="15"/>
        <v>0.17014495383708006</v>
      </c>
      <c r="P84" s="158">
        <f t="shared" si="16"/>
        <v>0.54659959621622844</v>
      </c>
      <c r="Q84" s="158">
        <f t="shared" si="17"/>
        <v>3.3601388290270623E-2</v>
      </c>
      <c r="R84" s="158">
        <f t="shared" si="18"/>
        <v>1.1909352811741488E-4</v>
      </c>
      <c r="S84" s="167">
        <f t="shared" si="19"/>
        <v>1</v>
      </c>
    </row>
    <row r="85" spans="1:19">
      <c r="A85" t="s">
        <v>56</v>
      </c>
      <c r="B85" t="s">
        <v>63</v>
      </c>
      <c r="C85" s="654">
        <v>29</v>
      </c>
      <c r="D85" s="654">
        <v>14028</v>
      </c>
      <c r="E85" s="654">
        <v>10368</v>
      </c>
      <c r="F85" s="654">
        <v>25511</v>
      </c>
      <c r="G85" s="654">
        <v>71865</v>
      </c>
      <c r="H85" s="654">
        <v>4144</v>
      </c>
      <c r="I85" s="654">
        <v>4</v>
      </c>
      <c r="J85" s="16">
        <f t="shared" si="9"/>
        <v>125949</v>
      </c>
      <c r="L85" s="158">
        <f t="shared" si="12"/>
        <v>2.302519273674265E-4</v>
      </c>
      <c r="M85" s="158">
        <f t="shared" si="13"/>
        <v>0.11137841507276755</v>
      </c>
      <c r="N85" s="158">
        <f t="shared" si="14"/>
        <v>8.2319033894671656E-2</v>
      </c>
      <c r="O85" s="158">
        <f t="shared" si="15"/>
        <v>0.20255023858863508</v>
      </c>
      <c r="P85" s="158">
        <f t="shared" si="16"/>
        <v>0.57058809518138298</v>
      </c>
      <c r="Q85" s="158">
        <f t="shared" si="17"/>
        <v>3.2902206448641912E-2</v>
      </c>
      <c r="R85" s="158">
        <f t="shared" si="18"/>
        <v>3.1758886533438135E-5</v>
      </c>
      <c r="S85" s="167">
        <f t="shared" si="19"/>
        <v>1</v>
      </c>
    </row>
    <row r="86" spans="1:19">
      <c r="A86" t="s">
        <v>57</v>
      </c>
      <c r="B86" t="s">
        <v>64</v>
      </c>
      <c r="C86" s="654"/>
      <c r="D86" s="654">
        <v>20704</v>
      </c>
      <c r="E86" s="654">
        <v>10118</v>
      </c>
      <c r="F86" s="654">
        <v>20481</v>
      </c>
      <c r="G86" s="654">
        <v>67011</v>
      </c>
      <c r="H86" s="654">
        <v>4251</v>
      </c>
      <c r="I86" s="654">
        <v>1</v>
      </c>
      <c r="J86" s="16">
        <f t="shared" si="9"/>
        <v>122566</v>
      </c>
      <c r="L86" s="158">
        <f t="shared" si="12"/>
        <v>0</v>
      </c>
      <c r="M86" s="158">
        <f t="shared" si="13"/>
        <v>0.16892123427377903</v>
      </c>
      <c r="N86" s="158">
        <f t="shared" si="14"/>
        <v>8.255144167224189E-2</v>
      </c>
      <c r="O86" s="158">
        <f t="shared" si="15"/>
        <v>0.16710180637370886</v>
      </c>
      <c r="P86" s="158">
        <f t="shared" si="16"/>
        <v>0.54673400453633147</v>
      </c>
      <c r="Q86" s="158">
        <f t="shared" si="17"/>
        <v>3.4683354274431734E-2</v>
      </c>
      <c r="R86" s="158">
        <f t="shared" si="18"/>
        <v>8.1588695070411044E-6</v>
      </c>
      <c r="S86" s="167">
        <f t="shared" si="19"/>
        <v>1</v>
      </c>
    </row>
    <row r="87" spans="1:19">
      <c r="A87" t="s">
        <v>48</v>
      </c>
      <c r="B87" t="s">
        <v>49</v>
      </c>
      <c r="C87" s="654">
        <v>6</v>
      </c>
      <c r="D87" s="654">
        <v>13316</v>
      </c>
      <c r="E87" s="654">
        <v>12525</v>
      </c>
      <c r="F87" s="654">
        <v>29452</v>
      </c>
      <c r="G87" s="654">
        <v>106038</v>
      </c>
      <c r="H87" s="654">
        <v>6771</v>
      </c>
      <c r="I87" s="654">
        <v>3</v>
      </c>
      <c r="J87" s="16">
        <f t="shared" si="9"/>
        <v>168111</v>
      </c>
      <c r="L87" s="158">
        <f t="shared" si="12"/>
        <v>3.5690704356050467E-5</v>
      </c>
      <c r="M87" s="158">
        <f t="shared" si="13"/>
        <v>7.9209569867528001E-2</v>
      </c>
      <c r="N87" s="158">
        <f t="shared" si="14"/>
        <v>7.4504345343255354E-2</v>
      </c>
      <c r="O87" s="158">
        <f t="shared" si="15"/>
        <v>0.17519377078239973</v>
      </c>
      <c r="P87" s="158">
        <f t="shared" si="16"/>
        <v>0.63076181808447984</v>
      </c>
      <c r="Q87" s="158">
        <f t="shared" si="17"/>
        <v>4.0276959865802951E-2</v>
      </c>
      <c r="R87" s="158">
        <f t="shared" si="18"/>
        <v>1.7845352178025233E-5</v>
      </c>
      <c r="S87" s="167">
        <f t="shared" si="19"/>
        <v>0.99999999999999989</v>
      </c>
    </row>
    <row r="88" spans="1:19">
      <c r="A88" t="s">
        <v>58</v>
      </c>
      <c r="B88" t="s">
        <v>65</v>
      </c>
      <c r="C88" s="654">
        <v>27</v>
      </c>
      <c r="D88" s="654">
        <v>16759</v>
      </c>
      <c r="E88" s="654">
        <v>10983</v>
      </c>
      <c r="F88" s="654">
        <v>29495</v>
      </c>
      <c r="G88" s="654">
        <v>62721</v>
      </c>
      <c r="H88" s="654">
        <v>3173</v>
      </c>
      <c r="I88" s="654"/>
      <c r="J88" s="16">
        <f t="shared" si="9"/>
        <v>123158</v>
      </c>
      <c r="L88" s="158">
        <f t="shared" si="12"/>
        <v>2.1923058185420354E-4</v>
      </c>
      <c r="M88" s="158">
        <f t="shared" si="13"/>
        <v>0.13607723412202211</v>
      </c>
      <c r="N88" s="158">
        <f t="shared" si="14"/>
        <v>8.917812890758213E-2</v>
      </c>
      <c r="O88" s="158">
        <f t="shared" si="15"/>
        <v>0.23948911154776792</v>
      </c>
      <c r="P88" s="158">
        <f t="shared" si="16"/>
        <v>0.50927264164731478</v>
      </c>
      <c r="Q88" s="158">
        <f t="shared" si="17"/>
        <v>2.5763653193458809E-2</v>
      </c>
      <c r="R88" s="158">
        <f t="shared" si="18"/>
        <v>0</v>
      </c>
      <c r="S88" s="167">
        <f t="shared" si="19"/>
        <v>1</v>
      </c>
    </row>
    <row r="89" spans="1:19">
      <c r="A89" t="s">
        <v>486</v>
      </c>
      <c r="B89" t="s">
        <v>465</v>
      </c>
      <c r="C89" s="654">
        <v>3</v>
      </c>
      <c r="D89" s="654">
        <v>28613</v>
      </c>
      <c r="E89" s="654">
        <v>21767</v>
      </c>
      <c r="F89" s="654">
        <v>55907</v>
      </c>
      <c r="G89" s="654">
        <v>179036</v>
      </c>
      <c r="H89" s="654">
        <v>10004</v>
      </c>
      <c r="I89" s="654">
        <v>8</v>
      </c>
      <c r="J89" s="16">
        <f t="shared" si="9"/>
        <v>295338</v>
      </c>
      <c r="L89" s="158">
        <f t="shared" si="12"/>
        <v>1.0157853036182272E-5</v>
      </c>
      <c r="M89" s="158">
        <f t="shared" si="13"/>
        <v>9.688221630809446E-2</v>
      </c>
      <c r="N89" s="158">
        <f t="shared" si="14"/>
        <v>7.3701995679526511E-2</v>
      </c>
      <c r="O89" s="158">
        <f t="shared" si="15"/>
        <v>0.18929836323128077</v>
      </c>
      <c r="P89" s="158">
        <f t="shared" si="16"/>
        <v>0.60620712539530974</v>
      </c>
      <c r="Q89" s="158">
        <f t="shared" si="17"/>
        <v>3.3873053924655817E-2</v>
      </c>
      <c r="R89" s="158">
        <f t="shared" si="18"/>
        <v>2.7087608096486062E-5</v>
      </c>
      <c r="S89" s="167">
        <f t="shared" si="19"/>
        <v>0.99999999999999989</v>
      </c>
    </row>
    <row r="90" spans="1:19">
      <c r="A90" t="s">
        <v>487</v>
      </c>
      <c r="B90" t="s">
        <v>466</v>
      </c>
      <c r="C90" s="654">
        <v>51</v>
      </c>
      <c r="D90" s="654">
        <v>74735</v>
      </c>
      <c r="E90" s="654">
        <v>41312</v>
      </c>
      <c r="F90" s="654">
        <v>95604</v>
      </c>
      <c r="G90" s="654">
        <v>356032</v>
      </c>
      <c r="H90" s="654">
        <v>18821</v>
      </c>
      <c r="I90" s="654">
        <v>1</v>
      </c>
      <c r="J90" s="16">
        <f t="shared" si="9"/>
        <v>586556</v>
      </c>
      <c r="L90" s="158">
        <f t="shared" si="12"/>
        <v>8.6948219777821723E-5</v>
      </c>
      <c r="M90" s="158">
        <f t="shared" si="13"/>
        <v>0.12741323931559817</v>
      </c>
      <c r="N90" s="158">
        <f t="shared" si="14"/>
        <v>7.0431467754144536E-2</v>
      </c>
      <c r="O90" s="158">
        <f t="shared" si="15"/>
        <v>0.16299210987527193</v>
      </c>
      <c r="P90" s="158">
        <f t="shared" si="16"/>
        <v>0.60698722713602793</v>
      </c>
      <c r="Q90" s="158">
        <f t="shared" si="17"/>
        <v>3.2087302832125152E-2</v>
      </c>
      <c r="R90" s="158">
        <f t="shared" si="18"/>
        <v>1.7048670544670926E-6</v>
      </c>
      <c r="S90" s="167">
        <f t="shared" si="19"/>
        <v>0.99999999999999989</v>
      </c>
    </row>
    <row r="91" spans="1:19">
      <c r="A91" t="s">
        <v>488</v>
      </c>
      <c r="B91" t="s">
        <v>467</v>
      </c>
      <c r="C91" s="654">
        <v>96</v>
      </c>
      <c r="D91" s="654">
        <v>74152</v>
      </c>
      <c r="E91" s="654">
        <v>31642</v>
      </c>
      <c r="F91" s="654">
        <v>61063</v>
      </c>
      <c r="G91" s="654">
        <v>255398</v>
      </c>
      <c r="H91" s="654">
        <v>11319</v>
      </c>
      <c r="I91" s="654">
        <v>1</v>
      </c>
      <c r="J91" s="16">
        <f t="shared" si="9"/>
        <v>433671</v>
      </c>
      <c r="L91" s="158">
        <f t="shared" si="12"/>
        <v>2.213659663662085E-4</v>
      </c>
      <c r="M91" s="158">
        <f t="shared" si="13"/>
        <v>0.17098676185403219</v>
      </c>
      <c r="N91" s="158">
        <f t="shared" si="14"/>
        <v>7.2963144872495514E-2</v>
      </c>
      <c r="O91" s="158">
        <f t="shared" si="15"/>
        <v>0.14080489587728948</v>
      </c>
      <c r="P91" s="158">
        <f t="shared" si="16"/>
        <v>0.58892109456246788</v>
      </c>
      <c r="Q91" s="158">
        <f t="shared" si="17"/>
        <v>2.6100430971865769E-2</v>
      </c>
      <c r="R91" s="158">
        <f t="shared" si="18"/>
        <v>2.3058954829813382E-6</v>
      </c>
      <c r="S91" s="167">
        <f t="shared" si="19"/>
        <v>1</v>
      </c>
    </row>
    <row r="92" spans="1:19">
      <c r="A92" t="s">
        <v>71</v>
      </c>
      <c r="B92" t="s">
        <v>116</v>
      </c>
      <c r="C92" s="654">
        <v>71</v>
      </c>
      <c r="D92" s="654">
        <v>53851</v>
      </c>
      <c r="E92" s="654">
        <v>34059</v>
      </c>
      <c r="F92" s="654">
        <v>75956</v>
      </c>
      <c r="G92" s="654">
        <v>242779</v>
      </c>
      <c r="H92" s="654">
        <v>11047</v>
      </c>
      <c r="I92" s="654">
        <v>4</v>
      </c>
      <c r="J92" s="16">
        <f t="shared" si="9"/>
        <v>417767</v>
      </c>
      <c r="L92" s="158">
        <f t="shared" si="12"/>
        <v>1.6995119288981656E-4</v>
      </c>
      <c r="M92" s="158">
        <f t="shared" si="13"/>
        <v>0.12890199560999313</v>
      </c>
      <c r="N92" s="158">
        <f t="shared" si="14"/>
        <v>8.1526305332876942E-2</v>
      </c>
      <c r="O92" s="158">
        <f t="shared" si="15"/>
        <v>0.18181426488928037</v>
      </c>
      <c r="P92" s="158">
        <f t="shared" si="16"/>
        <v>0.58113493885347578</v>
      </c>
      <c r="Q92" s="158">
        <f t="shared" si="17"/>
        <v>2.6442969406391601E-2</v>
      </c>
      <c r="R92" s="158">
        <f t="shared" si="18"/>
        <v>9.574715092384033E-6</v>
      </c>
      <c r="S92" s="167">
        <f t="shared" si="19"/>
        <v>0.99999999999999989</v>
      </c>
    </row>
    <row r="93" spans="1:19">
      <c r="A93" t="s">
        <v>489</v>
      </c>
      <c r="B93" t="s">
        <v>468</v>
      </c>
      <c r="C93" s="654">
        <v>160</v>
      </c>
      <c r="D93" s="654">
        <v>23621</v>
      </c>
      <c r="E93" s="654">
        <v>20645</v>
      </c>
      <c r="F93" s="654">
        <v>50798</v>
      </c>
      <c r="G93" s="654">
        <v>154866</v>
      </c>
      <c r="H93" s="654">
        <v>8684</v>
      </c>
      <c r="I93" s="654">
        <v>7</v>
      </c>
      <c r="J93" s="16">
        <f t="shared" si="9"/>
        <v>258781</v>
      </c>
      <c r="L93" s="158">
        <f t="shared" si="12"/>
        <v>6.1828341338815451E-4</v>
      </c>
      <c r="M93" s="158">
        <f t="shared" si="13"/>
        <v>9.1277953172759982E-2</v>
      </c>
      <c r="N93" s="158">
        <f t="shared" si="14"/>
        <v>7.9777881683740309E-2</v>
      </c>
      <c r="O93" s="158">
        <f t="shared" si="15"/>
        <v>0.1962972552080717</v>
      </c>
      <c r="P93" s="158">
        <f t="shared" si="16"/>
        <v>0.59844424436106203</v>
      </c>
      <c r="Q93" s="158">
        <f t="shared" si="17"/>
        <v>3.3557332261642085E-2</v>
      </c>
      <c r="R93" s="158">
        <f t="shared" si="18"/>
        <v>2.7049899335731758E-5</v>
      </c>
      <c r="S93" s="167">
        <f t="shared" si="19"/>
        <v>1</v>
      </c>
    </row>
    <row r="94" spans="1:19">
      <c r="A94" t="s">
        <v>490</v>
      </c>
      <c r="B94" t="s">
        <v>469</v>
      </c>
      <c r="C94" s="654">
        <v>156</v>
      </c>
      <c r="D94" s="654">
        <v>55560</v>
      </c>
      <c r="E94" s="654">
        <v>23964</v>
      </c>
      <c r="F94" s="654">
        <v>48483</v>
      </c>
      <c r="G94" s="654">
        <v>160844</v>
      </c>
      <c r="H94" s="654">
        <v>10486</v>
      </c>
      <c r="I94" s="654">
        <v>1</v>
      </c>
      <c r="J94" s="16">
        <f t="shared" si="9"/>
        <v>299494</v>
      </c>
      <c r="L94" s="158">
        <f t="shared" si="12"/>
        <v>5.2087854848511151E-4</v>
      </c>
      <c r="M94" s="158">
        <f t="shared" si="13"/>
        <v>0.18551289842200511</v>
      </c>
      <c r="N94" s="158">
        <f t="shared" si="14"/>
        <v>8.0014958563443678E-2</v>
      </c>
      <c r="O94" s="158">
        <f t="shared" si="15"/>
        <v>0.16188304273207477</v>
      </c>
      <c r="P94" s="158">
        <f t="shared" si="16"/>
        <v>0.53705249520858511</v>
      </c>
      <c r="Q94" s="158">
        <f t="shared" si="17"/>
        <v>3.5012387560351792E-2</v>
      </c>
      <c r="R94" s="158">
        <f t="shared" si="18"/>
        <v>3.3389650543917407E-6</v>
      </c>
      <c r="S94" s="167">
        <f t="shared" si="19"/>
        <v>1</v>
      </c>
    </row>
    <row r="95" spans="1:19">
      <c r="A95" t="s">
        <v>491</v>
      </c>
      <c r="B95" t="s">
        <v>470</v>
      </c>
      <c r="C95" s="654">
        <v>21</v>
      </c>
      <c r="D95" s="654">
        <v>80055</v>
      </c>
      <c r="E95" s="654">
        <v>27015</v>
      </c>
      <c r="F95" s="654">
        <v>53551</v>
      </c>
      <c r="G95" s="654">
        <v>170618</v>
      </c>
      <c r="H95" s="654">
        <v>6779</v>
      </c>
      <c r="I95" s="654">
        <v>5</v>
      </c>
      <c r="J95" s="16">
        <f t="shared" si="9"/>
        <v>338044</v>
      </c>
      <c r="L95" s="158">
        <f t="shared" si="12"/>
        <v>6.2122090615422839E-5</v>
      </c>
      <c r="M95" s="158">
        <f t="shared" si="13"/>
        <v>0.2368182840103655</v>
      </c>
      <c r="N95" s="158">
        <f t="shared" si="14"/>
        <v>7.9915632284554672E-2</v>
      </c>
      <c r="O95" s="158">
        <f t="shared" si="15"/>
        <v>0.15841428926411946</v>
      </c>
      <c r="P95" s="158">
        <f t="shared" si="16"/>
        <v>0.5047212788867721</v>
      </c>
      <c r="Q95" s="158">
        <f t="shared" si="17"/>
        <v>2.0053602489616736E-2</v>
      </c>
      <c r="R95" s="158">
        <f t="shared" si="18"/>
        <v>1.4790973956053058E-5</v>
      </c>
      <c r="S95" s="167">
        <f t="shared" si="19"/>
        <v>1</v>
      </c>
    </row>
    <row r="96" spans="1:19">
      <c r="A96" t="s">
        <v>492</v>
      </c>
      <c r="B96" t="s">
        <v>471</v>
      </c>
      <c r="C96" s="654">
        <v>28</v>
      </c>
      <c r="D96" s="654">
        <v>69300</v>
      </c>
      <c r="E96" s="654">
        <v>33316</v>
      </c>
      <c r="F96" s="654">
        <v>66800</v>
      </c>
      <c r="G96" s="654">
        <v>229094</v>
      </c>
      <c r="H96" s="654">
        <v>13185</v>
      </c>
      <c r="I96" s="654">
        <v>8</v>
      </c>
      <c r="J96" s="16">
        <f t="shared" si="9"/>
        <v>411731</v>
      </c>
      <c r="L96" s="158">
        <f t="shared" si="12"/>
        <v>6.8005566741391837E-5</v>
      </c>
      <c r="M96" s="158">
        <f t="shared" si="13"/>
        <v>0.16831377768494479</v>
      </c>
      <c r="N96" s="158">
        <f t="shared" si="14"/>
        <v>8.0916909341293225E-2</v>
      </c>
      <c r="O96" s="158">
        <f t="shared" si="15"/>
        <v>0.16224185208303479</v>
      </c>
      <c r="P96" s="158">
        <f t="shared" si="16"/>
        <v>0.55641668953758638</v>
      </c>
      <c r="Q96" s="158">
        <f t="shared" si="17"/>
        <v>3.2023335624473258E-2</v>
      </c>
      <c r="R96" s="158">
        <f t="shared" si="18"/>
        <v>1.9430161926111952E-5</v>
      </c>
      <c r="S96" s="167">
        <f t="shared" si="19"/>
        <v>0.99999999999999989</v>
      </c>
    </row>
    <row r="97" spans="1:19">
      <c r="A97" t="s">
        <v>493</v>
      </c>
      <c r="B97" t="s">
        <v>472</v>
      </c>
      <c r="C97" s="654">
        <v>139</v>
      </c>
      <c r="D97" s="654">
        <v>126907</v>
      </c>
      <c r="E97" s="654">
        <v>48502</v>
      </c>
      <c r="F97" s="654">
        <v>119936</v>
      </c>
      <c r="G97" s="654">
        <v>372056</v>
      </c>
      <c r="H97" s="654">
        <v>26806</v>
      </c>
      <c r="I97" s="654">
        <v>12</v>
      </c>
      <c r="J97" s="16">
        <f t="shared" si="9"/>
        <v>694358</v>
      </c>
      <c r="L97" s="158">
        <f t="shared" si="12"/>
        <v>2.0018491901871945E-4</v>
      </c>
      <c r="M97" s="158">
        <f t="shared" si="13"/>
        <v>0.18276883106409086</v>
      </c>
      <c r="N97" s="158">
        <f t="shared" si="14"/>
        <v>6.9851575124071447E-2</v>
      </c>
      <c r="O97" s="158">
        <f t="shared" si="15"/>
        <v>0.17272934134841106</v>
      </c>
      <c r="P97" s="158">
        <f t="shared" si="16"/>
        <v>0.53582733978725672</v>
      </c>
      <c r="Q97" s="158">
        <f t="shared" si="17"/>
        <v>3.8605445605869017E-2</v>
      </c>
      <c r="R97" s="158">
        <f t="shared" si="18"/>
        <v>1.7282151282191606E-5</v>
      </c>
      <c r="S97" s="167">
        <f t="shared" si="19"/>
        <v>1</v>
      </c>
    </row>
    <row r="98" spans="1:19">
      <c r="A98" t="s">
        <v>494</v>
      </c>
      <c r="B98" t="s">
        <v>478</v>
      </c>
      <c r="C98" s="654">
        <v>379</v>
      </c>
      <c r="D98" s="654">
        <v>65010</v>
      </c>
      <c r="E98" s="654">
        <v>27267</v>
      </c>
      <c r="F98" s="654">
        <v>56498</v>
      </c>
      <c r="G98" s="654">
        <v>154862</v>
      </c>
      <c r="H98" s="654">
        <v>8695</v>
      </c>
      <c r="I98" s="654">
        <v>1</v>
      </c>
      <c r="J98" s="16">
        <f t="shared" si="9"/>
        <v>312712</v>
      </c>
      <c r="L98" s="158">
        <f t="shared" si="12"/>
        <v>1.211977794264371E-3</v>
      </c>
      <c r="M98" s="158">
        <f t="shared" si="13"/>
        <v>0.2078909667681445</v>
      </c>
      <c r="N98" s="158">
        <f t="shared" si="14"/>
        <v>8.7195246744608462E-2</v>
      </c>
      <c r="O98" s="158">
        <f t="shared" si="15"/>
        <v>0.1806710327713679</v>
      </c>
      <c r="P98" s="158">
        <f t="shared" si="16"/>
        <v>0.49522244109596048</v>
      </c>
      <c r="Q98" s="158">
        <f t="shared" si="17"/>
        <v>2.7805136995062551E-2</v>
      </c>
      <c r="R98" s="158">
        <f t="shared" si="18"/>
        <v>3.1978305917265728E-6</v>
      </c>
      <c r="S98" s="167">
        <f t="shared" si="19"/>
        <v>1</v>
      </c>
    </row>
    <row r="99" spans="1:19">
      <c r="A99" t="s">
        <v>495</v>
      </c>
      <c r="B99" t="s">
        <v>473</v>
      </c>
      <c r="C99" s="654">
        <v>39</v>
      </c>
      <c r="D99" s="654">
        <v>74464</v>
      </c>
      <c r="E99" s="654">
        <v>24656</v>
      </c>
      <c r="F99" s="654">
        <v>60407</v>
      </c>
      <c r="G99" s="654">
        <v>172211</v>
      </c>
      <c r="H99" s="654">
        <v>8803</v>
      </c>
      <c r="I99" s="654">
        <v>3</v>
      </c>
      <c r="J99" s="16">
        <f t="shared" si="9"/>
        <v>340583</v>
      </c>
      <c r="L99" s="158">
        <f t="shared" si="12"/>
        <v>1.145095321845189E-4</v>
      </c>
      <c r="M99" s="158">
        <f t="shared" si="13"/>
        <v>0.21863686678430808</v>
      </c>
      <c r="N99" s="158">
        <f t="shared" si="14"/>
        <v>7.2393513475423027E-2</v>
      </c>
      <c r="O99" s="158">
        <f t="shared" si="15"/>
        <v>0.17736352078641623</v>
      </c>
      <c r="P99" s="158">
        <f t="shared" si="16"/>
        <v>0.50563592428277393</v>
      </c>
      <c r="Q99" s="158">
        <f t="shared" si="17"/>
        <v>2.5846856713341537E-2</v>
      </c>
      <c r="R99" s="158">
        <f t="shared" si="18"/>
        <v>8.8084255526553E-6</v>
      </c>
      <c r="S99" s="167">
        <f t="shared" si="19"/>
        <v>1</v>
      </c>
    </row>
    <row r="100" spans="1:19">
      <c r="A100" t="s">
        <v>496</v>
      </c>
      <c r="B100" t="s">
        <v>474</v>
      </c>
      <c r="C100" s="654">
        <v>162</v>
      </c>
      <c r="D100" s="654">
        <v>105128</v>
      </c>
      <c r="E100" s="654">
        <v>45991</v>
      </c>
      <c r="F100" s="654">
        <v>103683</v>
      </c>
      <c r="G100" s="654">
        <v>396741</v>
      </c>
      <c r="H100" s="654">
        <v>23774</v>
      </c>
      <c r="I100" s="654">
        <v>11</v>
      </c>
      <c r="J100" s="16">
        <f t="shared" si="9"/>
        <v>675490</v>
      </c>
      <c r="L100" s="158">
        <f t="shared" si="12"/>
        <v>2.3982590415846274E-4</v>
      </c>
      <c r="M100" s="158">
        <f t="shared" si="13"/>
        <v>0.1556322077306844</v>
      </c>
      <c r="N100" s="158">
        <f t="shared" si="14"/>
        <v>6.8085389865134946E-2</v>
      </c>
      <c r="O100" s="158">
        <f t="shared" si="15"/>
        <v>0.15349301988186353</v>
      </c>
      <c r="P100" s="158">
        <f t="shared" si="16"/>
        <v>0.58733808050452263</v>
      </c>
      <c r="Q100" s="158">
        <f t="shared" si="17"/>
        <v>3.5195191638662304E-2</v>
      </c>
      <c r="R100" s="158">
        <f t="shared" si="18"/>
        <v>1.6284474973722779E-5</v>
      </c>
      <c r="S100" s="167">
        <f t="shared" si="19"/>
        <v>1.0000000000000002</v>
      </c>
    </row>
    <row r="101" spans="1:19">
      <c r="A101" t="s">
        <v>497</v>
      </c>
      <c r="B101" t="s">
        <v>475</v>
      </c>
      <c r="C101" s="654">
        <v>85</v>
      </c>
      <c r="D101" s="654">
        <v>73489</v>
      </c>
      <c r="E101" s="654">
        <v>28391</v>
      </c>
      <c r="F101" s="654">
        <v>51946</v>
      </c>
      <c r="G101" s="654">
        <v>171824</v>
      </c>
      <c r="H101" s="654">
        <v>9366</v>
      </c>
      <c r="I101" s="654">
        <v>39</v>
      </c>
      <c r="J101" s="16">
        <f t="shared" si="9"/>
        <v>335140</v>
      </c>
      <c r="L101" s="158">
        <f t="shared" si="12"/>
        <v>2.5362535059974937E-4</v>
      </c>
      <c r="M101" s="158">
        <f t="shared" si="13"/>
        <v>0.21927851047323507</v>
      </c>
      <c r="N101" s="158">
        <f t="shared" si="14"/>
        <v>8.4713850927970402E-2</v>
      </c>
      <c r="O101" s="158">
        <f t="shared" si="15"/>
        <v>0.15499791132064211</v>
      </c>
      <c r="P101" s="158">
        <f t="shared" si="16"/>
        <v>0.51269320284060393</v>
      </c>
      <c r="Q101" s="158">
        <f t="shared" si="17"/>
        <v>2.7946529808438265E-2</v>
      </c>
      <c r="R101" s="158">
        <f t="shared" si="18"/>
        <v>1.1636927851047324E-4</v>
      </c>
      <c r="S101" s="167">
        <f t="shared" si="19"/>
        <v>1</v>
      </c>
    </row>
    <row r="102" spans="1:19">
      <c r="A102" t="s">
        <v>498</v>
      </c>
      <c r="B102" t="s">
        <v>476</v>
      </c>
      <c r="C102" s="654">
        <v>43</v>
      </c>
      <c r="D102" s="654">
        <v>20118</v>
      </c>
      <c r="E102" s="654">
        <v>19631</v>
      </c>
      <c r="F102" s="654">
        <v>44772</v>
      </c>
      <c r="G102" s="654">
        <v>110158</v>
      </c>
      <c r="H102" s="654">
        <v>5525</v>
      </c>
      <c r="I102" s="654">
        <v>10</v>
      </c>
      <c r="J102" s="16">
        <f t="shared" si="9"/>
        <v>200257</v>
      </c>
      <c r="L102" s="158">
        <f t="shared" si="12"/>
        <v>2.1472407955776826E-4</v>
      </c>
      <c r="M102" s="158">
        <f t="shared" si="13"/>
        <v>0.10046090773356237</v>
      </c>
      <c r="N102" s="158">
        <f t="shared" si="14"/>
        <v>9.8029032692989515E-2</v>
      </c>
      <c r="O102" s="158">
        <f t="shared" si="15"/>
        <v>0.22357270906884652</v>
      </c>
      <c r="P102" s="158">
        <f t="shared" si="16"/>
        <v>0.55008314316103801</v>
      </c>
      <c r="Q102" s="158">
        <f t="shared" si="17"/>
        <v>2.7589547431550458E-2</v>
      </c>
      <c r="R102" s="158">
        <f t="shared" si="18"/>
        <v>4.9935832455294946E-5</v>
      </c>
      <c r="S102" s="167">
        <f t="shared" si="19"/>
        <v>0.99999999999999989</v>
      </c>
    </row>
    <row r="103" spans="1:19">
      <c r="A103" t="s">
        <v>499</v>
      </c>
      <c r="B103" t="s">
        <v>477</v>
      </c>
      <c r="C103" s="654">
        <v>50</v>
      </c>
      <c r="D103" s="654">
        <v>19013</v>
      </c>
      <c r="E103" s="654">
        <v>11642</v>
      </c>
      <c r="F103" s="654">
        <v>30756</v>
      </c>
      <c r="G103" s="654">
        <v>64728</v>
      </c>
      <c r="H103" s="654">
        <v>3193</v>
      </c>
      <c r="I103" s="654">
        <v>1</v>
      </c>
      <c r="J103" s="16">
        <f t="shared" si="9"/>
        <v>129383</v>
      </c>
      <c r="L103" s="158">
        <f t="shared" si="12"/>
        <v>3.8644953355541299E-4</v>
      </c>
      <c r="M103" s="158">
        <f t="shared" si="13"/>
        <v>0.14695129962978135</v>
      </c>
      <c r="N103" s="158">
        <f t="shared" si="14"/>
        <v>8.998090939304236E-2</v>
      </c>
      <c r="O103" s="158">
        <f t="shared" si="15"/>
        <v>0.23771283708060564</v>
      </c>
      <c r="P103" s="158">
        <f t="shared" si="16"/>
        <v>0.50028210815949548</v>
      </c>
      <c r="Q103" s="158">
        <f t="shared" si="17"/>
        <v>2.4678667212848674E-2</v>
      </c>
      <c r="R103" s="158">
        <f t="shared" si="18"/>
        <v>7.7289906711082607E-6</v>
      </c>
      <c r="S103" s="167">
        <f t="shared" si="19"/>
        <v>1</v>
      </c>
    </row>
    <row r="104" spans="1:19">
      <c r="A104" t="s">
        <v>73</v>
      </c>
      <c r="B104" t="s">
        <v>74</v>
      </c>
      <c r="C104" s="654">
        <v>326</v>
      </c>
      <c r="D104" s="654">
        <v>132534</v>
      </c>
      <c r="E104" s="654">
        <v>70566</v>
      </c>
      <c r="F104" s="654">
        <v>152784</v>
      </c>
      <c r="G104" s="654">
        <v>433482</v>
      </c>
      <c r="H104" s="654">
        <v>20550</v>
      </c>
      <c r="I104" s="654">
        <v>11</v>
      </c>
      <c r="J104" s="16">
        <f t="shared" si="9"/>
        <v>810253</v>
      </c>
      <c r="L104" s="158">
        <f t="shared" si="12"/>
        <v>4.0234346555952278E-4</v>
      </c>
      <c r="M104" s="158">
        <f t="shared" si="13"/>
        <v>0.16357113148609137</v>
      </c>
      <c r="N104" s="158">
        <f t="shared" si="14"/>
        <v>8.7091315922310689E-2</v>
      </c>
      <c r="O104" s="158">
        <f t="shared" si="15"/>
        <v>0.18856332528235009</v>
      </c>
      <c r="P104" s="158">
        <f t="shared" si="16"/>
        <v>0.53499585931801552</v>
      </c>
      <c r="Q104" s="158">
        <f t="shared" si="17"/>
        <v>2.5362448519166237E-2</v>
      </c>
      <c r="R104" s="158">
        <f t="shared" si="18"/>
        <v>1.3576006506609664E-5</v>
      </c>
      <c r="S104" s="167">
        <f t="shared" si="19"/>
        <v>1</v>
      </c>
    </row>
    <row r="105" spans="1:19">
      <c r="A105" s="60" t="s">
        <v>69</v>
      </c>
      <c r="B105" t="s">
        <v>680</v>
      </c>
      <c r="C105" s="654">
        <v>15</v>
      </c>
      <c r="D105" s="654">
        <v>31614</v>
      </c>
      <c r="E105" s="654">
        <v>19730</v>
      </c>
      <c r="F105" s="654">
        <v>45932</v>
      </c>
      <c r="G105" s="654">
        <v>180341</v>
      </c>
      <c r="H105" s="654">
        <v>9751</v>
      </c>
      <c r="I105" s="654">
        <v>3</v>
      </c>
      <c r="J105" s="16">
        <f t="shared" si="9"/>
        <v>287386</v>
      </c>
      <c r="L105" s="158">
        <f t="shared" si="12"/>
        <v>5.2194609340747288E-5</v>
      </c>
      <c r="M105" s="158">
        <f t="shared" si="13"/>
        <v>0.11000535864655898</v>
      </c>
      <c r="N105" s="158">
        <f t="shared" si="14"/>
        <v>6.865330948619626E-2</v>
      </c>
      <c r="O105" s="158">
        <f t="shared" si="15"/>
        <v>0.15982685308261363</v>
      </c>
      <c r="P105" s="158">
        <f t="shared" si="16"/>
        <v>0.62752186954131373</v>
      </c>
      <c r="Q105" s="158">
        <f t="shared" si="17"/>
        <v>3.3929975712108457E-2</v>
      </c>
      <c r="R105" s="158">
        <f t="shared" si="18"/>
        <v>1.0438921868149458E-5</v>
      </c>
      <c r="S105" s="167">
        <f t="shared" si="19"/>
        <v>0.99999999999999989</v>
      </c>
    </row>
    <row r="106" spans="1:19">
      <c r="A106" t="s">
        <v>705</v>
      </c>
      <c r="B106" t="s">
        <v>1479</v>
      </c>
      <c r="C106" s="654">
        <v>5039</v>
      </c>
      <c r="D106" s="654">
        <v>3021071</v>
      </c>
      <c r="E106" s="654">
        <v>1332639</v>
      </c>
      <c r="F106" s="654">
        <v>2953509</v>
      </c>
      <c r="G106" s="654">
        <v>9649341</v>
      </c>
      <c r="H106" s="654">
        <v>483194</v>
      </c>
      <c r="I106" s="654">
        <v>521</v>
      </c>
      <c r="J106" s="16">
        <f t="shared" si="9"/>
        <v>17445314</v>
      </c>
      <c r="L106" s="158">
        <f t="shared" si="12"/>
        <v>2.8884547449246255E-4</v>
      </c>
      <c r="M106" s="158">
        <f t="shared" si="13"/>
        <v>0.17317378179607429</v>
      </c>
      <c r="N106" s="158">
        <f t="shared" si="14"/>
        <v>7.6389510673181352E-2</v>
      </c>
      <c r="O106" s="158">
        <f t="shared" si="15"/>
        <v>0.16930099395172823</v>
      </c>
      <c r="P106" s="158">
        <f t="shared" si="16"/>
        <v>0.55311936489076663</v>
      </c>
      <c r="Q106" s="158">
        <f t="shared" si="17"/>
        <v>2.7697638460391139E-2</v>
      </c>
      <c r="R106" s="158">
        <f t="shared" si="18"/>
        <v>2.9864753365860883E-5</v>
      </c>
      <c r="S106" s="167">
        <f t="shared" si="19"/>
        <v>1</v>
      </c>
    </row>
    <row r="111" spans="1:19">
      <c r="A111" s="166" t="s">
        <v>1685</v>
      </c>
    </row>
    <row r="113" spans="1:18" ht="45">
      <c r="A113" s="59" t="s">
        <v>483</v>
      </c>
      <c r="B113" s="59" t="s">
        <v>484</v>
      </c>
      <c r="C113" s="16" t="s">
        <v>724</v>
      </c>
      <c r="D113" s="16" t="s">
        <v>1136</v>
      </c>
      <c r="E113" s="16" t="s">
        <v>510</v>
      </c>
      <c r="F113" s="16" t="s">
        <v>725</v>
      </c>
      <c r="G113" s="16" t="s">
        <v>1045</v>
      </c>
      <c r="H113" s="16" t="s">
        <v>1522</v>
      </c>
      <c r="I113" s="16" t="s">
        <v>1145</v>
      </c>
      <c r="J113" s="16" t="s">
        <v>730</v>
      </c>
      <c r="L113" s="59" t="s">
        <v>1140</v>
      </c>
      <c r="M113" s="59" t="s">
        <v>1141</v>
      </c>
      <c r="N113" s="59" t="s">
        <v>1142</v>
      </c>
      <c r="O113" s="59" t="s">
        <v>1144</v>
      </c>
      <c r="P113" s="59" t="s">
        <v>1143</v>
      </c>
      <c r="Q113" s="16" t="s">
        <v>1523</v>
      </c>
      <c r="R113" s="59"/>
    </row>
    <row r="114" spans="1:18">
      <c r="A114" t="s">
        <v>88</v>
      </c>
      <c r="B114" t="s">
        <v>89</v>
      </c>
      <c r="C114" s="654">
        <v>54</v>
      </c>
      <c r="D114" s="654">
        <v>19882</v>
      </c>
      <c r="E114" s="654">
        <v>12990</v>
      </c>
      <c r="F114" s="654">
        <v>26912</v>
      </c>
      <c r="G114" s="654">
        <v>55302</v>
      </c>
      <c r="H114" s="654">
        <v>3260</v>
      </c>
      <c r="I114" s="654"/>
      <c r="J114" s="16">
        <f>SUM(C114:I114)</f>
        <v>118400</v>
      </c>
      <c r="L114" s="244">
        <f t="shared" ref="L114:Q114" si="20">IF(C114&lt;50,"NC",+RATE((2015-2008),,-C114,C59))</f>
        <v>-9.9146382441097844E-2</v>
      </c>
      <c r="M114" s="244">
        <f t="shared" si="20"/>
        <v>-1.5464975297177138E-2</v>
      </c>
      <c r="N114" s="244">
        <f t="shared" si="20"/>
        <v>-1.5324426957579806E-2</v>
      </c>
      <c r="O114" s="244">
        <f t="shared" si="20"/>
        <v>-2.368340599778202E-3</v>
      </c>
      <c r="P114" s="244">
        <f t="shared" si="20"/>
        <v>3.3045764398440818E-3</v>
      </c>
      <c r="Q114" s="244">
        <f t="shared" si="20"/>
        <v>-8.0351124764694859E-3</v>
      </c>
    </row>
    <row r="115" spans="1:18">
      <c r="A115" t="s">
        <v>5</v>
      </c>
      <c r="B115" t="s">
        <v>6</v>
      </c>
      <c r="C115" s="654">
        <v>49</v>
      </c>
      <c r="D115" s="654">
        <v>48725</v>
      </c>
      <c r="E115" s="654">
        <v>31993</v>
      </c>
      <c r="F115" s="654">
        <v>62344</v>
      </c>
      <c r="G115" s="654">
        <v>197898</v>
      </c>
      <c r="H115" s="654">
        <v>10111</v>
      </c>
      <c r="I115" s="654">
        <v>3</v>
      </c>
      <c r="J115" s="16">
        <f t="shared" ref="J115:J161" si="21">SUM(C115:I115)</f>
        <v>351123</v>
      </c>
      <c r="L115" s="244" t="str">
        <f t="shared" ref="L115:Q115" si="22">IF(C115&lt;50,"NC",+RATE((2015-2008),,-C115,C60))</f>
        <v>NC</v>
      </c>
      <c r="M115" s="244">
        <f t="shared" si="22"/>
        <v>-3.8257904513438481E-3</v>
      </c>
      <c r="N115" s="244">
        <f t="shared" si="22"/>
        <v>-7.0786482087234941E-3</v>
      </c>
      <c r="O115" s="244">
        <f t="shared" si="22"/>
        <v>4.2934427951247661E-3</v>
      </c>
      <c r="P115" s="244">
        <f t="shared" si="22"/>
        <v>1.5840245347240735E-2</v>
      </c>
      <c r="Q115" s="244">
        <f t="shared" si="22"/>
        <v>4.8458334959699942E-3</v>
      </c>
    </row>
    <row r="116" spans="1:18">
      <c r="A116" t="s">
        <v>87</v>
      </c>
      <c r="B116" s="76" t="s">
        <v>1406</v>
      </c>
      <c r="C116" s="654"/>
      <c r="D116" s="654">
        <v>12752</v>
      </c>
      <c r="E116" s="654">
        <v>8902</v>
      </c>
      <c r="F116" s="654">
        <v>14621</v>
      </c>
      <c r="G116" s="654">
        <v>40691</v>
      </c>
      <c r="H116" s="654">
        <v>3705</v>
      </c>
      <c r="I116" s="654"/>
      <c r="J116" s="16">
        <f t="shared" si="21"/>
        <v>80671</v>
      </c>
      <c r="L116" s="244" t="str">
        <f t="shared" ref="L116:Q116" si="23">IF(C116&lt;50,"NC",+RATE((2015-2008),,-C116,C61))</f>
        <v>NC</v>
      </c>
      <c r="M116" s="244">
        <f t="shared" si="23"/>
        <v>-2.6440411642108728E-2</v>
      </c>
      <c r="N116" s="244">
        <f t="shared" si="23"/>
        <v>-2.4594028317533972E-2</v>
      </c>
      <c r="O116" s="244">
        <f t="shared" si="23"/>
        <v>3.1743929671149383E-3</v>
      </c>
      <c r="P116" s="244">
        <f t="shared" si="23"/>
        <v>1.2533246072163369E-2</v>
      </c>
      <c r="Q116" s="244">
        <f t="shared" si="23"/>
        <v>-1.9974107955559733E-2</v>
      </c>
    </row>
    <row r="117" spans="1:18">
      <c r="A117" t="s">
        <v>7</v>
      </c>
      <c r="B117" t="s">
        <v>8</v>
      </c>
      <c r="C117" s="654">
        <v>16</v>
      </c>
      <c r="D117" s="654">
        <v>60694</v>
      </c>
      <c r="E117" s="654">
        <v>19077</v>
      </c>
      <c r="F117" s="654">
        <v>35554</v>
      </c>
      <c r="G117" s="654">
        <v>120554</v>
      </c>
      <c r="H117" s="654">
        <v>5715</v>
      </c>
      <c r="I117" s="654"/>
      <c r="J117" s="16">
        <f t="shared" si="21"/>
        <v>241610</v>
      </c>
      <c r="L117" s="244" t="str">
        <f t="shared" ref="L117:Q117" si="24">IF(C117&lt;50,"NC",+RATE((2015-2008),,-C117,C62))</f>
        <v>NC</v>
      </c>
      <c r="M117" s="244">
        <f t="shared" si="24"/>
        <v>-1.6581839824527392E-2</v>
      </c>
      <c r="N117" s="244">
        <f t="shared" si="24"/>
        <v>-1.5812371394480235E-2</v>
      </c>
      <c r="O117" s="244">
        <f t="shared" si="24"/>
        <v>-6.5020840079129836E-3</v>
      </c>
      <c r="P117" s="244">
        <f t="shared" si="24"/>
        <v>5.6597464840593414E-3</v>
      </c>
      <c r="Q117" s="244">
        <f t="shared" si="24"/>
        <v>-8.8293880276634346E-3</v>
      </c>
    </row>
    <row r="118" spans="1:18">
      <c r="A118" t="s">
        <v>9</v>
      </c>
      <c r="B118" t="s">
        <v>10</v>
      </c>
      <c r="C118" s="654">
        <v>7</v>
      </c>
      <c r="D118" s="654">
        <v>31844</v>
      </c>
      <c r="E118" s="654">
        <v>19897</v>
      </c>
      <c r="F118" s="654">
        <v>50590</v>
      </c>
      <c r="G118" s="654">
        <v>167038</v>
      </c>
      <c r="H118" s="654">
        <v>13970</v>
      </c>
      <c r="I118" s="654"/>
      <c r="J118" s="16">
        <f t="shared" si="21"/>
        <v>283346</v>
      </c>
      <c r="L118" s="244" t="str">
        <f t="shared" ref="L118:Q118" si="25">IF(C118&lt;50,"NC",+RATE((2015-2008),,-C118,C63))</f>
        <v>NC</v>
      </c>
      <c r="M118" s="244">
        <f t="shared" si="25"/>
        <v>-2.4610201761562499E-2</v>
      </c>
      <c r="N118" s="244">
        <f t="shared" si="25"/>
        <v>-7.5873018276919231E-3</v>
      </c>
      <c r="O118" s="244">
        <f t="shared" si="25"/>
        <v>-1.4521073006790917E-3</v>
      </c>
      <c r="P118" s="244">
        <f t="shared" si="25"/>
        <v>1.2934067427043909E-2</v>
      </c>
      <c r="Q118" s="244">
        <f t="shared" si="25"/>
        <v>1.006038189914194E-2</v>
      </c>
    </row>
    <row r="119" spans="1:18">
      <c r="A119" t="s">
        <v>11</v>
      </c>
      <c r="B119" t="s">
        <v>12</v>
      </c>
      <c r="C119" s="654">
        <v>64</v>
      </c>
      <c r="D119" s="654">
        <v>121308</v>
      </c>
      <c r="E119" s="654">
        <v>49082</v>
      </c>
      <c r="F119" s="654">
        <v>99311</v>
      </c>
      <c r="G119" s="654">
        <v>350069</v>
      </c>
      <c r="H119" s="654">
        <v>22405</v>
      </c>
      <c r="I119" s="654"/>
      <c r="J119" s="16">
        <f t="shared" si="21"/>
        <v>642239</v>
      </c>
      <c r="L119" s="244">
        <f t="shared" ref="L119:Q119" si="26">IF(C119&lt;50,"NC",+RATE((2015-2008),,-C119,C64))</f>
        <v>0.12503893993793616</v>
      </c>
      <c r="M119" s="244">
        <f t="shared" si="26"/>
        <v>-1.4039261310230039E-2</v>
      </c>
      <c r="N119" s="244">
        <f t="shared" si="26"/>
        <v>-8.5430317787667884E-3</v>
      </c>
      <c r="O119" s="244">
        <f t="shared" si="26"/>
        <v>3.7662791498225541E-3</v>
      </c>
      <c r="P119" s="244">
        <f t="shared" si="26"/>
        <v>1.56826017663757E-2</v>
      </c>
      <c r="Q119" s="244">
        <f t="shared" si="26"/>
        <v>6.1345458600122627E-3</v>
      </c>
    </row>
    <row r="120" spans="1:18">
      <c r="A120" t="s">
        <v>13</v>
      </c>
      <c r="B120" t="s">
        <v>54</v>
      </c>
      <c r="C120" s="654">
        <v>7</v>
      </c>
      <c r="D120" s="654">
        <v>45425</v>
      </c>
      <c r="E120" s="654">
        <v>28976</v>
      </c>
      <c r="F120" s="654">
        <v>63623</v>
      </c>
      <c r="G120" s="654">
        <v>222178</v>
      </c>
      <c r="H120" s="654">
        <v>15014</v>
      </c>
      <c r="I120" s="654"/>
      <c r="J120" s="16">
        <f t="shared" si="21"/>
        <v>375223</v>
      </c>
      <c r="L120" s="244" t="str">
        <f t="shared" ref="L120:Q120" si="27">IF(C120&lt;50,"NC",+RATE((2015-2008),,-C120,C65))</f>
        <v>NC</v>
      </c>
      <c r="M120" s="244">
        <f t="shared" si="27"/>
        <v>-2.749200147845366E-3</v>
      </c>
      <c r="N120" s="244">
        <f t="shared" si="27"/>
        <v>-2.1784037252835169E-2</v>
      </c>
      <c r="O120" s="244">
        <f t="shared" si="27"/>
        <v>-2.8260685743559922E-3</v>
      </c>
      <c r="P120" s="244">
        <f t="shared" si="27"/>
        <v>8.7659396784542255E-3</v>
      </c>
      <c r="Q120" s="244">
        <f t="shared" si="27"/>
        <v>6.5524066738640804E-4</v>
      </c>
    </row>
    <row r="121" spans="1:18">
      <c r="A121" t="s">
        <v>14</v>
      </c>
      <c r="B121" t="s">
        <v>15</v>
      </c>
      <c r="C121" s="654">
        <v>37</v>
      </c>
      <c r="D121" s="654">
        <v>15146</v>
      </c>
      <c r="E121" s="654">
        <v>15756</v>
      </c>
      <c r="F121" s="654">
        <v>32762</v>
      </c>
      <c r="G121" s="654">
        <v>101949</v>
      </c>
      <c r="H121" s="654">
        <v>6873</v>
      </c>
      <c r="I121" s="654"/>
      <c r="J121" s="16">
        <f t="shared" si="21"/>
        <v>172523</v>
      </c>
      <c r="L121" s="244" t="str">
        <f t="shared" ref="L121:Q121" si="28">IF(C121&lt;50,"NC",+RATE((2015-2008),,-C121,C66))</f>
        <v>NC</v>
      </c>
      <c r="M121" s="244">
        <f t="shared" si="28"/>
        <v>-2.6430561083740989E-4</v>
      </c>
      <c r="N121" s="244">
        <f t="shared" si="28"/>
        <v>-2.0452882256060009E-2</v>
      </c>
      <c r="O121" s="244">
        <f t="shared" si="28"/>
        <v>8.4812721381624775E-4</v>
      </c>
      <c r="P121" s="244">
        <f t="shared" si="28"/>
        <v>1.6930974737663154E-2</v>
      </c>
      <c r="Q121" s="244">
        <f t="shared" si="28"/>
        <v>2.7622304120073918E-3</v>
      </c>
    </row>
    <row r="122" spans="1:18">
      <c r="A122" t="s">
        <v>16</v>
      </c>
      <c r="B122" t="s">
        <v>17</v>
      </c>
      <c r="C122" s="654">
        <v>13</v>
      </c>
      <c r="D122" s="654">
        <v>57163</v>
      </c>
      <c r="E122" s="654">
        <v>28983</v>
      </c>
      <c r="F122" s="654">
        <v>52637</v>
      </c>
      <c r="G122" s="654">
        <v>170351</v>
      </c>
      <c r="H122" s="654">
        <v>11164</v>
      </c>
      <c r="I122" s="654"/>
      <c r="J122" s="16">
        <f t="shared" si="21"/>
        <v>320311</v>
      </c>
      <c r="L122" s="244" t="str">
        <f t="shared" ref="L122:Q122" si="29">IF(C122&lt;50,"NC",+RATE((2015-2008),,-C122,C67))</f>
        <v>NC</v>
      </c>
      <c r="M122" s="244">
        <f t="shared" si="29"/>
        <v>-1.2069208971800794E-2</v>
      </c>
      <c r="N122" s="244">
        <f t="shared" si="29"/>
        <v>-8.9773038359205123E-3</v>
      </c>
      <c r="O122" s="244">
        <f t="shared" si="29"/>
        <v>7.0962411230064953E-3</v>
      </c>
      <c r="P122" s="244">
        <f t="shared" si="29"/>
        <v>1.8650736108694246E-2</v>
      </c>
      <c r="Q122" s="244">
        <f t="shared" si="29"/>
        <v>6.9919161566081335E-3</v>
      </c>
    </row>
    <row r="123" spans="1:18">
      <c r="A123" t="s">
        <v>18</v>
      </c>
      <c r="B123" t="s">
        <v>19</v>
      </c>
      <c r="C123" s="654">
        <v>4</v>
      </c>
      <c r="D123" s="654">
        <v>15199</v>
      </c>
      <c r="E123" s="654">
        <v>16933</v>
      </c>
      <c r="F123" s="654">
        <v>31351</v>
      </c>
      <c r="G123" s="654">
        <v>100783</v>
      </c>
      <c r="H123" s="654">
        <v>6903</v>
      </c>
      <c r="I123" s="654"/>
      <c r="J123" s="16">
        <f t="shared" si="21"/>
        <v>171173</v>
      </c>
      <c r="L123" s="244" t="str">
        <f t="shared" ref="L123:Q123" si="30">IF(C123&lt;50,"NC",+RATE((2015-2008),,-C123,C68))</f>
        <v>NC</v>
      </c>
      <c r="M123" s="244">
        <f t="shared" si="30"/>
        <v>-2.3855821664760368E-3</v>
      </c>
      <c r="N123" s="244">
        <f t="shared" si="30"/>
        <v>-3.0208509625392135E-2</v>
      </c>
      <c r="O123" s="244">
        <f t="shared" si="30"/>
        <v>-2.5993458477543567E-4</v>
      </c>
      <c r="P123" s="244">
        <f t="shared" si="30"/>
        <v>-3.4690128218220991E-3</v>
      </c>
      <c r="Q123" s="244">
        <f t="shared" si="30"/>
        <v>-6.3703295806982561E-3</v>
      </c>
    </row>
    <row r="124" spans="1:18">
      <c r="A124" t="s">
        <v>20</v>
      </c>
      <c r="B124" t="s">
        <v>21</v>
      </c>
      <c r="C124" s="654">
        <v>46</v>
      </c>
      <c r="D124" s="654">
        <v>42474</v>
      </c>
      <c r="E124" s="654">
        <v>20023</v>
      </c>
      <c r="F124" s="654">
        <v>35823</v>
      </c>
      <c r="G124" s="654">
        <v>118980</v>
      </c>
      <c r="H124" s="654">
        <v>8208</v>
      </c>
      <c r="I124" s="654"/>
      <c r="J124" s="16">
        <f t="shared" si="21"/>
        <v>225554</v>
      </c>
      <c r="L124" s="244" t="str">
        <f t="shared" ref="L124:Q124" si="31">IF(C124&lt;50,"NC",+RATE((2015-2008),,-C124,C69))</f>
        <v>NC</v>
      </c>
      <c r="M124" s="244">
        <f t="shared" si="31"/>
        <v>-1.3664869126388576E-2</v>
      </c>
      <c r="N124" s="244">
        <f t="shared" si="31"/>
        <v>-7.6878431774316585E-3</v>
      </c>
      <c r="O124" s="244">
        <f t="shared" si="31"/>
        <v>2.6114400918673801E-3</v>
      </c>
      <c r="P124" s="244">
        <f t="shared" si="31"/>
        <v>1.3440872624805277E-2</v>
      </c>
      <c r="Q124" s="244">
        <f t="shared" si="31"/>
        <v>8.3840359369311002E-3</v>
      </c>
    </row>
    <row r="125" spans="1:18">
      <c r="A125" t="s">
        <v>22</v>
      </c>
      <c r="B125" t="s">
        <v>23</v>
      </c>
      <c r="C125" s="654">
        <v>19</v>
      </c>
      <c r="D125" s="654">
        <v>51825</v>
      </c>
      <c r="E125" s="654">
        <v>23878</v>
      </c>
      <c r="F125" s="654">
        <v>36324</v>
      </c>
      <c r="G125" s="654">
        <v>110937</v>
      </c>
      <c r="H125" s="654">
        <v>6649</v>
      </c>
      <c r="I125" s="654"/>
      <c r="J125" s="16">
        <f t="shared" si="21"/>
        <v>229632</v>
      </c>
      <c r="L125" s="244" t="str">
        <f t="shared" ref="L125:Q125" si="32">IF(C125&lt;50,"NC",+RATE((2015-2008),,-C125,C70))</f>
        <v>NC</v>
      </c>
      <c r="M125" s="244">
        <f t="shared" si="32"/>
        <v>-2.1132259339960716E-2</v>
      </c>
      <c r="N125" s="244">
        <f t="shared" si="32"/>
        <v>-3.374945651859089E-2</v>
      </c>
      <c r="O125" s="244">
        <f t="shared" si="32"/>
        <v>-4.330882123859031E-3</v>
      </c>
      <c r="P125" s="244">
        <f t="shared" si="32"/>
        <v>3.1545506143137482E-3</v>
      </c>
      <c r="Q125" s="244">
        <f t="shared" si="32"/>
        <v>-5.4156023590222844E-3</v>
      </c>
    </row>
    <row r="126" spans="1:18">
      <c r="A126" t="s">
        <v>24</v>
      </c>
      <c r="B126" t="s">
        <v>25</v>
      </c>
      <c r="C126" s="654">
        <v>6</v>
      </c>
      <c r="D126" s="654">
        <v>30176</v>
      </c>
      <c r="E126" s="654">
        <v>14158</v>
      </c>
      <c r="F126" s="654">
        <v>38635</v>
      </c>
      <c r="G126" s="654">
        <v>121263</v>
      </c>
      <c r="H126" s="654">
        <v>7405</v>
      </c>
      <c r="I126" s="654"/>
      <c r="J126" s="16">
        <f t="shared" si="21"/>
        <v>211643</v>
      </c>
      <c r="L126" s="244" t="str">
        <f t="shared" ref="L126:Q126" si="33">IF(C126&lt;50,"NC",+RATE((2015-2008),,-C126,C71))</f>
        <v>NC</v>
      </c>
      <c r="M126" s="244">
        <f t="shared" si="33"/>
        <v>-1.9426803525291723E-2</v>
      </c>
      <c r="N126" s="244">
        <f t="shared" si="33"/>
        <v>-1.7075274966926082E-2</v>
      </c>
      <c r="O126" s="244">
        <f t="shared" si="33"/>
        <v>-4.4479779410524596E-3</v>
      </c>
      <c r="P126" s="244">
        <f t="shared" si="33"/>
        <v>4.8393959503870154E-3</v>
      </c>
      <c r="Q126" s="244">
        <f t="shared" si="33"/>
        <v>-3.1353470293493347E-3</v>
      </c>
    </row>
    <row r="127" spans="1:18">
      <c r="A127" t="s">
        <v>51</v>
      </c>
      <c r="B127" t="s">
        <v>55</v>
      </c>
      <c r="C127" s="654">
        <v>18</v>
      </c>
      <c r="D127" s="654">
        <v>12724</v>
      </c>
      <c r="E127" s="654">
        <v>12516</v>
      </c>
      <c r="F127" s="654">
        <v>26166</v>
      </c>
      <c r="G127" s="654">
        <v>68729</v>
      </c>
      <c r="H127" s="654">
        <v>4461</v>
      </c>
      <c r="I127" s="654">
        <v>1</v>
      </c>
      <c r="J127" s="16">
        <f t="shared" si="21"/>
        <v>124615</v>
      </c>
      <c r="L127" s="244" t="str">
        <f t="shared" ref="L127:Q127" si="34">IF(C127&lt;50,"NC",+RATE((2015-2008),,-C127,C72))</f>
        <v>NC</v>
      </c>
      <c r="M127" s="244">
        <f t="shared" si="34"/>
        <v>4.7701899616447597E-3</v>
      </c>
      <c r="N127" s="244">
        <f t="shared" si="34"/>
        <v>-1.9401425560292455E-2</v>
      </c>
      <c r="O127" s="244">
        <f t="shared" si="34"/>
        <v>-6.7837533939461012E-4</v>
      </c>
      <c r="P127" s="244">
        <f t="shared" si="34"/>
        <v>4.5113085033616513E-3</v>
      </c>
      <c r="Q127" s="244">
        <f t="shared" si="34"/>
        <v>4.7668463296191826E-3</v>
      </c>
    </row>
    <row r="128" spans="1:18">
      <c r="A128" t="s">
        <v>26</v>
      </c>
      <c r="B128" t="s">
        <v>27</v>
      </c>
      <c r="C128" s="654">
        <v>51</v>
      </c>
      <c r="D128" s="654">
        <v>73372</v>
      </c>
      <c r="E128" s="654">
        <v>37132</v>
      </c>
      <c r="F128" s="654">
        <v>62075</v>
      </c>
      <c r="G128" s="654">
        <v>230823</v>
      </c>
      <c r="H128" s="654">
        <v>11305</v>
      </c>
      <c r="I128" s="654">
        <v>1</v>
      </c>
      <c r="J128" s="16">
        <f t="shared" si="21"/>
        <v>414759</v>
      </c>
      <c r="L128" s="244">
        <f t="shared" ref="L128:Q128" si="35">IF(C128&lt;50,"NC",+RATE((2015-2008),,-C128,C73))</f>
        <v>7.9283611105976357E-2</v>
      </c>
      <c r="M128" s="244">
        <f t="shared" si="35"/>
        <v>1.0601061471932609E-2</v>
      </c>
      <c r="N128" s="244">
        <f t="shared" si="35"/>
        <v>-1.3876042066085562E-2</v>
      </c>
      <c r="O128" s="244">
        <f t="shared" si="35"/>
        <v>4.3611427834603436E-3</v>
      </c>
      <c r="P128" s="244">
        <f t="shared" si="35"/>
        <v>1.7849686224089733E-2</v>
      </c>
      <c r="Q128" s="244">
        <f t="shared" si="35"/>
        <v>3.1420225338463217E-3</v>
      </c>
    </row>
    <row r="129" spans="1:17">
      <c r="A129" t="s">
        <v>28</v>
      </c>
      <c r="B129" t="s">
        <v>29</v>
      </c>
      <c r="C129" s="654">
        <v>92</v>
      </c>
      <c r="D129" s="654">
        <v>150723</v>
      </c>
      <c r="E129" s="654">
        <v>59061</v>
      </c>
      <c r="F129" s="654">
        <v>121251</v>
      </c>
      <c r="G129" s="654">
        <v>395780</v>
      </c>
      <c r="H129" s="654">
        <v>23912</v>
      </c>
      <c r="I129" s="654">
        <v>0</v>
      </c>
      <c r="J129" s="16">
        <f t="shared" si="21"/>
        <v>750819</v>
      </c>
      <c r="L129" s="244">
        <f t="shared" ref="L129:Q129" si="36">IF(C129&lt;50,"NC",+RATE((2015-2008),,-C129,C74))</f>
        <v>9.2592779591957164E-2</v>
      </c>
      <c r="M129" s="244">
        <f t="shared" si="36"/>
        <v>-1.4351333826293999E-2</v>
      </c>
      <c r="N129" s="244">
        <f t="shared" si="36"/>
        <v>-1.0066070040887031E-2</v>
      </c>
      <c r="O129" s="244">
        <f t="shared" si="36"/>
        <v>3.8111957194509097E-3</v>
      </c>
      <c r="P129" s="244">
        <f t="shared" si="36"/>
        <v>1.6016496173517664E-2</v>
      </c>
      <c r="Q129" s="244">
        <f t="shared" si="36"/>
        <v>6.0025167671063015E-3</v>
      </c>
    </row>
    <row r="130" spans="1:17">
      <c r="A130" t="s">
        <v>30</v>
      </c>
      <c r="B130" t="s">
        <v>59</v>
      </c>
      <c r="C130" s="654">
        <v>19</v>
      </c>
      <c r="D130" s="654">
        <v>69058</v>
      </c>
      <c r="E130" s="654">
        <v>40343</v>
      </c>
      <c r="F130" s="654">
        <v>84046</v>
      </c>
      <c r="G130" s="654">
        <v>298496</v>
      </c>
      <c r="H130" s="654">
        <v>17452</v>
      </c>
      <c r="I130" s="654"/>
      <c r="J130" s="16">
        <f t="shared" si="21"/>
        <v>509414</v>
      </c>
      <c r="L130" s="244" t="str">
        <f t="shared" ref="L130:Q130" si="37">IF(C130&lt;50,"NC",+RATE((2015-2008),,-C130,C75))</f>
        <v>NC</v>
      </c>
      <c r="M130" s="244">
        <f t="shared" si="37"/>
        <v>-6.6129188962353244E-3</v>
      </c>
      <c r="N130" s="244">
        <f t="shared" si="37"/>
        <v>-1.6702789787162522E-2</v>
      </c>
      <c r="O130" s="244">
        <f t="shared" si="37"/>
        <v>-2.6125045402186184E-3</v>
      </c>
      <c r="P130" s="244">
        <f t="shared" si="37"/>
        <v>9.6840549575330729E-3</v>
      </c>
      <c r="Q130" s="244">
        <f t="shared" si="37"/>
        <v>3.4431591254303808E-3</v>
      </c>
    </row>
    <row r="131" spans="1:17">
      <c r="A131" t="s">
        <v>31</v>
      </c>
      <c r="B131" t="s">
        <v>32</v>
      </c>
      <c r="C131" s="654">
        <v>41</v>
      </c>
      <c r="D131" s="654">
        <v>66686</v>
      </c>
      <c r="E131" s="654">
        <v>34405</v>
      </c>
      <c r="F131" s="654">
        <v>57959</v>
      </c>
      <c r="G131" s="654">
        <v>222072</v>
      </c>
      <c r="H131" s="654">
        <v>11065</v>
      </c>
      <c r="I131" s="654">
        <v>1</v>
      </c>
      <c r="J131" s="16">
        <f t="shared" si="21"/>
        <v>392229</v>
      </c>
      <c r="L131" s="244" t="str">
        <f t="shared" ref="L131:Q131" si="38">IF(C131&lt;50,"NC",+RATE((2015-2008),,-C131,C76))</f>
        <v>NC</v>
      </c>
      <c r="M131" s="244">
        <f t="shared" si="38"/>
        <v>1.1829674296970467E-2</v>
      </c>
      <c r="N131" s="244">
        <f t="shared" si="38"/>
        <v>-1.3277066473804855E-2</v>
      </c>
      <c r="O131" s="244">
        <f t="shared" si="38"/>
        <v>4.2417790780616632E-3</v>
      </c>
      <c r="P131" s="244">
        <f t="shared" si="38"/>
        <v>1.8104466383468451E-2</v>
      </c>
      <c r="Q131" s="244">
        <f t="shared" si="38"/>
        <v>3.1841907162801207E-3</v>
      </c>
    </row>
    <row r="132" spans="1:17">
      <c r="A132" t="s">
        <v>33</v>
      </c>
      <c r="B132" t="s">
        <v>34</v>
      </c>
      <c r="C132" s="654">
        <v>8</v>
      </c>
      <c r="D132" s="654">
        <v>50774</v>
      </c>
      <c r="E132" s="654">
        <v>28054</v>
      </c>
      <c r="F132" s="654">
        <v>77882</v>
      </c>
      <c r="G132" s="654">
        <v>216223</v>
      </c>
      <c r="H132" s="654">
        <v>17592</v>
      </c>
      <c r="I132" s="654"/>
      <c r="J132" s="16">
        <f t="shared" si="21"/>
        <v>390533</v>
      </c>
      <c r="L132" s="244" t="str">
        <f t="shared" ref="L132:Q132" si="39">IF(C132&lt;50,"NC",+RATE((2015-2008),,-C132,C77))</f>
        <v>NC</v>
      </c>
      <c r="M132" s="244">
        <f t="shared" si="39"/>
        <v>-2.6107086388038308E-2</v>
      </c>
      <c r="N132" s="244">
        <f t="shared" si="39"/>
        <v>-1.7220777131262768E-2</v>
      </c>
      <c r="O132" s="244">
        <f t="shared" si="39"/>
        <v>-1.0234181957442351E-2</v>
      </c>
      <c r="P132" s="244">
        <f t="shared" si="39"/>
        <v>1.163559876290949E-2</v>
      </c>
      <c r="Q132" s="244">
        <f t="shared" si="39"/>
        <v>5.6369008742535196E-3</v>
      </c>
    </row>
    <row r="133" spans="1:17">
      <c r="A133" t="s">
        <v>35</v>
      </c>
      <c r="B133" t="s">
        <v>61</v>
      </c>
      <c r="C133" s="654">
        <v>27</v>
      </c>
      <c r="D133" s="654">
        <v>45540</v>
      </c>
      <c r="E133" s="654">
        <v>30282</v>
      </c>
      <c r="F133" s="654">
        <v>59506</v>
      </c>
      <c r="G133" s="654">
        <v>191954</v>
      </c>
      <c r="H133" s="654">
        <v>10072</v>
      </c>
      <c r="I133" s="654">
        <v>3</v>
      </c>
      <c r="J133" s="16">
        <f t="shared" si="21"/>
        <v>337384</v>
      </c>
      <c r="L133" s="244" t="str">
        <f t="shared" ref="L133:Q133" si="40">IF(C133&lt;50,"NC",+RATE((2015-2008),,-C133,C78))</f>
        <v>NC</v>
      </c>
      <c r="M133" s="244">
        <f t="shared" si="40"/>
        <v>-5.2938258989086804E-3</v>
      </c>
      <c r="N133" s="244">
        <f t="shared" si="40"/>
        <v>-6.0284761275131871E-3</v>
      </c>
      <c r="O133" s="244">
        <f t="shared" si="40"/>
        <v>5.3765322508116282E-3</v>
      </c>
      <c r="P133" s="244">
        <f t="shared" si="40"/>
        <v>1.641442365240809E-2</v>
      </c>
      <c r="Q133" s="244">
        <f t="shared" si="40"/>
        <v>4.5471651581839691E-3</v>
      </c>
    </row>
    <row r="134" spans="1:17">
      <c r="A134" t="s">
        <v>36</v>
      </c>
      <c r="B134" t="s">
        <v>37</v>
      </c>
      <c r="C134" s="654">
        <v>12</v>
      </c>
      <c r="D134" s="654">
        <v>29794</v>
      </c>
      <c r="E134" s="654">
        <v>26032</v>
      </c>
      <c r="F134" s="654">
        <v>54231</v>
      </c>
      <c r="G134" s="654">
        <v>169861</v>
      </c>
      <c r="H134" s="654">
        <v>9410</v>
      </c>
      <c r="I134" s="654"/>
      <c r="J134" s="16">
        <f t="shared" si="21"/>
        <v>289340</v>
      </c>
      <c r="L134" s="244" t="str">
        <f t="shared" ref="L134:Q134" si="41">IF(C134&lt;50,"NC",+RATE((2015-2008),,-C134,C79))</f>
        <v>NC</v>
      </c>
      <c r="M134" s="244">
        <f t="shared" si="41"/>
        <v>-8.4789408018530812E-3</v>
      </c>
      <c r="N134" s="244">
        <f t="shared" si="41"/>
        <v>-3.1219508364482319E-2</v>
      </c>
      <c r="O134" s="244">
        <f t="shared" si="41"/>
        <v>-4.5898823928102839E-4</v>
      </c>
      <c r="P134" s="244">
        <f t="shared" si="41"/>
        <v>2.0412375429498517E-3</v>
      </c>
      <c r="Q134" s="244">
        <f t="shared" si="41"/>
        <v>5.8768458800202879E-3</v>
      </c>
    </row>
    <row r="135" spans="1:17">
      <c r="A135" t="s">
        <v>38</v>
      </c>
      <c r="B135" t="s">
        <v>39</v>
      </c>
      <c r="C135" s="654">
        <v>12</v>
      </c>
      <c r="D135" s="654">
        <v>42728</v>
      </c>
      <c r="E135" s="654">
        <v>24675</v>
      </c>
      <c r="F135" s="654">
        <v>47582</v>
      </c>
      <c r="G135" s="654">
        <v>159823</v>
      </c>
      <c r="H135" s="654">
        <v>10501</v>
      </c>
      <c r="I135" s="654"/>
      <c r="J135" s="16">
        <f t="shared" si="21"/>
        <v>285321</v>
      </c>
      <c r="L135" s="244" t="str">
        <f t="shared" ref="L135:Q135" si="42">IF(C135&lt;50,"NC",+RATE((2015-2008),,-C135,C80))</f>
        <v>NC</v>
      </c>
      <c r="M135" s="244">
        <f t="shared" si="42"/>
        <v>-9.0343690841481316E-3</v>
      </c>
      <c r="N135" s="244">
        <f t="shared" si="42"/>
        <v>-7.4173310556355293E-3</v>
      </c>
      <c r="O135" s="244">
        <f t="shared" si="42"/>
        <v>5.8180660986399627E-3</v>
      </c>
      <c r="P135" s="244">
        <f t="shared" si="42"/>
        <v>1.8273359440294512E-2</v>
      </c>
      <c r="Q135" s="244">
        <f t="shared" si="42"/>
        <v>6.9023643774687249E-3</v>
      </c>
    </row>
    <row r="136" spans="1:17">
      <c r="A136" t="s">
        <v>40</v>
      </c>
      <c r="B136" t="s">
        <v>41</v>
      </c>
      <c r="C136" s="654">
        <v>10</v>
      </c>
      <c r="D136" s="654">
        <v>48741</v>
      </c>
      <c r="E136" s="654">
        <v>19302</v>
      </c>
      <c r="F136" s="654">
        <v>46907</v>
      </c>
      <c r="G136" s="654">
        <v>135490</v>
      </c>
      <c r="H136" s="654">
        <v>7657</v>
      </c>
      <c r="I136" s="654"/>
      <c r="J136" s="16">
        <f t="shared" si="21"/>
        <v>258107</v>
      </c>
      <c r="L136" s="244" t="str">
        <f t="shared" ref="L136:Q136" si="43">IF(C136&lt;50,"NC",+RATE((2015-2008),,-C136,C81))</f>
        <v>NC</v>
      </c>
      <c r="M136" s="244">
        <f t="shared" si="43"/>
        <v>-1.5468640510427435E-2</v>
      </c>
      <c r="N136" s="244">
        <f t="shared" si="43"/>
        <v>-1.7369084694706514E-2</v>
      </c>
      <c r="O136" s="244">
        <f t="shared" si="43"/>
        <v>-3.4153445763673812E-3</v>
      </c>
      <c r="P136" s="244">
        <f t="shared" si="43"/>
        <v>4.8404157497898039E-3</v>
      </c>
      <c r="Q136" s="244">
        <f t="shared" si="43"/>
        <v>-1.8762342521217942E-3</v>
      </c>
    </row>
    <row r="137" spans="1:17">
      <c r="A137" t="s">
        <v>42</v>
      </c>
      <c r="B137" t="s">
        <v>43</v>
      </c>
      <c r="C137" s="654">
        <v>10</v>
      </c>
      <c r="D137" s="654">
        <v>53811</v>
      </c>
      <c r="E137" s="654">
        <v>16146</v>
      </c>
      <c r="F137" s="654">
        <v>31520</v>
      </c>
      <c r="G137" s="654">
        <v>108662</v>
      </c>
      <c r="H137" s="654">
        <v>5404</v>
      </c>
      <c r="I137" s="654"/>
      <c r="J137" s="16">
        <f t="shared" si="21"/>
        <v>215553</v>
      </c>
      <c r="L137" s="244" t="str">
        <f t="shared" ref="L137:Q137" si="44">IF(C137&lt;50,"NC",+RATE((2015-2008),,-C137,C82))</f>
        <v>NC</v>
      </c>
      <c r="M137" s="244">
        <f t="shared" si="44"/>
        <v>-1.5444876094900872E-2</v>
      </c>
      <c r="N137" s="244">
        <f t="shared" si="44"/>
        <v>-1.5602524789338127E-2</v>
      </c>
      <c r="O137" s="244">
        <f t="shared" si="44"/>
        <v>-7.7988587529992043E-3</v>
      </c>
      <c r="P137" s="244">
        <f t="shared" si="44"/>
        <v>5.8023025554249869E-3</v>
      </c>
      <c r="Q137" s="244">
        <f t="shared" si="44"/>
        <v>-8.9889359810461679E-3</v>
      </c>
    </row>
    <row r="138" spans="1:17">
      <c r="A138" t="s">
        <v>44</v>
      </c>
      <c r="B138" t="s">
        <v>45</v>
      </c>
      <c r="C138" s="654">
        <v>34</v>
      </c>
      <c r="D138" s="654">
        <v>36473</v>
      </c>
      <c r="E138" s="654">
        <v>17981</v>
      </c>
      <c r="F138" s="654">
        <v>33461</v>
      </c>
      <c r="G138" s="654">
        <v>113303</v>
      </c>
      <c r="H138" s="654">
        <v>7895</v>
      </c>
      <c r="I138" s="654"/>
      <c r="J138" s="16">
        <f t="shared" si="21"/>
        <v>209147</v>
      </c>
      <c r="L138" s="244" t="str">
        <f t="shared" ref="L138:Q138" si="45">IF(C138&lt;50,"NC",+RATE((2015-2008),,-C138,C83))</f>
        <v>NC</v>
      </c>
      <c r="M138" s="244">
        <f t="shared" si="45"/>
        <v>-1.6548709894310648E-2</v>
      </c>
      <c r="N138" s="244">
        <f t="shared" si="45"/>
        <v>-6.298914938035566E-3</v>
      </c>
      <c r="O138" s="244">
        <f t="shared" si="45"/>
        <v>1.3394547783678482E-3</v>
      </c>
      <c r="P138" s="244">
        <f t="shared" si="45"/>
        <v>1.2680558758605971E-2</v>
      </c>
      <c r="Q138" s="244">
        <f t="shared" si="45"/>
        <v>7.2761286738423263E-3</v>
      </c>
    </row>
    <row r="139" spans="1:17">
      <c r="A139" t="s">
        <v>46</v>
      </c>
      <c r="B139" t="s">
        <v>47</v>
      </c>
      <c r="C139" s="654">
        <v>17</v>
      </c>
      <c r="D139" s="654">
        <v>34421</v>
      </c>
      <c r="E139" s="654">
        <v>20091</v>
      </c>
      <c r="F139" s="654">
        <v>31060</v>
      </c>
      <c r="G139" s="654">
        <v>94819</v>
      </c>
      <c r="H139" s="654">
        <v>6201</v>
      </c>
      <c r="I139" s="654"/>
      <c r="J139" s="16">
        <f t="shared" si="21"/>
        <v>186609</v>
      </c>
      <c r="L139" s="244" t="str">
        <f t="shared" ref="L139:Q139" si="46">IF(C139&lt;50,"NC",+RATE((2015-2008),,-C139,C84))</f>
        <v>NC</v>
      </c>
      <c r="M139" s="244">
        <f t="shared" si="46"/>
        <v>-2.5192104689116028E-2</v>
      </c>
      <c r="N139" s="244">
        <f t="shared" si="46"/>
        <v>-3.9169448054274282E-2</v>
      </c>
      <c r="O139" s="244">
        <f t="shared" si="46"/>
        <v>-4.9387315358458807E-3</v>
      </c>
      <c r="P139" s="244">
        <f t="shared" si="46"/>
        <v>2.3398798844476202E-3</v>
      </c>
      <c r="Q139" s="244">
        <f t="shared" si="46"/>
        <v>-6.4831619355002774E-3</v>
      </c>
    </row>
    <row r="140" spans="1:17">
      <c r="A140" t="s">
        <v>56</v>
      </c>
      <c r="B140" t="s">
        <v>63</v>
      </c>
      <c r="C140" s="654">
        <v>16</v>
      </c>
      <c r="D140" s="654">
        <v>13563</v>
      </c>
      <c r="E140" s="654">
        <v>12146</v>
      </c>
      <c r="F140" s="654">
        <v>25544</v>
      </c>
      <c r="G140" s="654">
        <v>68015</v>
      </c>
      <c r="H140" s="654">
        <v>4297</v>
      </c>
      <c r="I140" s="654"/>
      <c r="J140" s="16">
        <f t="shared" si="21"/>
        <v>123581</v>
      </c>
      <c r="L140" s="244" t="str">
        <f t="shared" ref="L140:Q140" si="47">IF(C140&lt;50,"NC",+RATE((2015-2008),,-C140,C85))</f>
        <v>NC</v>
      </c>
      <c r="M140" s="244">
        <f t="shared" si="47"/>
        <v>4.8273048313588578E-3</v>
      </c>
      <c r="N140" s="244">
        <f t="shared" si="47"/>
        <v>-2.2357113690223602E-2</v>
      </c>
      <c r="O140" s="244">
        <f t="shared" si="47"/>
        <v>-1.8465776464127463E-4</v>
      </c>
      <c r="P140" s="244">
        <f t="shared" si="47"/>
        <v>7.8968872161273695E-3</v>
      </c>
      <c r="Q140" s="244">
        <f t="shared" si="47"/>
        <v>-5.1659815873590555E-3</v>
      </c>
    </row>
    <row r="141" spans="1:17">
      <c r="A141" t="s">
        <v>57</v>
      </c>
      <c r="B141" t="s">
        <v>64</v>
      </c>
      <c r="C141" s="654"/>
      <c r="D141" s="654">
        <v>26161</v>
      </c>
      <c r="E141" s="654">
        <v>12541</v>
      </c>
      <c r="F141" s="654">
        <v>20729</v>
      </c>
      <c r="G141" s="654">
        <v>58632</v>
      </c>
      <c r="H141" s="654">
        <v>4860</v>
      </c>
      <c r="I141" s="654"/>
      <c r="J141" s="16">
        <f t="shared" si="21"/>
        <v>122923</v>
      </c>
      <c r="L141" s="244" t="str">
        <f t="shared" ref="L141:Q141" si="48">IF(C141&lt;50,"NC",+RATE((2015-2008),,-C141,C86))</f>
        <v>NC</v>
      </c>
      <c r="M141" s="244">
        <f t="shared" si="48"/>
        <v>-3.2868112809210412E-2</v>
      </c>
      <c r="N141" s="244">
        <f t="shared" si="48"/>
        <v>-3.0204067720031171E-2</v>
      </c>
      <c r="O141" s="244">
        <f t="shared" si="48"/>
        <v>-1.7179596023871029E-3</v>
      </c>
      <c r="P141" s="244">
        <f t="shared" si="48"/>
        <v>1.9265539804232464E-2</v>
      </c>
      <c r="Q141" s="244">
        <f t="shared" si="48"/>
        <v>-1.8944565293594312E-2</v>
      </c>
    </row>
    <row r="142" spans="1:17">
      <c r="A142" t="s">
        <v>48</v>
      </c>
      <c r="B142" t="s">
        <v>49</v>
      </c>
      <c r="C142" s="654">
        <v>9</v>
      </c>
      <c r="D142" s="654">
        <v>13307</v>
      </c>
      <c r="E142" s="654">
        <v>14357</v>
      </c>
      <c r="F142" s="654">
        <v>29363</v>
      </c>
      <c r="G142" s="654">
        <v>93721</v>
      </c>
      <c r="H142" s="654">
        <v>6671</v>
      </c>
      <c r="I142" s="654"/>
      <c r="J142" s="16">
        <f t="shared" si="21"/>
        <v>157428</v>
      </c>
      <c r="L142" s="244" t="str">
        <f t="shared" ref="L142:Q142" si="49">IF(C142&lt;50,"NC",+RATE((2015-2008),,-C142,C87))</f>
        <v>NC</v>
      </c>
      <c r="M142" s="244">
        <f t="shared" si="49"/>
        <v>9.6591400743315658E-5</v>
      </c>
      <c r="N142" s="244">
        <f t="shared" si="49"/>
        <v>-1.931264325527195E-2</v>
      </c>
      <c r="O142" s="244">
        <f t="shared" si="49"/>
        <v>4.3244221119078313E-4</v>
      </c>
      <c r="P142" s="244">
        <f t="shared" si="49"/>
        <v>1.7795811116598843E-2</v>
      </c>
      <c r="Q142" s="244">
        <f t="shared" si="49"/>
        <v>2.1278338861325879E-3</v>
      </c>
    </row>
    <row r="143" spans="1:17">
      <c r="A143" t="s">
        <v>58</v>
      </c>
      <c r="B143" t="s">
        <v>65</v>
      </c>
      <c r="C143" s="654">
        <v>67</v>
      </c>
      <c r="D143" s="654">
        <v>18729</v>
      </c>
      <c r="E143" s="654">
        <v>12958</v>
      </c>
      <c r="F143" s="654">
        <v>29680</v>
      </c>
      <c r="G143" s="654">
        <v>62105</v>
      </c>
      <c r="H143" s="654">
        <v>3365</v>
      </c>
      <c r="I143" s="654"/>
      <c r="J143" s="16">
        <f t="shared" si="21"/>
        <v>126904</v>
      </c>
      <c r="L143" s="244">
        <f t="shared" ref="L143:Q143" si="50">IF(C143&lt;50,"NC",+RATE((2015-2008),,-C143,C88))</f>
        <v>-0.1217610205296849</v>
      </c>
      <c r="M143" s="244">
        <f t="shared" si="50"/>
        <v>-1.5751441677296581E-2</v>
      </c>
      <c r="N143" s="244">
        <f t="shared" si="50"/>
        <v>-2.3346682286893693E-2</v>
      </c>
      <c r="O143" s="244">
        <f t="shared" si="50"/>
        <v>-8.9283844554149548E-4</v>
      </c>
      <c r="P143" s="244">
        <f t="shared" si="50"/>
        <v>1.4109685947847322E-3</v>
      </c>
      <c r="Q143" s="244">
        <f t="shared" si="50"/>
        <v>-8.3577992607663659E-3</v>
      </c>
    </row>
    <row r="144" spans="1:17">
      <c r="A144" t="s">
        <v>486</v>
      </c>
      <c r="B144" t="s">
        <v>465</v>
      </c>
      <c r="C144" s="654">
        <v>12</v>
      </c>
      <c r="D144" s="654">
        <v>30537</v>
      </c>
      <c r="E144" s="654">
        <v>27246</v>
      </c>
      <c r="F144" s="654">
        <v>56140</v>
      </c>
      <c r="G144" s="654">
        <v>177077</v>
      </c>
      <c r="H144" s="654">
        <v>9543</v>
      </c>
      <c r="I144" s="654"/>
      <c r="J144" s="16">
        <f t="shared" si="21"/>
        <v>300555</v>
      </c>
      <c r="L144" s="244" t="str">
        <f t="shared" ref="L144:Q144" si="51">IF(C144&lt;50,"NC",+RATE((2015-2008),,-C144,C89))</f>
        <v>NC</v>
      </c>
      <c r="M144" s="244">
        <f t="shared" si="51"/>
        <v>-9.2537612692679457E-3</v>
      </c>
      <c r="N144" s="244">
        <f t="shared" si="51"/>
        <v>-3.1564207618146295E-2</v>
      </c>
      <c r="O144" s="244">
        <f t="shared" si="51"/>
        <v>-5.9396281952002288E-4</v>
      </c>
      <c r="P144" s="244">
        <f t="shared" si="51"/>
        <v>1.5729839452627845E-3</v>
      </c>
      <c r="Q144" s="244">
        <f t="shared" si="51"/>
        <v>6.7623494946586144E-3</v>
      </c>
    </row>
    <row r="145" spans="1:17">
      <c r="A145" t="s">
        <v>487</v>
      </c>
      <c r="B145" t="s">
        <v>466</v>
      </c>
      <c r="C145" s="654">
        <v>60</v>
      </c>
      <c r="D145" s="654">
        <v>78777</v>
      </c>
      <c r="E145" s="654">
        <v>45760</v>
      </c>
      <c r="F145" s="654">
        <v>97142</v>
      </c>
      <c r="G145" s="654">
        <v>330800</v>
      </c>
      <c r="H145" s="654">
        <v>18293</v>
      </c>
      <c r="I145" s="654"/>
      <c r="J145" s="16">
        <f t="shared" si="21"/>
        <v>570832</v>
      </c>
      <c r="L145" s="244">
        <f t="shared" ref="L145:Q145" si="52">IF(C145&lt;50,"NC",+RATE((2015-2008),,-C145,C90))</f>
        <v>-2.2949549337605134E-2</v>
      </c>
      <c r="M145" s="244">
        <f t="shared" si="52"/>
        <v>-7.4964110997866222E-3</v>
      </c>
      <c r="N145" s="244">
        <f t="shared" si="52"/>
        <v>-1.4502008402152041E-2</v>
      </c>
      <c r="O145" s="244">
        <f t="shared" si="52"/>
        <v>-2.2772838115567924E-3</v>
      </c>
      <c r="P145" s="244">
        <f t="shared" si="52"/>
        <v>1.0556278661208823E-2</v>
      </c>
      <c r="Q145" s="244">
        <f t="shared" si="52"/>
        <v>4.0732438710047733E-3</v>
      </c>
    </row>
    <row r="146" spans="1:17">
      <c r="A146" t="s">
        <v>488</v>
      </c>
      <c r="B146" t="s">
        <v>467</v>
      </c>
      <c r="C146" s="654">
        <v>45</v>
      </c>
      <c r="D146" s="654">
        <v>68178</v>
      </c>
      <c r="E146" s="654">
        <v>35052</v>
      </c>
      <c r="F146" s="654">
        <v>59675</v>
      </c>
      <c r="G146" s="654">
        <v>226091</v>
      </c>
      <c r="H146" s="654">
        <v>11112</v>
      </c>
      <c r="I146" s="654">
        <v>1</v>
      </c>
      <c r="J146" s="16">
        <f t="shared" si="21"/>
        <v>400154</v>
      </c>
      <c r="L146" s="244" t="str">
        <f t="shared" ref="L146:Q146" si="53">IF(C146&lt;50,"NC",+RATE((2015-2008),,-C146,C91))</f>
        <v>NC</v>
      </c>
      <c r="M146" s="244">
        <f t="shared" si="53"/>
        <v>1.2071581631615251E-2</v>
      </c>
      <c r="N146" s="244">
        <f t="shared" si="53"/>
        <v>-1.4514677426672031E-2</v>
      </c>
      <c r="O146" s="244">
        <f t="shared" si="53"/>
        <v>3.2901071138948055E-3</v>
      </c>
      <c r="P146" s="244">
        <f t="shared" si="53"/>
        <v>1.7564696345793419E-2</v>
      </c>
      <c r="Q146" s="244">
        <f t="shared" si="53"/>
        <v>2.6402112636076209E-3</v>
      </c>
    </row>
    <row r="147" spans="1:17">
      <c r="A147" t="s">
        <v>71</v>
      </c>
      <c r="B147" t="s">
        <v>116</v>
      </c>
      <c r="C147" s="654">
        <v>77</v>
      </c>
      <c r="D147" s="654">
        <v>55414</v>
      </c>
      <c r="E147" s="654">
        <v>36209</v>
      </c>
      <c r="F147" s="654">
        <v>73405</v>
      </c>
      <c r="G147" s="654">
        <v>217549</v>
      </c>
      <c r="H147" s="654">
        <v>10706</v>
      </c>
      <c r="I147" s="654">
        <v>3</v>
      </c>
      <c r="J147" s="16">
        <f t="shared" si="21"/>
        <v>393363</v>
      </c>
      <c r="L147" s="244">
        <f t="shared" ref="L147:Q147" si="54">IF(C147&lt;50,"NC",+RATE((2015-2008),,-C147,C92))</f>
        <v>-1.1522465553552365E-2</v>
      </c>
      <c r="M147" s="244">
        <f t="shared" si="54"/>
        <v>-4.0789862264693092E-3</v>
      </c>
      <c r="N147" s="244">
        <f t="shared" si="54"/>
        <v>-8.7066459732848146E-3</v>
      </c>
      <c r="O147" s="244">
        <f t="shared" si="54"/>
        <v>4.8922384067365231E-3</v>
      </c>
      <c r="P147" s="244">
        <f t="shared" si="54"/>
        <v>1.5798853060731557E-2</v>
      </c>
      <c r="Q147" s="244">
        <f t="shared" si="54"/>
        <v>4.4892704201814583E-3</v>
      </c>
    </row>
    <row r="148" spans="1:17">
      <c r="A148" t="s">
        <v>489</v>
      </c>
      <c r="B148" t="s">
        <v>468</v>
      </c>
      <c r="C148" s="654">
        <v>119</v>
      </c>
      <c r="D148" s="654">
        <v>23792</v>
      </c>
      <c r="E148" s="654">
        <v>24671</v>
      </c>
      <c r="F148" s="654">
        <v>50590</v>
      </c>
      <c r="G148" s="654">
        <v>140496</v>
      </c>
      <c r="H148" s="654">
        <v>8396</v>
      </c>
      <c r="I148" s="654"/>
      <c r="J148" s="16">
        <f t="shared" si="21"/>
        <v>248064</v>
      </c>
      <c r="L148" s="244">
        <f t="shared" ref="L148:Q148" si="55">IF(C148&lt;50,"NC",+RATE((2015-2008),,-C148,C93))</f>
        <v>4.3199990579984054E-2</v>
      </c>
      <c r="M148" s="244">
        <f t="shared" si="55"/>
        <v>-1.0299325179622925E-3</v>
      </c>
      <c r="N148" s="244">
        <f t="shared" si="55"/>
        <v>-2.5129617571431798E-2</v>
      </c>
      <c r="O148" s="244">
        <f t="shared" si="55"/>
        <v>5.8632259538924812E-4</v>
      </c>
      <c r="P148" s="244">
        <f t="shared" si="55"/>
        <v>1.4008817793946429E-2</v>
      </c>
      <c r="Q148" s="244">
        <f t="shared" si="55"/>
        <v>4.8297472480040727E-3</v>
      </c>
    </row>
    <row r="149" spans="1:17">
      <c r="A149" t="s">
        <v>490</v>
      </c>
      <c r="B149" t="s">
        <v>469</v>
      </c>
      <c r="C149" s="654">
        <v>182</v>
      </c>
      <c r="D149" s="654">
        <v>60916</v>
      </c>
      <c r="E149" s="654">
        <v>26274</v>
      </c>
      <c r="F149" s="654">
        <v>47923</v>
      </c>
      <c r="G149" s="654">
        <v>145384</v>
      </c>
      <c r="H149" s="654">
        <v>9732</v>
      </c>
      <c r="I149" s="654"/>
      <c r="J149" s="16">
        <f t="shared" si="21"/>
        <v>290411</v>
      </c>
      <c r="L149" s="244">
        <f t="shared" ref="L149:Q149" si="56">IF(C149&lt;50,"NC",+RATE((2015-2008),,-C149,C94))</f>
        <v>-2.1780822017817208E-2</v>
      </c>
      <c r="M149" s="244">
        <f t="shared" si="56"/>
        <v>-1.3061427736429857E-2</v>
      </c>
      <c r="N149" s="244">
        <f t="shared" si="56"/>
        <v>-1.3060695247598092E-2</v>
      </c>
      <c r="O149" s="244">
        <f t="shared" si="56"/>
        <v>1.6610444153179241E-3</v>
      </c>
      <c r="P149" s="244">
        <f t="shared" si="56"/>
        <v>1.4541344817520528E-2</v>
      </c>
      <c r="Q149" s="244">
        <f t="shared" si="56"/>
        <v>1.0717252585426178E-2</v>
      </c>
    </row>
    <row r="150" spans="1:17">
      <c r="A150" t="s">
        <v>491</v>
      </c>
      <c r="B150" t="s">
        <v>470</v>
      </c>
      <c r="C150" s="654">
        <v>29</v>
      </c>
      <c r="D150" s="654">
        <v>90724</v>
      </c>
      <c r="E150" s="654">
        <v>29443</v>
      </c>
      <c r="F150" s="654">
        <v>53818</v>
      </c>
      <c r="G150" s="654">
        <v>160931</v>
      </c>
      <c r="H150" s="654">
        <v>7421</v>
      </c>
      <c r="I150" s="654"/>
      <c r="J150" s="16">
        <f t="shared" si="21"/>
        <v>342366</v>
      </c>
      <c r="L150" s="244" t="str">
        <f t="shared" ref="L150:Q150" si="57">IF(C150&lt;50,"NC",+RATE((2015-2008),,-C150,C95))</f>
        <v>NC</v>
      </c>
      <c r="M150" s="244">
        <f t="shared" si="57"/>
        <v>-1.7713808817430305E-2</v>
      </c>
      <c r="N150" s="244">
        <f t="shared" si="57"/>
        <v>-1.2219573404229958E-2</v>
      </c>
      <c r="O150" s="244">
        <f t="shared" si="57"/>
        <v>-7.102494882086851E-4</v>
      </c>
      <c r="P150" s="244">
        <f t="shared" si="57"/>
        <v>8.3851656004723732E-3</v>
      </c>
      <c r="Q150" s="244">
        <f t="shared" si="57"/>
        <v>-1.2843131196852096E-2</v>
      </c>
    </row>
    <row r="151" spans="1:17">
      <c r="A151" t="s">
        <v>492</v>
      </c>
      <c r="B151" t="s">
        <v>471</v>
      </c>
      <c r="C151" s="654">
        <v>28</v>
      </c>
      <c r="D151" s="654">
        <v>73121</v>
      </c>
      <c r="E151" s="654">
        <v>36053</v>
      </c>
      <c r="F151" s="654">
        <v>64451</v>
      </c>
      <c r="G151" s="654">
        <v>204885</v>
      </c>
      <c r="H151" s="654">
        <v>12669</v>
      </c>
      <c r="I151" s="654"/>
      <c r="J151" s="16">
        <f t="shared" si="21"/>
        <v>391207</v>
      </c>
      <c r="L151" s="244" t="str">
        <f t="shared" ref="L151:Q151" si="58">IF(C151&lt;50,"NC",+RATE((2015-2008),,-C151,C96))</f>
        <v>NC</v>
      </c>
      <c r="M151" s="244">
        <f t="shared" si="58"/>
        <v>-7.6379241041824525E-3</v>
      </c>
      <c r="N151" s="244">
        <f t="shared" si="58"/>
        <v>-1.1215533925642363E-2</v>
      </c>
      <c r="O151" s="244">
        <f t="shared" si="58"/>
        <v>5.1270751790926704E-3</v>
      </c>
      <c r="P151" s="244">
        <f t="shared" si="58"/>
        <v>1.6082750686025857E-2</v>
      </c>
      <c r="Q151" s="244">
        <f t="shared" si="58"/>
        <v>5.7194015635979208E-3</v>
      </c>
    </row>
    <row r="152" spans="1:17">
      <c r="A152" t="s">
        <v>493</v>
      </c>
      <c r="B152" t="s">
        <v>472</v>
      </c>
      <c r="C152" s="654">
        <v>137</v>
      </c>
      <c r="D152" s="654">
        <v>149943</v>
      </c>
      <c r="E152" s="654">
        <v>57126</v>
      </c>
      <c r="F152" s="654">
        <v>127031</v>
      </c>
      <c r="G152" s="654">
        <v>347431</v>
      </c>
      <c r="H152" s="654">
        <v>27121</v>
      </c>
      <c r="I152" s="654"/>
      <c r="J152" s="16">
        <f t="shared" si="21"/>
        <v>708789</v>
      </c>
      <c r="L152" s="244">
        <f t="shared" ref="L152:Q152" si="59">IF(C152&lt;50,"NC",+RATE((2015-2008),,-C152,C97))</f>
        <v>2.0725744341677514E-3</v>
      </c>
      <c r="M152" s="244">
        <f t="shared" si="59"/>
        <v>-2.3547008481962485E-2</v>
      </c>
      <c r="N152" s="244">
        <f t="shared" si="59"/>
        <v>-2.3108012788749105E-2</v>
      </c>
      <c r="O152" s="244">
        <f t="shared" si="59"/>
        <v>-8.1767986213529993E-3</v>
      </c>
      <c r="P152" s="244">
        <f t="shared" si="59"/>
        <v>9.8306199576040035E-3</v>
      </c>
      <c r="Q152" s="244">
        <f t="shared" si="59"/>
        <v>-1.6675498754394793E-3</v>
      </c>
    </row>
    <row r="153" spans="1:17">
      <c r="A153" t="s">
        <v>494</v>
      </c>
      <c r="B153" t="s">
        <v>478</v>
      </c>
      <c r="C153" s="654">
        <v>502</v>
      </c>
      <c r="D153" s="654">
        <v>78374</v>
      </c>
      <c r="E153" s="654">
        <v>33388</v>
      </c>
      <c r="F153" s="654">
        <v>57160</v>
      </c>
      <c r="G153" s="654">
        <v>147166</v>
      </c>
      <c r="H153" s="654">
        <v>9931</v>
      </c>
      <c r="I153" s="654"/>
      <c r="J153" s="16">
        <f t="shared" si="21"/>
        <v>326521</v>
      </c>
      <c r="L153" s="244">
        <f t="shared" ref="L153:Q153" si="60">IF(C153&lt;50,"NC",+RATE((2015-2008),,-C153,C98))</f>
        <v>-3.9356578025377495E-2</v>
      </c>
      <c r="M153" s="244">
        <f t="shared" si="60"/>
        <v>-2.635381887631328E-2</v>
      </c>
      <c r="N153" s="244">
        <f t="shared" si="60"/>
        <v>-2.8516834981970034E-2</v>
      </c>
      <c r="O153" s="244">
        <f t="shared" si="60"/>
        <v>-1.6627751644503737E-3</v>
      </c>
      <c r="P153" s="244">
        <f t="shared" si="60"/>
        <v>7.3084625997908688E-3</v>
      </c>
      <c r="Q153" s="244">
        <f t="shared" si="60"/>
        <v>-1.880844724484745E-2</v>
      </c>
    </row>
    <row r="154" spans="1:17">
      <c r="A154" t="s">
        <v>495</v>
      </c>
      <c r="B154" t="s">
        <v>473</v>
      </c>
      <c r="C154" s="654">
        <v>11</v>
      </c>
      <c r="D154" s="654">
        <v>81879</v>
      </c>
      <c r="E154" s="654">
        <v>28064</v>
      </c>
      <c r="F154" s="654">
        <v>61860</v>
      </c>
      <c r="G154" s="654">
        <v>165264</v>
      </c>
      <c r="H154" s="654">
        <v>9105</v>
      </c>
      <c r="I154" s="654"/>
      <c r="J154" s="16">
        <f t="shared" si="21"/>
        <v>346183</v>
      </c>
      <c r="L154" s="244" t="str">
        <f t="shared" ref="L154:Q154" si="61">IF(C154&lt;50,"NC",+RATE((2015-2008),,-C154,C99))</f>
        <v>NC</v>
      </c>
      <c r="M154" s="244">
        <f t="shared" si="61"/>
        <v>-1.3469430141667094E-2</v>
      </c>
      <c r="N154" s="244">
        <f t="shared" si="61"/>
        <v>-1.8325344870543162E-2</v>
      </c>
      <c r="O154" s="244">
        <f t="shared" si="61"/>
        <v>-3.3897809603824418E-3</v>
      </c>
      <c r="P154" s="244">
        <f t="shared" si="61"/>
        <v>5.8996596886758349E-3</v>
      </c>
      <c r="Q154" s="244">
        <f t="shared" si="61"/>
        <v>-4.807142910964189E-3</v>
      </c>
    </row>
    <row r="155" spans="1:17">
      <c r="A155" t="s">
        <v>496</v>
      </c>
      <c r="B155" t="s">
        <v>474</v>
      </c>
      <c r="C155" s="654">
        <v>60</v>
      </c>
      <c r="D155" s="654">
        <v>116035</v>
      </c>
      <c r="E155" s="654">
        <v>49011</v>
      </c>
      <c r="F155" s="654">
        <v>101964</v>
      </c>
      <c r="G155" s="654">
        <v>356122</v>
      </c>
      <c r="H155" s="654">
        <v>22955</v>
      </c>
      <c r="I155" s="654">
        <v>0</v>
      </c>
      <c r="J155" s="16">
        <f t="shared" si="21"/>
        <v>646147</v>
      </c>
      <c r="L155" s="244">
        <f t="shared" ref="L155:Q155" si="62">IF(C155&lt;50,"NC",+RATE((2015-2008),,-C155,C100))</f>
        <v>0.15245345669320448</v>
      </c>
      <c r="M155" s="244">
        <f t="shared" si="62"/>
        <v>-1.4002921899178877E-2</v>
      </c>
      <c r="N155" s="244">
        <f t="shared" si="62"/>
        <v>-9.0444276540802976E-3</v>
      </c>
      <c r="O155" s="244">
        <f t="shared" si="62"/>
        <v>2.3911911428330782E-3</v>
      </c>
      <c r="P155" s="244">
        <f t="shared" si="62"/>
        <v>1.5549701497631968E-2</v>
      </c>
      <c r="Q155" s="244">
        <f t="shared" si="62"/>
        <v>5.0206713800048253E-3</v>
      </c>
    </row>
    <row r="156" spans="1:17">
      <c r="A156" t="s">
        <v>497</v>
      </c>
      <c r="B156" t="s">
        <v>475</v>
      </c>
      <c r="C156" s="654">
        <v>67</v>
      </c>
      <c r="D156" s="654">
        <v>87674</v>
      </c>
      <c r="E156" s="654">
        <v>35294</v>
      </c>
      <c r="F156" s="654">
        <v>54119</v>
      </c>
      <c r="G156" s="654">
        <v>169965</v>
      </c>
      <c r="H156" s="654">
        <v>10176</v>
      </c>
      <c r="I156" s="654">
        <v>3</v>
      </c>
      <c r="J156" s="16">
        <f t="shared" si="21"/>
        <v>357298</v>
      </c>
      <c r="L156" s="244">
        <f t="shared" ref="L156:Q156" si="63">IF(C156&lt;50,"NC",+RATE((2015-2008),,-C156,C101))</f>
        <v>3.4578493400422503E-2</v>
      </c>
      <c r="M156" s="244">
        <f t="shared" si="63"/>
        <v>-2.4897619507633941E-2</v>
      </c>
      <c r="N156" s="244">
        <f t="shared" si="63"/>
        <v>-3.0613169249730964E-2</v>
      </c>
      <c r="O156" s="244">
        <f t="shared" si="63"/>
        <v>-5.8372691545335422E-3</v>
      </c>
      <c r="P156" s="244">
        <f t="shared" si="63"/>
        <v>1.555231493660483E-3</v>
      </c>
      <c r="Q156" s="244">
        <f t="shared" si="63"/>
        <v>-1.1779485862283638E-2</v>
      </c>
    </row>
    <row r="157" spans="1:17">
      <c r="A157" t="s">
        <v>498</v>
      </c>
      <c r="B157" t="s">
        <v>476</v>
      </c>
      <c r="C157" s="654">
        <v>25</v>
      </c>
      <c r="D157" s="654">
        <v>20039</v>
      </c>
      <c r="E157" s="654">
        <v>23126</v>
      </c>
      <c r="F157" s="654">
        <v>44324</v>
      </c>
      <c r="G157" s="654">
        <v>105973</v>
      </c>
      <c r="H157" s="654">
        <v>5200</v>
      </c>
      <c r="I157" s="654">
        <v>2</v>
      </c>
      <c r="J157" s="16">
        <f t="shared" si="21"/>
        <v>198689</v>
      </c>
      <c r="L157" s="244" t="str">
        <f t="shared" ref="L157:Q157" si="64">IF(C157&lt;50,"NC",+RATE((2015-2008),,-C157,C102))</f>
        <v>NC</v>
      </c>
      <c r="M157" s="244">
        <f t="shared" si="64"/>
        <v>5.622382740765843E-4</v>
      </c>
      <c r="N157" s="244">
        <f t="shared" si="64"/>
        <v>-2.3134982444283633E-2</v>
      </c>
      <c r="O157" s="244">
        <f t="shared" si="64"/>
        <v>1.4376972048585465E-3</v>
      </c>
      <c r="P157" s="244">
        <f t="shared" si="64"/>
        <v>5.5483861899898006E-3</v>
      </c>
      <c r="Q157" s="244">
        <f t="shared" si="64"/>
        <v>8.6982722808268981E-3</v>
      </c>
    </row>
    <row r="158" spans="1:17">
      <c r="A158" t="s">
        <v>499</v>
      </c>
      <c r="B158" t="s">
        <v>477</v>
      </c>
      <c r="C158" s="654">
        <v>41</v>
      </c>
      <c r="D158" s="654">
        <v>20311</v>
      </c>
      <c r="E158" s="654">
        <v>14190</v>
      </c>
      <c r="F158" s="654">
        <v>31372</v>
      </c>
      <c r="G158" s="654">
        <v>66056</v>
      </c>
      <c r="H158" s="654">
        <v>3373</v>
      </c>
      <c r="I158" s="654"/>
      <c r="J158" s="16">
        <f t="shared" si="21"/>
        <v>135343</v>
      </c>
      <c r="L158" s="244" t="str">
        <f t="shared" ref="L158:Q158" si="65">IF(C158&lt;50,"NC",+RATE((2015-2008),,-C158,C103))</f>
        <v>NC</v>
      </c>
      <c r="M158" s="244">
        <f t="shared" si="65"/>
        <v>-9.3898737075648903E-3</v>
      </c>
      <c r="N158" s="244">
        <f t="shared" si="65"/>
        <v>-2.7878064765494599E-2</v>
      </c>
      <c r="O158" s="244">
        <f t="shared" si="65"/>
        <v>-2.8289449978437654E-3</v>
      </c>
      <c r="P158" s="244">
        <f t="shared" si="65"/>
        <v>-2.8970799994650401E-3</v>
      </c>
      <c r="Q158" s="244">
        <f t="shared" si="65"/>
        <v>-7.8039104699130371E-3</v>
      </c>
    </row>
    <row r="159" spans="1:17">
      <c r="A159" t="s">
        <v>73</v>
      </c>
      <c r="B159" t="s">
        <v>74</v>
      </c>
      <c r="C159" s="654">
        <v>264</v>
      </c>
      <c r="D159" s="654">
        <v>142333</v>
      </c>
      <c r="E159" s="654">
        <v>79573</v>
      </c>
      <c r="F159" s="654">
        <v>152356</v>
      </c>
      <c r="G159" s="654">
        <v>402552</v>
      </c>
      <c r="H159" s="654">
        <v>19760</v>
      </c>
      <c r="I159" s="654">
        <v>4</v>
      </c>
      <c r="J159" s="16">
        <f t="shared" si="21"/>
        <v>796842</v>
      </c>
      <c r="L159" s="244">
        <f t="shared" ref="L159:Q159" si="66">IF(C159&lt;50,"NC",+RATE((2015-2008),,-C159,C104))</f>
        <v>3.0594137350886733E-2</v>
      </c>
      <c r="M159" s="244">
        <f t="shared" si="66"/>
        <v>-1.0138281373991509E-2</v>
      </c>
      <c r="N159" s="244">
        <f t="shared" si="66"/>
        <v>-1.7014504112582839E-2</v>
      </c>
      <c r="O159" s="244">
        <f t="shared" si="66"/>
        <v>4.0083339109276561E-4</v>
      </c>
      <c r="P159" s="244">
        <f t="shared" si="66"/>
        <v>1.0631256129145561E-2</v>
      </c>
      <c r="Q159" s="244">
        <f t="shared" si="66"/>
        <v>5.6158886867879888E-3</v>
      </c>
    </row>
    <row r="160" spans="1:17">
      <c r="A160" s="60" t="s">
        <v>69</v>
      </c>
      <c r="B160" t="s">
        <v>680</v>
      </c>
      <c r="C160" s="654">
        <v>7</v>
      </c>
      <c r="D160" s="654">
        <v>32784</v>
      </c>
      <c r="E160" s="654">
        <v>20830</v>
      </c>
      <c r="F160" s="654">
        <v>45470</v>
      </c>
      <c r="G160" s="654">
        <v>164095</v>
      </c>
      <c r="H160" s="654">
        <v>9542</v>
      </c>
      <c r="I160" s="654"/>
      <c r="J160" s="16">
        <f t="shared" si="21"/>
        <v>272728</v>
      </c>
      <c r="L160" s="244" t="str">
        <f t="shared" ref="L160:Q160" si="67">IF(C160&lt;50,"NC",+RATE((2015-2008),,-C160,C105))</f>
        <v>NC</v>
      </c>
      <c r="M160" s="244">
        <f t="shared" si="67"/>
        <v>-5.1780518650896513E-3</v>
      </c>
      <c r="N160" s="244">
        <f t="shared" si="67"/>
        <v>-7.7206040173687955E-3</v>
      </c>
      <c r="O160" s="244">
        <f t="shared" si="67"/>
        <v>1.4452253442003001E-3</v>
      </c>
      <c r="P160" s="244">
        <f t="shared" si="67"/>
        <v>1.357763220290167E-2</v>
      </c>
      <c r="Q160" s="244">
        <f t="shared" si="67"/>
        <v>3.1000433351767082E-3</v>
      </c>
    </row>
    <row r="161" spans="1:17">
      <c r="A161" t="s">
        <v>705</v>
      </c>
      <c r="B161" t="s">
        <v>1479</v>
      </c>
      <c r="C161" s="654">
        <v>5294</v>
      </c>
      <c r="D161" s="654">
        <v>3408082</v>
      </c>
      <c r="E161" s="654">
        <v>1526316</v>
      </c>
      <c r="F161" s="654">
        <v>3004067</v>
      </c>
      <c r="G161" s="654">
        <v>9217512</v>
      </c>
      <c r="H161" s="654">
        <v>485688</v>
      </c>
      <c r="I161" s="654">
        <v>86</v>
      </c>
      <c r="J161" s="16">
        <f t="shared" si="21"/>
        <v>17647045</v>
      </c>
      <c r="L161" s="244">
        <f t="shared" ref="L161:Q161" si="68">IF(C161&lt;50,"NC",+RATE((2015-2008),,-C161,C106))</f>
        <v>-7.0275411173674369E-3</v>
      </c>
      <c r="M161" s="244">
        <f t="shared" si="68"/>
        <v>-1.707233962021653E-2</v>
      </c>
      <c r="N161" s="244">
        <f t="shared" si="68"/>
        <v>-1.9198431466300236E-2</v>
      </c>
      <c r="O161" s="244">
        <f t="shared" si="68"/>
        <v>-2.421788762869451E-3</v>
      </c>
      <c r="P161" s="244">
        <f t="shared" si="68"/>
        <v>6.5620752397957645E-3</v>
      </c>
      <c r="Q161" s="244">
        <f t="shared" si="68"/>
        <v>-7.3518863237873977E-4</v>
      </c>
    </row>
    <row r="212" spans="1:1">
      <c r="A212" s="60"/>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6"/>
  <sheetViews>
    <sheetView topLeftCell="A13" workbookViewId="0">
      <selection activeCell="A24" sqref="A24:U31"/>
    </sheetView>
  </sheetViews>
  <sheetFormatPr baseColWidth="10" defaultRowHeight="15"/>
  <sheetData>
    <row r="3" spans="1:21">
      <c r="B3" t="s">
        <v>1981</v>
      </c>
      <c r="C3" t="s">
        <v>1980</v>
      </c>
      <c r="D3" t="s">
        <v>1982</v>
      </c>
      <c r="E3" t="s">
        <v>1983</v>
      </c>
      <c r="F3" t="s">
        <v>1984</v>
      </c>
      <c r="G3" t="s">
        <v>1985</v>
      </c>
      <c r="H3" t="s">
        <v>1986</v>
      </c>
      <c r="I3" t="s">
        <v>1987</v>
      </c>
      <c r="J3" t="s">
        <v>1988</v>
      </c>
      <c r="K3" t="s">
        <v>1989</v>
      </c>
      <c r="L3" t="s">
        <v>1990</v>
      </c>
      <c r="M3" t="s">
        <v>1991</v>
      </c>
      <c r="N3" t="s">
        <v>1992</v>
      </c>
      <c r="O3" t="s">
        <v>1993</v>
      </c>
      <c r="P3" t="s">
        <v>1994</v>
      </c>
      <c r="Q3" t="s">
        <v>1995</v>
      </c>
      <c r="R3" t="s">
        <v>1996</v>
      </c>
      <c r="S3" t="s">
        <v>1997</v>
      </c>
      <c r="T3" t="s">
        <v>1998</v>
      </c>
      <c r="U3" t="s">
        <v>1999</v>
      </c>
    </row>
    <row r="4" spans="1:21">
      <c r="A4" t="s">
        <v>2000</v>
      </c>
      <c r="B4">
        <v>277770</v>
      </c>
      <c r="C4">
        <v>279757</v>
      </c>
      <c r="D4">
        <v>278955</v>
      </c>
      <c r="E4">
        <v>280305</v>
      </c>
      <c r="F4">
        <v>277697</v>
      </c>
      <c r="G4">
        <v>281865</v>
      </c>
      <c r="H4">
        <v>281321</v>
      </c>
      <c r="I4">
        <v>282034</v>
      </c>
      <c r="J4">
        <v>280013</v>
      </c>
      <c r="K4">
        <v>282513</v>
      </c>
      <c r="L4">
        <v>281859</v>
      </c>
      <c r="M4">
        <v>282938</v>
      </c>
      <c r="N4">
        <v>281233</v>
      </c>
      <c r="O4">
        <v>285030</v>
      </c>
      <c r="P4">
        <v>286039</v>
      </c>
      <c r="Q4">
        <v>287696</v>
      </c>
      <c r="R4">
        <v>287827</v>
      </c>
      <c r="S4">
        <v>293296</v>
      </c>
      <c r="T4">
        <v>293712</v>
      </c>
    </row>
    <row r="5" spans="1:21">
      <c r="C5" t="s">
        <v>1980</v>
      </c>
      <c r="D5" t="s">
        <v>1982</v>
      </c>
      <c r="E5" t="s">
        <v>1983</v>
      </c>
      <c r="F5" t="s">
        <v>1984</v>
      </c>
      <c r="G5" t="s">
        <v>1985</v>
      </c>
      <c r="H5" t="s">
        <v>1986</v>
      </c>
      <c r="I5" t="s">
        <v>1987</v>
      </c>
      <c r="J5" t="s">
        <v>1988</v>
      </c>
      <c r="K5" t="s">
        <v>1989</v>
      </c>
      <c r="L5" t="s">
        <v>1990</v>
      </c>
      <c r="M5" t="s">
        <v>1991</v>
      </c>
      <c r="N5" t="s">
        <v>1992</v>
      </c>
      <c r="O5" t="s">
        <v>1993</v>
      </c>
      <c r="P5" t="s">
        <v>1994</v>
      </c>
      <c r="Q5" t="s">
        <v>1995</v>
      </c>
      <c r="R5" t="s">
        <v>1996</v>
      </c>
      <c r="S5" t="s">
        <v>1997</v>
      </c>
      <c r="T5" t="s">
        <v>1998</v>
      </c>
    </row>
    <row r="6" spans="1:21">
      <c r="A6" t="s">
        <v>2001</v>
      </c>
      <c r="C6">
        <f>C4-B4</f>
        <v>1987</v>
      </c>
      <c r="D6">
        <f t="shared" ref="D6:T6" si="0">D4-C4</f>
        <v>-802</v>
      </c>
      <c r="E6">
        <f t="shared" si="0"/>
        <v>1350</v>
      </c>
      <c r="F6">
        <f t="shared" si="0"/>
        <v>-2608</v>
      </c>
      <c r="G6">
        <f t="shared" si="0"/>
        <v>4168</v>
      </c>
      <c r="H6">
        <f t="shared" si="0"/>
        <v>-544</v>
      </c>
      <c r="I6">
        <f t="shared" si="0"/>
        <v>713</v>
      </c>
      <c r="J6">
        <f t="shared" si="0"/>
        <v>-2021</v>
      </c>
      <c r="K6">
        <f t="shared" si="0"/>
        <v>2500</v>
      </c>
      <c r="L6">
        <f t="shared" si="0"/>
        <v>-654</v>
      </c>
      <c r="M6">
        <f t="shared" si="0"/>
        <v>1079</v>
      </c>
      <c r="N6">
        <f t="shared" si="0"/>
        <v>-1705</v>
      </c>
      <c r="O6">
        <f t="shared" si="0"/>
        <v>3797</v>
      </c>
      <c r="P6">
        <f t="shared" si="0"/>
        <v>1009</v>
      </c>
      <c r="Q6">
        <f t="shared" si="0"/>
        <v>1657</v>
      </c>
      <c r="R6">
        <f t="shared" si="0"/>
        <v>131</v>
      </c>
      <c r="S6">
        <f t="shared" si="0"/>
        <v>5469</v>
      </c>
      <c r="T6">
        <f t="shared" si="0"/>
        <v>416</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79"/>
  <sheetViews>
    <sheetView topLeftCell="A22" zoomScaleNormal="100" workbookViewId="0">
      <selection activeCell="A24" sqref="A24:U31"/>
    </sheetView>
  </sheetViews>
  <sheetFormatPr baseColWidth="10" defaultRowHeight="15"/>
  <cols>
    <col min="1" max="1" width="26.28515625" style="16" customWidth="1"/>
    <col min="2" max="16384" width="11.42578125" style="16"/>
  </cols>
  <sheetData>
    <row r="2" spans="1:19" s="251" customFormat="1">
      <c r="A2" s="619" t="s">
        <v>1175</v>
      </c>
    </row>
    <row r="3" spans="1:19" ht="75">
      <c r="A3" s="304" t="s">
        <v>1674</v>
      </c>
      <c r="B3" s="59" t="s">
        <v>1869</v>
      </c>
      <c r="C3" s="59" t="s">
        <v>1870</v>
      </c>
      <c r="D3" s="59" t="s">
        <v>751</v>
      </c>
      <c r="E3" s="59" t="s">
        <v>752</v>
      </c>
      <c r="F3" s="59" t="s">
        <v>753</v>
      </c>
      <c r="G3" s="59" t="s">
        <v>1171</v>
      </c>
      <c r="H3" s="16" t="s">
        <v>1871</v>
      </c>
      <c r="I3" s="59" t="s">
        <v>1172</v>
      </c>
      <c r="J3" s="16" t="s">
        <v>1174</v>
      </c>
      <c r="K3" s="16" t="s">
        <v>753</v>
      </c>
      <c r="L3" s="16" t="s">
        <v>1872</v>
      </c>
      <c r="Q3" s="170" t="s">
        <v>739</v>
      </c>
      <c r="R3" s="14" t="s">
        <v>754</v>
      </c>
    </row>
    <row r="4" spans="1:19">
      <c r="A4" t="s">
        <v>734</v>
      </c>
      <c r="B4" s="171">
        <v>12657</v>
      </c>
      <c r="C4" s="171">
        <v>12356</v>
      </c>
      <c r="D4" s="171">
        <v>5439</v>
      </c>
      <c r="E4" s="171">
        <v>555</v>
      </c>
      <c r="F4" s="171">
        <v>771</v>
      </c>
      <c r="G4">
        <f>SUM(B4:F4)</f>
        <v>31778</v>
      </c>
      <c r="H4" s="158">
        <f>B4/G4</f>
        <v>0.39829441752155581</v>
      </c>
      <c r="I4" s="158">
        <f>D4/G4</f>
        <v>0.17115614576121846</v>
      </c>
      <c r="J4" s="158">
        <f>E4/G4</f>
        <v>1.7464912832777395E-2</v>
      </c>
      <c r="K4" s="158">
        <f>F4/G4</f>
        <v>2.4262068097425891E-2</v>
      </c>
      <c r="L4" s="61">
        <f>C4/G4</f>
        <v>0.38882245578702246</v>
      </c>
      <c r="Q4" s="83" t="s">
        <v>734</v>
      </c>
      <c r="R4" s="16">
        <v>71</v>
      </c>
      <c r="S4" s="16">
        <f>M4-R4</f>
        <v>-71</v>
      </c>
    </row>
    <row r="5" spans="1:19">
      <c r="A5" t="s">
        <v>2</v>
      </c>
      <c r="B5" s="171">
        <v>13272</v>
      </c>
      <c r="C5" s="171">
        <v>12301</v>
      </c>
      <c r="D5" s="171">
        <v>5229</v>
      </c>
      <c r="E5" s="171">
        <v>414</v>
      </c>
      <c r="F5" s="171">
        <v>2102</v>
      </c>
      <c r="G5">
        <f t="shared" ref="G5:G16" si="0">SUM(B5:F5)</f>
        <v>33318</v>
      </c>
      <c r="H5" s="158">
        <f t="shared" ref="H5:H15" si="1">B5/G5</f>
        <v>0.39834323788942916</v>
      </c>
      <c r="I5" s="158">
        <f t="shared" ref="I5:I15" si="2">D5/G5</f>
        <v>0.15694219340896812</v>
      </c>
      <c r="J5" s="158">
        <f t="shared" ref="J5:J16" si="3">E5/G5</f>
        <v>1.242571582928147E-2</v>
      </c>
      <c r="K5" s="158">
        <f t="shared" ref="K5:K16" si="4">F5/G5</f>
        <v>6.3089020949636837E-2</v>
      </c>
      <c r="L5" s="61">
        <f t="shared" ref="L5:L16" si="5">C5/G5</f>
        <v>0.36919983192268441</v>
      </c>
      <c r="Q5" s="83" t="s">
        <v>2</v>
      </c>
      <c r="R5" s="16">
        <v>128</v>
      </c>
      <c r="S5" s="16">
        <f t="shared" ref="S5:S15" si="6">M5-R5</f>
        <v>-128</v>
      </c>
    </row>
    <row r="6" spans="1:19">
      <c r="A6" t="s">
        <v>749</v>
      </c>
      <c r="B6" s="171">
        <v>10695</v>
      </c>
      <c r="C6" s="171">
        <v>11744</v>
      </c>
      <c r="D6" s="171">
        <v>5114</v>
      </c>
      <c r="E6" s="171">
        <v>484</v>
      </c>
      <c r="F6" s="171"/>
      <c r="G6">
        <f t="shared" si="0"/>
        <v>28037</v>
      </c>
      <c r="H6" s="158">
        <f t="shared" si="1"/>
        <v>0.38146021328958163</v>
      </c>
      <c r="I6" s="158">
        <f t="shared" si="2"/>
        <v>0.18240182615829084</v>
      </c>
      <c r="J6" s="158">
        <f t="shared" si="3"/>
        <v>1.7262902593002106E-2</v>
      </c>
      <c r="K6" s="158">
        <f t="shared" si="4"/>
        <v>0</v>
      </c>
      <c r="L6" s="61">
        <f t="shared" si="5"/>
        <v>0.41887505795912544</v>
      </c>
      <c r="Q6" s="83" t="s">
        <v>749</v>
      </c>
      <c r="R6" s="16">
        <v>77</v>
      </c>
      <c r="S6" s="16">
        <f t="shared" si="6"/>
        <v>-77</v>
      </c>
    </row>
    <row r="7" spans="1:19">
      <c r="A7" t="s">
        <v>733</v>
      </c>
      <c r="B7" s="171">
        <v>22125</v>
      </c>
      <c r="C7" s="171">
        <v>11433</v>
      </c>
      <c r="D7" s="171">
        <v>6581</v>
      </c>
      <c r="E7" s="171">
        <v>620</v>
      </c>
      <c r="F7" s="171">
        <v>1949</v>
      </c>
      <c r="G7">
        <f t="shared" si="0"/>
        <v>42708</v>
      </c>
      <c r="H7" s="158">
        <f t="shared" si="1"/>
        <v>0.51805282382691764</v>
      </c>
      <c r="I7" s="158">
        <f t="shared" si="2"/>
        <v>0.15409290999344386</v>
      </c>
      <c r="J7" s="158">
        <f t="shared" si="3"/>
        <v>1.4517186475601761E-2</v>
      </c>
      <c r="K7" s="158">
        <f t="shared" si="4"/>
        <v>4.563547813056102E-2</v>
      </c>
      <c r="L7" s="61">
        <f t="shared" si="5"/>
        <v>0.26770160157347572</v>
      </c>
      <c r="Q7" s="83" t="s">
        <v>733</v>
      </c>
      <c r="R7" s="16">
        <v>54</v>
      </c>
      <c r="S7" s="16">
        <f t="shared" si="6"/>
        <v>-54</v>
      </c>
    </row>
    <row r="8" spans="1:19">
      <c r="A8" t="s">
        <v>731</v>
      </c>
      <c r="B8" s="171">
        <v>15634</v>
      </c>
      <c r="C8" s="171">
        <v>23135</v>
      </c>
      <c r="D8" s="171">
        <v>10741</v>
      </c>
      <c r="E8" s="171">
        <v>856</v>
      </c>
      <c r="F8" s="171">
        <v>6884</v>
      </c>
      <c r="G8">
        <f t="shared" si="0"/>
        <v>57250</v>
      </c>
      <c r="H8" s="158">
        <f t="shared" si="1"/>
        <v>0.27308296943231442</v>
      </c>
      <c r="I8" s="158">
        <f t="shared" si="2"/>
        <v>0.18761572052401745</v>
      </c>
      <c r="J8" s="158">
        <f t="shared" si="3"/>
        <v>1.4951965065502183E-2</v>
      </c>
      <c r="K8" s="158">
        <f t="shared" si="4"/>
        <v>0.12024454148471615</v>
      </c>
      <c r="L8" s="61">
        <f t="shared" si="5"/>
        <v>0.40410480349344979</v>
      </c>
      <c r="Q8" s="83" t="s">
        <v>731</v>
      </c>
      <c r="R8" s="16">
        <v>180</v>
      </c>
      <c r="S8" s="16">
        <f t="shared" si="6"/>
        <v>-180</v>
      </c>
    </row>
    <row r="9" spans="1:19">
      <c r="A9" t="s">
        <v>735</v>
      </c>
      <c r="B9" s="171">
        <v>10563</v>
      </c>
      <c r="C9" s="171">
        <v>12761</v>
      </c>
      <c r="D9" s="171">
        <v>5621</v>
      </c>
      <c r="E9" s="171">
        <v>523</v>
      </c>
      <c r="F9" s="171">
        <v>411</v>
      </c>
      <c r="G9">
        <f t="shared" si="0"/>
        <v>29879</v>
      </c>
      <c r="H9" s="158">
        <f t="shared" si="1"/>
        <v>0.35352588774724725</v>
      </c>
      <c r="I9" s="158">
        <f t="shared" si="2"/>
        <v>0.18812543927172931</v>
      </c>
      <c r="J9" s="158">
        <f t="shared" si="3"/>
        <v>1.7503932527862379E-2</v>
      </c>
      <c r="K9" s="158">
        <f t="shared" si="4"/>
        <v>1.3755480437765654E-2</v>
      </c>
      <c r="L9" s="61">
        <f t="shared" si="5"/>
        <v>0.42708926001539543</v>
      </c>
      <c r="Q9" s="83" t="s">
        <v>735</v>
      </c>
      <c r="R9" s="16">
        <v>90</v>
      </c>
      <c r="S9" s="16">
        <f t="shared" si="6"/>
        <v>-90</v>
      </c>
    </row>
    <row r="10" spans="1:19">
      <c r="A10" t="s">
        <v>737</v>
      </c>
      <c r="B10" s="171">
        <v>12500</v>
      </c>
      <c r="C10" s="171">
        <v>10285</v>
      </c>
      <c r="D10" s="171">
        <v>4239</v>
      </c>
      <c r="E10" s="171">
        <v>737</v>
      </c>
      <c r="F10" s="171">
        <v>1453</v>
      </c>
      <c r="G10">
        <f t="shared" si="0"/>
        <v>29214</v>
      </c>
      <c r="H10" s="158">
        <f t="shared" si="1"/>
        <v>0.42787704525227632</v>
      </c>
      <c r="I10" s="158">
        <f t="shared" si="2"/>
        <v>0.14510166358595195</v>
      </c>
      <c r="J10" s="158">
        <f>E10/G10</f>
        <v>2.5227630588074212E-2</v>
      </c>
      <c r="K10" s="158">
        <f t="shared" si="4"/>
        <v>4.97364277401246E-2</v>
      </c>
      <c r="L10" s="61">
        <f t="shared" si="5"/>
        <v>0.35205723283357293</v>
      </c>
      <c r="Q10" s="83" t="s">
        <v>737</v>
      </c>
      <c r="R10" s="16">
        <v>129</v>
      </c>
      <c r="S10" s="16">
        <f t="shared" si="6"/>
        <v>-129</v>
      </c>
    </row>
    <row r="11" spans="1:19">
      <c r="A11" t="s">
        <v>738</v>
      </c>
      <c r="B11" s="171">
        <v>6437</v>
      </c>
      <c r="C11" s="171">
        <v>3860</v>
      </c>
      <c r="D11" s="171">
        <v>3815</v>
      </c>
      <c r="E11" s="171">
        <v>304</v>
      </c>
      <c r="F11" s="171">
        <v>5</v>
      </c>
      <c r="G11">
        <f t="shared" si="0"/>
        <v>14421</v>
      </c>
      <c r="H11" s="158">
        <f t="shared" si="1"/>
        <v>0.44636294293044865</v>
      </c>
      <c r="I11" s="158">
        <f t="shared" si="2"/>
        <v>0.26454476111226682</v>
      </c>
      <c r="J11" s="158">
        <f t="shared" si="3"/>
        <v>2.1080368906455864E-2</v>
      </c>
      <c r="K11" s="158">
        <f t="shared" si="4"/>
        <v>3.4671659385618195E-4</v>
      </c>
      <c r="L11" s="61">
        <f t="shared" si="5"/>
        <v>0.26766521045697245</v>
      </c>
      <c r="Q11" s="83" t="s">
        <v>738</v>
      </c>
      <c r="R11" s="16">
        <v>40</v>
      </c>
      <c r="S11" s="16">
        <f t="shared" si="6"/>
        <v>-40</v>
      </c>
    </row>
    <row r="12" spans="1:19">
      <c r="A12" t="s">
        <v>748</v>
      </c>
      <c r="B12" s="171">
        <v>14144</v>
      </c>
      <c r="C12" s="171">
        <v>10742</v>
      </c>
      <c r="D12" s="171">
        <v>4641</v>
      </c>
      <c r="E12" s="171">
        <v>257</v>
      </c>
      <c r="F12" s="171">
        <v>2684</v>
      </c>
      <c r="G12">
        <f t="shared" si="0"/>
        <v>32468</v>
      </c>
      <c r="H12" s="158">
        <f t="shared" si="1"/>
        <v>0.43562892694345201</v>
      </c>
      <c r="I12" s="158">
        <f t="shared" si="2"/>
        <v>0.14294074165332019</v>
      </c>
      <c r="J12" s="158">
        <f t="shared" si="3"/>
        <v>7.9154860170013545E-3</v>
      </c>
      <c r="K12" s="158">
        <f t="shared" si="4"/>
        <v>8.2666009609461619E-2</v>
      </c>
      <c r="L12" s="61">
        <f t="shared" si="5"/>
        <v>0.33084883577676483</v>
      </c>
      <c r="Q12" s="83" t="s">
        <v>748</v>
      </c>
      <c r="R12" s="16">
        <v>70</v>
      </c>
      <c r="S12" s="16">
        <f t="shared" si="6"/>
        <v>-70</v>
      </c>
    </row>
    <row r="13" spans="1:19">
      <c r="A13" t="s">
        <v>111</v>
      </c>
      <c r="B13" s="171">
        <v>6592</v>
      </c>
      <c r="C13" s="171">
        <v>3002</v>
      </c>
      <c r="D13" s="171">
        <v>2601</v>
      </c>
      <c r="E13" s="171">
        <v>144</v>
      </c>
      <c r="F13" s="171">
        <v>1506</v>
      </c>
      <c r="G13">
        <f t="shared" si="0"/>
        <v>13845</v>
      </c>
      <c r="H13" s="158">
        <f t="shared" si="1"/>
        <v>0.47612856626941136</v>
      </c>
      <c r="I13" s="158">
        <f t="shared" si="2"/>
        <v>0.18786565547128928</v>
      </c>
      <c r="J13" s="158">
        <f t="shared" si="3"/>
        <v>1.0400866738894909E-2</v>
      </c>
      <c r="K13" s="158">
        <f t="shared" si="4"/>
        <v>0.10877573131094258</v>
      </c>
      <c r="L13" s="61">
        <f t="shared" si="5"/>
        <v>0.2168291802094619</v>
      </c>
      <c r="Q13" s="83" t="s">
        <v>111</v>
      </c>
      <c r="R13" s="16">
        <v>22</v>
      </c>
      <c r="S13" s="16">
        <f t="shared" si="6"/>
        <v>-22</v>
      </c>
    </row>
    <row r="14" spans="1:19">
      <c r="A14" t="s">
        <v>736</v>
      </c>
      <c r="B14" s="171">
        <v>9529</v>
      </c>
      <c r="C14" s="171">
        <v>9509</v>
      </c>
      <c r="D14" s="171">
        <v>5360</v>
      </c>
      <c r="E14" s="171">
        <v>389</v>
      </c>
      <c r="F14" s="171">
        <v>1757</v>
      </c>
      <c r="G14">
        <f t="shared" si="0"/>
        <v>26544</v>
      </c>
      <c r="H14" s="158">
        <f t="shared" si="1"/>
        <v>0.35898884870403858</v>
      </c>
      <c r="I14" s="158">
        <f t="shared" si="2"/>
        <v>0.20192887281494876</v>
      </c>
      <c r="J14" s="158">
        <f t="shared" si="3"/>
        <v>1.4654912597950572E-2</v>
      </c>
      <c r="K14" s="158">
        <f t="shared" si="4"/>
        <v>6.6191983122362866E-2</v>
      </c>
      <c r="L14" s="61">
        <f t="shared" si="5"/>
        <v>0.35823538276069922</v>
      </c>
      <c r="Q14" s="83" t="s">
        <v>736</v>
      </c>
      <c r="R14" s="16">
        <v>121</v>
      </c>
      <c r="S14" s="16">
        <f t="shared" si="6"/>
        <v>-121</v>
      </c>
    </row>
    <row r="15" spans="1:19">
      <c r="A15" t="s">
        <v>732</v>
      </c>
      <c r="B15" s="171">
        <v>13579</v>
      </c>
      <c r="C15" s="171">
        <v>14614</v>
      </c>
      <c r="D15" s="171">
        <v>5941</v>
      </c>
      <c r="E15" s="171">
        <v>429</v>
      </c>
      <c r="F15" s="171">
        <v>3264</v>
      </c>
      <c r="G15">
        <f t="shared" si="0"/>
        <v>37827</v>
      </c>
      <c r="H15" s="158">
        <f t="shared" si="1"/>
        <v>0.3589763925238586</v>
      </c>
      <c r="I15" s="158">
        <f t="shared" si="2"/>
        <v>0.15705712850609352</v>
      </c>
      <c r="J15" s="158">
        <f t="shared" si="3"/>
        <v>1.1341105559520977E-2</v>
      </c>
      <c r="K15" s="158">
        <f t="shared" si="4"/>
        <v>8.6287572368942814E-2</v>
      </c>
      <c r="L15" s="61">
        <f t="shared" si="5"/>
        <v>0.38633780104158405</v>
      </c>
      <c r="Q15" s="83" t="s">
        <v>732</v>
      </c>
      <c r="R15" s="16">
        <v>106</v>
      </c>
      <c r="S15" s="16">
        <f t="shared" si="6"/>
        <v>-106</v>
      </c>
    </row>
    <row r="16" spans="1:19">
      <c r="A16" t="s">
        <v>1479</v>
      </c>
      <c r="B16" s="171">
        <v>246463</v>
      </c>
      <c r="C16" s="171">
        <v>277677</v>
      </c>
      <c r="D16" s="171">
        <v>134240</v>
      </c>
      <c r="E16" s="171">
        <v>12451</v>
      </c>
      <c r="F16" s="171">
        <v>39927</v>
      </c>
      <c r="G16">
        <f t="shared" si="0"/>
        <v>710758</v>
      </c>
      <c r="H16" s="158">
        <f t="shared" ref="H16" si="7">B16/G16</f>
        <v>0.34676078215088679</v>
      </c>
      <c r="I16" s="158">
        <f t="shared" ref="I16" si="8">D16/G16</f>
        <v>0.18886878515612909</v>
      </c>
      <c r="J16" s="158">
        <f t="shared" si="3"/>
        <v>1.7517917490904079E-2</v>
      </c>
      <c r="K16" s="158">
        <f t="shared" si="4"/>
        <v>5.6175238266751831E-2</v>
      </c>
      <c r="L16" s="61">
        <f t="shared" si="5"/>
        <v>0.39067727693532822</v>
      </c>
    </row>
    <row r="17" spans="1:22" s="59" customFormat="1">
      <c r="Q17" s="169"/>
    </row>
    <row r="18" spans="1:22" s="59" customFormat="1" ht="90">
      <c r="A18" s="738" t="s">
        <v>1862</v>
      </c>
      <c r="B18" s="59" t="s">
        <v>1855</v>
      </c>
      <c r="C18" s="59" t="s">
        <v>1656</v>
      </c>
      <c r="D18" s="59" t="s">
        <v>741</v>
      </c>
      <c r="E18" s="59" t="s">
        <v>746</v>
      </c>
      <c r="F18" s="59" t="s">
        <v>1856</v>
      </c>
      <c r="G18" s="59" t="s">
        <v>742</v>
      </c>
      <c r="H18" s="59" t="s">
        <v>1857</v>
      </c>
      <c r="I18" s="59" t="s">
        <v>1858</v>
      </c>
      <c r="J18" s="59" t="s">
        <v>1859</v>
      </c>
      <c r="K18" s="59" t="s">
        <v>740</v>
      </c>
      <c r="L18" s="59" t="s">
        <v>1860</v>
      </c>
      <c r="M18" s="59" t="s">
        <v>743</v>
      </c>
      <c r="N18" s="59" t="s">
        <v>744</v>
      </c>
      <c r="O18" s="59" t="s">
        <v>745</v>
      </c>
      <c r="P18" s="59" t="s">
        <v>747</v>
      </c>
      <c r="Q18" s="739" t="s">
        <v>1861</v>
      </c>
    </row>
    <row r="19" spans="1:22" customFormat="1">
      <c r="A19" t="s">
        <v>734</v>
      </c>
      <c r="B19">
        <v>72517</v>
      </c>
      <c r="C19">
        <v>4247</v>
      </c>
      <c r="D19">
        <v>3388</v>
      </c>
      <c r="E19">
        <v>11403</v>
      </c>
      <c r="F19">
        <v>3531</v>
      </c>
      <c r="G19">
        <v>5612</v>
      </c>
      <c r="I19">
        <v>6974</v>
      </c>
      <c r="J19">
        <v>2684</v>
      </c>
      <c r="K19">
        <v>1946</v>
      </c>
      <c r="M19">
        <v>282</v>
      </c>
      <c r="N19">
        <v>110</v>
      </c>
      <c r="Q19" s="740">
        <v>107534</v>
      </c>
      <c r="S19" s="965" t="s">
        <v>1670</v>
      </c>
      <c r="T19" s="965"/>
      <c r="U19" s="965"/>
      <c r="V19" s="965"/>
    </row>
    <row r="20" spans="1:22" customFormat="1">
      <c r="A20" t="s">
        <v>2</v>
      </c>
      <c r="B20">
        <v>77273</v>
      </c>
      <c r="C20">
        <v>5218</v>
      </c>
      <c r="D20">
        <v>3143</v>
      </c>
      <c r="E20">
        <v>12327</v>
      </c>
      <c r="F20">
        <v>4686</v>
      </c>
      <c r="G20">
        <v>11746</v>
      </c>
      <c r="H20">
        <v>1341</v>
      </c>
      <c r="I20">
        <v>6378</v>
      </c>
      <c r="J20">
        <v>2986</v>
      </c>
      <c r="K20">
        <v>1902</v>
      </c>
      <c r="N20">
        <v>2347</v>
      </c>
      <c r="Q20" s="740">
        <v>121428</v>
      </c>
      <c r="S20" s="965"/>
      <c r="T20" s="965"/>
      <c r="U20" s="965"/>
      <c r="V20" s="965"/>
    </row>
    <row r="21" spans="1:22" customFormat="1">
      <c r="A21" t="s">
        <v>749</v>
      </c>
      <c r="B21">
        <v>60132</v>
      </c>
      <c r="C21">
        <v>7216</v>
      </c>
      <c r="D21">
        <v>2599</v>
      </c>
      <c r="E21">
        <v>10712</v>
      </c>
      <c r="F21">
        <v>5758</v>
      </c>
      <c r="G21">
        <v>5326</v>
      </c>
      <c r="I21">
        <v>5209</v>
      </c>
      <c r="J21">
        <v>1582</v>
      </c>
      <c r="K21">
        <v>1014</v>
      </c>
      <c r="N21">
        <v>4976</v>
      </c>
      <c r="Q21" s="740">
        <v>91602</v>
      </c>
      <c r="S21" s="965"/>
      <c r="T21" s="965"/>
      <c r="U21" s="965"/>
      <c r="V21" s="965"/>
    </row>
    <row r="22" spans="1:22" customFormat="1">
      <c r="A22" t="s">
        <v>733</v>
      </c>
      <c r="B22">
        <v>104712</v>
      </c>
      <c r="C22">
        <v>7373</v>
      </c>
      <c r="D22">
        <v>5520</v>
      </c>
      <c r="E22">
        <v>19147</v>
      </c>
      <c r="F22">
        <v>10363</v>
      </c>
      <c r="G22">
        <v>10658</v>
      </c>
      <c r="H22">
        <v>384</v>
      </c>
      <c r="I22">
        <v>11223</v>
      </c>
      <c r="J22">
        <v>3609</v>
      </c>
      <c r="K22">
        <v>2252</v>
      </c>
      <c r="M22">
        <v>6703</v>
      </c>
      <c r="Q22" s="740">
        <v>171764</v>
      </c>
    </row>
    <row r="23" spans="1:22" customFormat="1">
      <c r="A23" t="s">
        <v>731</v>
      </c>
      <c r="B23">
        <v>116092</v>
      </c>
      <c r="C23">
        <v>7479</v>
      </c>
      <c r="D23">
        <v>6189</v>
      </c>
      <c r="E23">
        <v>12882</v>
      </c>
      <c r="F23">
        <v>13947</v>
      </c>
      <c r="G23">
        <v>9875</v>
      </c>
      <c r="H23">
        <v>856</v>
      </c>
      <c r="I23">
        <v>7188</v>
      </c>
      <c r="J23">
        <v>6189</v>
      </c>
      <c r="K23">
        <v>6235</v>
      </c>
      <c r="L23">
        <v>1928</v>
      </c>
      <c r="M23">
        <v>5523</v>
      </c>
      <c r="N23">
        <v>251</v>
      </c>
      <c r="Q23" s="740">
        <v>186073</v>
      </c>
    </row>
    <row r="24" spans="1:22" customFormat="1">
      <c r="A24" t="s">
        <v>735</v>
      </c>
      <c r="B24">
        <v>75095</v>
      </c>
      <c r="C24">
        <v>3954</v>
      </c>
      <c r="D24">
        <v>2693</v>
      </c>
      <c r="E24">
        <v>11480</v>
      </c>
      <c r="F24">
        <v>3258</v>
      </c>
      <c r="G24">
        <v>4584</v>
      </c>
      <c r="H24">
        <v>399</v>
      </c>
      <c r="I24">
        <v>4699</v>
      </c>
      <c r="J24">
        <v>1954</v>
      </c>
      <c r="K24">
        <v>4177</v>
      </c>
      <c r="M24">
        <v>242</v>
      </c>
      <c r="Q24" s="740">
        <v>107576</v>
      </c>
    </row>
    <row r="25" spans="1:22" customFormat="1">
      <c r="A25" t="s">
        <v>737</v>
      </c>
      <c r="B25">
        <v>70950</v>
      </c>
      <c r="C25">
        <v>5631</v>
      </c>
      <c r="D25">
        <v>4311</v>
      </c>
      <c r="E25">
        <v>16713</v>
      </c>
      <c r="F25">
        <v>9400</v>
      </c>
      <c r="G25">
        <v>5829</v>
      </c>
      <c r="H25">
        <v>273</v>
      </c>
      <c r="I25">
        <v>5547</v>
      </c>
      <c r="J25">
        <v>4066</v>
      </c>
      <c r="K25">
        <v>3997</v>
      </c>
      <c r="M25">
        <v>7718</v>
      </c>
      <c r="Q25" s="740">
        <v>127159</v>
      </c>
    </row>
    <row r="26" spans="1:22" customFormat="1">
      <c r="A26" t="s">
        <v>738</v>
      </c>
      <c r="B26">
        <v>38860</v>
      </c>
      <c r="C26">
        <v>3570</v>
      </c>
      <c r="D26">
        <v>2508</v>
      </c>
      <c r="E26">
        <v>6327</v>
      </c>
      <c r="F26">
        <v>1850</v>
      </c>
      <c r="G26">
        <v>5644</v>
      </c>
      <c r="I26">
        <v>3855</v>
      </c>
      <c r="J26">
        <v>1355</v>
      </c>
      <c r="K26">
        <v>503</v>
      </c>
      <c r="Q26" s="740">
        <v>59771</v>
      </c>
    </row>
    <row r="27" spans="1:22" customFormat="1">
      <c r="A27" t="s">
        <v>748</v>
      </c>
      <c r="B27">
        <v>80175</v>
      </c>
      <c r="C27">
        <v>6557</v>
      </c>
      <c r="D27">
        <v>4118</v>
      </c>
      <c r="E27">
        <v>15063</v>
      </c>
      <c r="F27">
        <v>8431</v>
      </c>
      <c r="G27">
        <v>4319</v>
      </c>
      <c r="H27">
        <v>553</v>
      </c>
      <c r="I27">
        <v>5831</v>
      </c>
      <c r="J27">
        <v>2154</v>
      </c>
      <c r="K27">
        <v>3257</v>
      </c>
      <c r="L27">
        <v>328</v>
      </c>
      <c r="M27">
        <v>1902</v>
      </c>
      <c r="N27">
        <v>437</v>
      </c>
      <c r="Q27" s="740">
        <v>125100</v>
      </c>
    </row>
    <row r="28" spans="1:22" customFormat="1">
      <c r="A28" t="s">
        <v>111</v>
      </c>
      <c r="B28">
        <v>35890</v>
      </c>
      <c r="C28">
        <v>4132</v>
      </c>
      <c r="D28">
        <v>1374</v>
      </c>
      <c r="E28">
        <v>6518</v>
      </c>
      <c r="F28">
        <v>4500</v>
      </c>
      <c r="G28">
        <v>6715</v>
      </c>
      <c r="I28">
        <v>3822</v>
      </c>
      <c r="J28">
        <v>977</v>
      </c>
      <c r="K28">
        <v>1110</v>
      </c>
      <c r="Q28" s="740">
        <v>60385</v>
      </c>
    </row>
    <row r="29" spans="1:22" customFormat="1">
      <c r="A29" t="s">
        <v>736</v>
      </c>
      <c r="B29">
        <v>56004</v>
      </c>
      <c r="C29">
        <v>3878</v>
      </c>
      <c r="D29">
        <v>2450</v>
      </c>
      <c r="E29">
        <v>6830</v>
      </c>
      <c r="F29">
        <v>3996</v>
      </c>
      <c r="G29">
        <v>222</v>
      </c>
      <c r="H29">
        <v>402</v>
      </c>
      <c r="I29">
        <v>4098</v>
      </c>
      <c r="J29">
        <v>1921</v>
      </c>
      <c r="K29">
        <v>1036</v>
      </c>
      <c r="Q29" s="740">
        <v>75192</v>
      </c>
    </row>
    <row r="30" spans="1:22">
      <c r="A30" s="16" t="s">
        <v>732</v>
      </c>
      <c r="B30" s="16">
        <v>84471</v>
      </c>
      <c r="C30" s="16">
        <v>6730</v>
      </c>
      <c r="D30" s="16">
        <v>4167</v>
      </c>
      <c r="E30" s="16">
        <v>12531</v>
      </c>
      <c r="F30" s="16">
        <v>10418</v>
      </c>
      <c r="G30" s="16">
        <v>5781</v>
      </c>
      <c r="H30" s="16">
        <v>32</v>
      </c>
      <c r="I30" s="16">
        <v>5211</v>
      </c>
      <c r="J30" s="16">
        <v>1916</v>
      </c>
      <c r="K30" s="16">
        <v>4321</v>
      </c>
      <c r="M30" s="16">
        <v>3230</v>
      </c>
      <c r="N30" s="16">
        <v>31</v>
      </c>
      <c r="O30" s="16">
        <v>3681</v>
      </c>
      <c r="Q30" s="740">
        <v>132909</v>
      </c>
    </row>
    <row r="31" spans="1:22">
      <c r="A31" s="16" t="s">
        <v>1657</v>
      </c>
    </row>
    <row r="32" spans="1:22">
      <c r="C32" s="16">
        <v>2014</v>
      </c>
      <c r="D32" s="16">
        <v>2015</v>
      </c>
      <c r="M32" s="250" t="s">
        <v>1173</v>
      </c>
    </row>
    <row r="33" spans="1:22">
      <c r="A33" s="16" t="s">
        <v>506</v>
      </c>
      <c r="B33" s="16" t="s">
        <v>1152</v>
      </c>
      <c r="C33" s="16" t="s">
        <v>1153</v>
      </c>
      <c r="D33" s="16" t="s">
        <v>1154</v>
      </c>
      <c r="E33" s="16" t="s">
        <v>1170</v>
      </c>
      <c r="F33" s="16" t="s">
        <v>1168</v>
      </c>
      <c r="G33" s="16" t="s">
        <v>1169</v>
      </c>
      <c r="H33" s="16" t="s">
        <v>1151</v>
      </c>
      <c r="S33" s="965" t="s">
        <v>1671</v>
      </c>
      <c r="T33" s="965"/>
      <c r="U33" s="965"/>
      <c r="V33" s="965"/>
    </row>
    <row r="34" spans="1:22">
      <c r="A34" s="16" t="s">
        <v>786</v>
      </c>
      <c r="B34" t="s">
        <v>736</v>
      </c>
      <c r="C34" s="16">
        <v>73104</v>
      </c>
      <c r="D34" s="711">
        <v>75192</v>
      </c>
      <c r="E34" s="16">
        <f>RANK(G34,$G$34:$G$45)</f>
        <v>4</v>
      </c>
      <c r="F34" s="639">
        <v>1868183</v>
      </c>
      <c r="G34" s="158">
        <f>D34/F34</f>
        <v>4.0248733662601573E-2</v>
      </c>
      <c r="H34" s="158">
        <f>(D34-C34)/C34</f>
        <v>2.8562048588312541E-2</v>
      </c>
      <c r="J34" s="246"/>
      <c r="L34" s="641"/>
      <c r="M34" t="s">
        <v>1658</v>
      </c>
      <c r="N34"/>
      <c r="O34" s="16" t="s">
        <v>1666</v>
      </c>
      <c r="S34" s="965"/>
      <c r="T34" s="965"/>
      <c r="U34" s="965"/>
      <c r="V34" s="965"/>
    </row>
    <row r="35" spans="1:22">
      <c r="A35" s="16" t="s">
        <v>74</v>
      </c>
      <c r="B35" t="s">
        <v>2</v>
      </c>
      <c r="C35" s="16">
        <v>117971</v>
      </c>
      <c r="D35" s="711">
        <v>121428</v>
      </c>
      <c r="E35" s="16">
        <f t="shared" ref="E35:E45" si="9">RANK(G35,$G$34:$G$45)</f>
        <v>8</v>
      </c>
      <c r="F35" s="639">
        <v>3316889</v>
      </c>
      <c r="G35" s="158">
        <f t="shared" ref="G35:G46" si="10">D35/F35</f>
        <v>3.6609003195464181E-2</v>
      </c>
      <c r="H35" s="158">
        <f t="shared" ref="H35:H46" si="11">(D35-C35)/C35</f>
        <v>2.9303811953785251E-2</v>
      </c>
      <c r="J35" s="246"/>
      <c r="L35" s="641"/>
      <c r="M35" t="s">
        <v>1659</v>
      </c>
      <c r="N35"/>
      <c r="O35" s="16">
        <v>1993177.0025211901</v>
      </c>
      <c r="S35" s="965"/>
      <c r="T35" s="965"/>
      <c r="U35" s="965"/>
      <c r="V35" s="965"/>
    </row>
    <row r="36" spans="1:22">
      <c r="A36" s="16" t="s">
        <v>788</v>
      </c>
      <c r="B36" t="s">
        <v>748</v>
      </c>
      <c r="C36" s="16">
        <v>120721</v>
      </c>
      <c r="D36" s="711">
        <v>125100</v>
      </c>
      <c r="E36" s="16">
        <f t="shared" si="9"/>
        <v>6</v>
      </c>
      <c r="F36" s="639">
        <v>3258707</v>
      </c>
      <c r="G36" s="158">
        <f t="shared" si="10"/>
        <v>3.8389459377599765E-2</v>
      </c>
      <c r="H36" s="158">
        <f t="shared" si="11"/>
        <v>3.6273722053329578E-2</v>
      </c>
      <c r="J36" s="246"/>
      <c r="L36" s="642"/>
      <c r="M36" t="s">
        <v>1660</v>
      </c>
      <c r="N36"/>
      <c r="O36" s="16">
        <v>161916</v>
      </c>
    </row>
    <row r="37" spans="1:22">
      <c r="A37" s="16" t="s">
        <v>1087</v>
      </c>
      <c r="B37" t="s">
        <v>111</v>
      </c>
      <c r="C37" s="16">
        <v>57492</v>
      </c>
      <c r="D37" s="711">
        <v>60385</v>
      </c>
      <c r="E37" s="16">
        <f t="shared" si="9"/>
        <v>10</v>
      </c>
      <c r="F37" s="639">
        <v>1849652</v>
      </c>
      <c r="G37" s="158">
        <f t="shared" si="10"/>
        <v>3.2646681646060986E-2</v>
      </c>
      <c r="H37" s="158">
        <f t="shared" si="11"/>
        <v>5.0320044527934323E-2</v>
      </c>
      <c r="J37" s="246"/>
      <c r="M37" t="s">
        <v>1661</v>
      </c>
      <c r="N37"/>
      <c r="O37" s="16">
        <v>139279</v>
      </c>
    </row>
    <row r="38" spans="1:22">
      <c r="A38" s="16" t="s">
        <v>520</v>
      </c>
      <c r="B38" t="s">
        <v>735</v>
      </c>
      <c r="C38" s="16">
        <v>103451</v>
      </c>
      <c r="D38" s="711">
        <v>107576</v>
      </c>
      <c r="E38" s="16">
        <f t="shared" si="9"/>
        <v>5</v>
      </c>
      <c r="F38" s="639">
        <v>2729721</v>
      </c>
      <c r="G38" s="158">
        <f t="shared" si="10"/>
        <v>3.9409155734230712E-2</v>
      </c>
      <c r="H38" s="158">
        <f t="shared" si="11"/>
        <v>3.9873949985983703E-2</v>
      </c>
      <c r="J38" s="246"/>
      <c r="M38" t="s">
        <v>1662</v>
      </c>
      <c r="N38"/>
      <c r="O38" s="16">
        <v>549949</v>
      </c>
    </row>
    <row r="39" spans="1:22">
      <c r="A39" s="16" t="s">
        <v>789</v>
      </c>
      <c r="B39" t="s">
        <v>732</v>
      </c>
      <c r="C39" s="16">
        <v>129669</v>
      </c>
      <c r="D39" s="711">
        <v>132909</v>
      </c>
      <c r="E39" s="16">
        <f t="shared" si="9"/>
        <v>2</v>
      </c>
      <c r="F39" s="639">
        <v>2954157</v>
      </c>
      <c r="G39" s="158">
        <f>D39/F39</f>
        <v>4.4990499827869679E-2</v>
      </c>
      <c r="H39" s="158">
        <f>(D39-C39)/C39</f>
        <v>2.4986696897485134E-2</v>
      </c>
      <c r="J39" s="246"/>
      <c r="M39"/>
      <c r="N39"/>
      <c r="O39" s="16">
        <f>SUM(O35:O38)</f>
        <v>2844321.0025211899</v>
      </c>
    </row>
    <row r="40" spans="1:22">
      <c r="A40" s="16" t="s">
        <v>526</v>
      </c>
      <c r="B40" t="s">
        <v>733</v>
      </c>
      <c r="C40" s="16">
        <v>164515</v>
      </c>
      <c r="D40" s="711">
        <v>171764</v>
      </c>
      <c r="E40" s="16">
        <f t="shared" si="9"/>
        <v>3</v>
      </c>
      <c r="F40" s="639">
        <v>4060741</v>
      </c>
      <c r="G40" s="158">
        <f t="shared" si="10"/>
        <v>4.2298683910153345E-2</v>
      </c>
      <c r="H40" s="158">
        <f t="shared" si="11"/>
        <v>4.4062851411725376E-2</v>
      </c>
      <c r="J40" s="246"/>
      <c r="L40" s="642"/>
      <c r="M40" t="s">
        <v>1663</v>
      </c>
      <c r="N40"/>
    </row>
    <row r="41" spans="1:22">
      <c r="A41" s="16" t="s">
        <v>790</v>
      </c>
      <c r="B41" t="s">
        <v>737</v>
      </c>
      <c r="C41" s="16">
        <v>123811</v>
      </c>
      <c r="D41" s="711">
        <v>127159</v>
      </c>
      <c r="E41" s="16">
        <f t="shared" si="9"/>
        <v>9</v>
      </c>
      <c r="F41" s="639">
        <v>3660852</v>
      </c>
      <c r="G41" s="158">
        <f t="shared" si="10"/>
        <v>3.4734810366548553E-2</v>
      </c>
      <c r="H41" s="158">
        <f t="shared" si="11"/>
        <v>2.7041216047039438E-2</v>
      </c>
      <c r="J41" s="246"/>
      <c r="M41" t="s">
        <v>1664</v>
      </c>
      <c r="N41"/>
      <c r="O41" s="16">
        <v>1028583</v>
      </c>
    </row>
    <row r="42" spans="1:22">
      <c r="A42" s="16" t="s">
        <v>523</v>
      </c>
      <c r="B42" t="s">
        <v>734</v>
      </c>
      <c r="C42" s="16">
        <v>104602</v>
      </c>
      <c r="D42" s="711">
        <v>107534</v>
      </c>
      <c r="E42" s="16">
        <f t="shared" si="9"/>
        <v>7</v>
      </c>
      <c r="F42" s="639">
        <v>2844321.0025211899</v>
      </c>
      <c r="G42" s="158">
        <f t="shared" si="10"/>
        <v>3.7806562587233465E-2</v>
      </c>
      <c r="H42" s="158">
        <f t="shared" si="11"/>
        <v>2.803005678667712E-2</v>
      </c>
      <c r="J42" s="246"/>
      <c r="M42" t="s">
        <v>1665</v>
      </c>
      <c r="N42"/>
      <c r="O42" s="16">
        <v>1080771</v>
      </c>
    </row>
    <row r="43" spans="1:22">
      <c r="A43" s="16" t="s">
        <v>523</v>
      </c>
      <c r="B43" t="s">
        <v>738</v>
      </c>
      <c r="C43" s="16">
        <v>57159</v>
      </c>
      <c r="D43" s="711">
        <v>59771</v>
      </c>
      <c r="E43" s="16">
        <f t="shared" si="9"/>
        <v>11</v>
      </c>
      <c r="F43" s="639">
        <v>2109354</v>
      </c>
      <c r="G43" s="158">
        <f t="shared" si="10"/>
        <v>2.8336163583732272E-2</v>
      </c>
      <c r="H43" s="158">
        <f t="shared" si="11"/>
        <v>4.5697090571913436E-2</v>
      </c>
      <c r="I43" s="640">
        <f>F43+F42</f>
        <v>4953675.0025211899</v>
      </c>
      <c r="J43" s="246"/>
      <c r="M43"/>
      <c r="N43"/>
      <c r="O43" s="16">
        <f>SUM(O41:O42)</f>
        <v>2109354</v>
      </c>
    </row>
    <row r="44" spans="1:22">
      <c r="A44" s="16" t="s">
        <v>524</v>
      </c>
      <c r="B44" s="16" t="s">
        <v>749</v>
      </c>
      <c r="C44" s="16">
        <v>88789</v>
      </c>
      <c r="D44" s="711">
        <v>91602</v>
      </c>
      <c r="E44" s="16">
        <f t="shared" si="9"/>
        <v>12</v>
      </c>
      <c r="F44" s="639">
        <v>3243870</v>
      </c>
      <c r="G44" s="158">
        <f t="shared" si="10"/>
        <v>2.8238492911244903E-2</v>
      </c>
      <c r="H44" s="158">
        <f t="shared" si="11"/>
        <v>3.1681852481726343E-2</v>
      </c>
      <c r="J44" s="246"/>
      <c r="M44"/>
      <c r="N44"/>
    </row>
    <row r="45" spans="1:22">
      <c r="A45" s="16" t="s">
        <v>524</v>
      </c>
      <c r="B45" t="s">
        <v>731</v>
      </c>
      <c r="C45" s="16">
        <v>178368</v>
      </c>
      <c r="D45" s="711">
        <v>186073</v>
      </c>
      <c r="E45" s="16">
        <f t="shared" si="9"/>
        <v>1</v>
      </c>
      <c r="F45" s="639">
        <v>3156057</v>
      </c>
      <c r="G45" s="158">
        <f t="shared" si="10"/>
        <v>5.8957426941275141E-2</v>
      </c>
      <c r="H45" s="158">
        <f t="shared" si="11"/>
        <v>4.3197210261930394E-2</v>
      </c>
      <c r="I45" s="640">
        <f>F45+F44</f>
        <v>6399927</v>
      </c>
      <c r="J45" s="246"/>
      <c r="M45"/>
      <c r="N45"/>
    </row>
    <row r="46" spans="1:22">
      <c r="A46" t="s">
        <v>503</v>
      </c>
      <c r="B46" t="s">
        <v>503</v>
      </c>
      <c r="C46" s="16">
        <v>2429147</v>
      </c>
      <c r="D46" s="711">
        <v>2506794</v>
      </c>
      <c r="E46" s="16" t="s">
        <v>1245</v>
      </c>
      <c r="F46" s="639">
        <v>63697865.002521187</v>
      </c>
      <c r="G46" s="158">
        <f t="shared" si="10"/>
        <v>3.9354443039822135E-2</v>
      </c>
      <c r="H46" s="158">
        <f t="shared" si="11"/>
        <v>3.1964718479367452E-2</v>
      </c>
      <c r="I46" s="61"/>
      <c r="L46" s="642"/>
      <c r="M46" t="s">
        <v>1667</v>
      </c>
      <c r="O46" s="16" t="s">
        <v>1666</v>
      </c>
    </row>
    <row r="47" spans="1:22">
      <c r="B47"/>
      <c r="G47" s="249"/>
      <c r="H47" s="158"/>
      <c r="I47" s="61"/>
      <c r="M47" t="s">
        <v>1659</v>
      </c>
      <c r="N47" s="250" t="s">
        <v>1668</v>
      </c>
      <c r="O47" s="16">
        <v>619497</v>
      </c>
    </row>
    <row r="48" spans="1:22">
      <c r="A48" s="16" t="s">
        <v>465</v>
      </c>
      <c r="B48" s="16" t="s">
        <v>465</v>
      </c>
      <c r="C48" s="16">
        <v>42296</v>
      </c>
      <c r="D48" s="711">
        <v>44501</v>
      </c>
      <c r="F48" s="639">
        <v>1080771</v>
      </c>
      <c r="G48" s="158">
        <f t="shared" ref="G48" si="12">D48/F48</f>
        <v>4.117523508680377E-2</v>
      </c>
      <c r="H48" s="158">
        <f t="shared" ref="H48" si="13">(D48-C48)/C48</f>
        <v>5.2132589370153207E-2</v>
      </c>
      <c r="I48" s="61"/>
      <c r="M48" t="s">
        <v>1659</v>
      </c>
      <c r="N48" s="250" t="s">
        <v>496</v>
      </c>
      <c r="O48" s="16">
        <v>1779845</v>
      </c>
    </row>
    <row r="49" spans="1:15">
      <c r="A49" s="16" t="s">
        <v>473</v>
      </c>
      <c r="B49" s="16" t="s">
        <v>473</v>
      </c>
      <c r="C49" s="16">
        <v>61340</v>
      </c>
      <c r="D49" s="711">
        <v>63085</v>
      </c>
      <c r="F49" s="639">
        <v>1109460</v>
      </c>
      <c r="G49" s="158">
        <f t="shared" ref="G49:G62" si="14">D49/F49</f>
        <v>5.6860995439222684E-2</v>
      </c>
      <c r="H49" s="158">
        <f t="shared" ref="H49:H62" si="15">(D49-C49)/C49</f>
        <v>2.844799478317574E-2</v>
      </c>
      <c r="I49" s="61"/>
      <c r="M49" t="s">
        <v>1659</v>
      </c>
      <c r="N49" s="250" t="s">
        <v>1161</v>
      </c>
      <c r="O49" s="16">
        <v>756715</v>
      </c>
    </row>
    <row r="50" spans="1:15">
      <c r="A50" s="16" t="s">
        <v>466</v>
      </c>
      <c r="B50" s="16" t="s">
        <v>466</v>
      </c>
      <c r="C50" s="16">
        <v>92205</v>
      </c>
      <c r="D50" s="711">
        <v>94678</v>
      </c>
      <c r="F50" s="639">
        <v>1993177.0025211901</v>
      </c>
      <c r="G50" s="158">
        <f t="shared" si="14"/>
        <v>4.7501049771415595E-2</v>
      </c>
      <c r="H50" s="158">
        <f t="shared" si="15"/>
        <v>2.6820671330188169E-2</v>
      </c>
      <c r="I50" s="61"/>
      <c r="L50" s="642"/>
      <c r="O50" s="16">
        <f>SUM(O47:O49)</f>
        <v>3156057</v>
      </c>
    </row>
    <row r="51" spans="1:15">
      <c r="A51" s="16" t="s">
        <v>116</v>
      </c>
      <c r="B51" s="16" t="s">
        <v>116</v>
      </c>
      <c r="C51" s="16">
        <v>89668</v>
      </c>
      <c r="D51" s="711">
        <v>92891</v>
      </c>
      <c r="F51" s="639">
        <v>1505517</v>
      </c>
      <c r="G51" s="158">
        <f t="shared" si="14"/>
        <v>6.1700399264837259E-2</v>
      </c>
      <c r="H51" s="158">
        <f t="shared" si="15"/>
        <v>3.5943703439354061E-2</v>
      </c>
      <c r="M51" t="s">
        <v>1669</v>
      </c>
      <c r="O51" s="16" t="s">
        <v>1666</v>
      </c>
    </row>
    <row r="52" spans="1:15">
      <c r="A52" s="16" t="s">
        <v>467</v>
      </c>
      <c r="B52" s="16" t="s">
        <v>467</v>
      </c>
      <c r="C52" s="16">
        <v>109533</v>
      </c>
      <c r="D52" s="711">
        <v>112270</v>
      </c>
      <c r="F52" s="639">
        <v>1298562</v>
      </c>
      <c r="G52" s="158">
        <f t="shared" si="14"/>
        <v>8.6457173396418494E-2</v>
      </c>
      <c r="H52" s="158">
        <f t="shared" si="15"/>
        <v>2.4987903188993271E-2</v>
      </c>
      <c r="L52" s="642"/>
      <c r="M52" t="s">
        <v>1659</v>
      </c>
      <c r="N52" s="16">
        <v>7</v>
      </c>
      <c r="O52" s="16">
        <v>320379</v>
      </c>
    </row>
    <row r="53" spans="1:15">
      <c r="A53" s="16" t="s">
        <v>468</v>
      </c>
      <c r="B53" s="16" t="s">
        <v>468</v>
      </c>
      <c r="C53" s="16">
        <v>75516</v>
      </c>
      <c r="D53" s="711">
        <v>78646</v>
      </c>
      <c r="F53" s="639">
        <v>1092331</v>
      </c>
      <c r="G53" s="158">
        <f t="shared" si="14"/>
        <v>7.1998322852688423E-2</v>
      </c>
      <c r="H53" s="158">
        <f t="shared" si="15"/>
        <v>4.1448169924254465E-2</v>
      </c>
      <c r="M53" t="s">
        <v>1659</v>
      </c>
      <c r="N53" s="16">
        <v>26</v>
      </c>
      <c r="O53" s="16">
        <v>494712</v>
      </c>
    </row>
    <row r="54" spans="1:15">
      <c r="A54" s="16" t="s">
        <v>469</v>
      </c>
      <c r="B54" s="16" t="s">
        <v>469</v>
      </c>
      <c r="C54" s="16">
        <v>68325</v>
      </c>
      <c r="D54" s="711">
        <v>70685</v>
      </c>
      <c r="F54" s="639">
        <v>1019923</v>
      </c>
      <c r="G54" s="158">
        <f t="shared" si="14"/>
        <v>6.930425139937034E-2</v>
      </c>
      <c r="H54" s="158">
        <f t="shared" si="15"/>
        <v>3.4540797658251007E-2</v>
      </c>
      <c r="L54" s="642"/>
      <c r="M54" t="s">
        <v>1659</v>
      </c>
      <c r="N54" s="16">
        <v>38</v>
      </c>
      <c r="O54" s="16">
        <v>1235387</v>
      </c>
    </row>
    <row r="55" spans="1:15">
      <c r="A55" s="16" t="s">
        <v>470</v>
      </c>
      <c r="B55" s="16" t="s">
        <v>470</v>
      </c>
      <c r="C55" s="16">
        <v>60169</v>
      </c>
      <c r="D55" s="711">
        <v>61961</v>
      </c>
      <c r="F55" s="639">
        <v>1235387</v>
      </c>
      <c r="G55" s="158">
        <f t="shared" si="14"/>
        <v>5.0155133573527973E-2</v>
      </c>
      <c r="H55" s="158">
        <f t="shared" si="15"/>
        <v>2.9782778507204708E-2</v>
      </c>
      <c r="L55" s="642"/>
      <c r="M55" t="s">
        <v>1659</v>
      </c>
      <c r="N55" s="16">
        <v>73</v>
      </c>
      <c r="O55" s="16">
        <v>423715</v>
      </c>
    </row>
    <row r="56" spans="1:15">
      <c r="A56" s="16" t="s">
        <v>471</v>
      </c>
      <c r="B56" s="16" t="s">
        <v>471</v>
      </c>
      <c r="C56" s="16">
        <v>59505</v>
      </c>
      <c r="D56" s="711">
        <v>60590</v>
      </c>
      <c r="F56" s="639">
        <v>1328620</v>
      </c>
      <c r="G56" s="158">
        <f t="shared" si="14"/>
        <v>4.5603709111709897E-2</v>
      </c>
      <c r="H56" s="158">
        <f t="shared" si="15"/>
        <v>1.8233761868750524E-2</v>
      </c>
      <c r="L56" s="642"/>
      <c r="M56" t="s">
        <v>1659</v>
      </c>
      <c r="N56" s="16">
        <v>74</v>
      </c>
      <c r="O56" s="16">
        <v>769677</v>
      </c>
    </row>
    <row r="57" spans="1:15">
      <c r="A57" s="16" t="s">
        <v>472</v>
      </c>
      <c r="B57" s="16" t="s">
        <v>472</v>
      </c>
      <c r="C57" s="16">
        <v>136421</v>
      </c>
      <c r="D57" s="711">
        <v>143312</v>
      </c>
      <c r="F57" s="639">
        <v>2595536</v>
      </c>
      <c r="G57" s="158">
        <f t="shared" si="14"/>
        <v>5.5214799563558355E-2</v>
      </c>
      <c r="H57" s="158">
        <f t="shared" si="15"/>
        <v>5.0512750969425528E-2</v>
      </c>
      <c r="L57" s="642"/>
      <c r="O57" s="16">
        <f>SUM(O52:O56)</f>
        <v>3243870</v>
      </c>
    </row>
    <row r="58" spans="1:15">
      <c r="A58" s="16" t="s">
        <v>478</v>
      </c>
      <c r="B58" s="16" t="s">
        <v>478</v>
      </c>
      <c r="C58" s="16">
        <v>28094</v>
      </c>
      <c r="D58" s="711">
        <v>28452</v>
      </c>
      <c r="F58" s="639">
        <v>1465205</v>
      </c>
      <c r="G58" s="158">
        <f t="shared" si="14"/>
        <v>1.9418443153005893E-2</v>
      </c>
      <c r="H58" s="158">
        <f t="shared" si="15"/>
        <v>1.2742934434398804E-2</v>
      </c>
      <c r="M58" s="645"/>
    </row>
    <row r="59" spans="1:15">
      <c r="A59" s="16" t="s">
        <v>474</v>
      </c>
      <c r="B59" s="16" t="s">
        <v>474</v>
      </c>
      <c r="C59" s="16">
        <v>149341</v>
      </c>
      <c r="D59" s="711">
        <v>155368</v>
      </c>
      <c r="F59" s="639">
        <v>1779845</v>
      </c>
      <c r="G59" s="158">
        <f t="shared" si="14"/>
        <v>8.7292994614699596E-2</v>
      </c>
      <c r="H59" s="158">
        <f t="shared" si="15"/>
        <v>4.0357303084886269E-2</v>
      </c>
    </row>
    <row r="60" spans="1:15">
      <c r="A60" s="16" t="s">
        <v>475</v>
      </c>
      <c r="B60" s="16" t="s">
        <v>475</v>
      </c>
      <c r="C60" s="16">
        <v>54471</v>
      </c>
      <c r="D60" s="711">
        <v>57235</v>
      </c>
      <c r="F60" s="639">
        <v>1254609</v>
      </c>
      <c r="G60" s="158">
        <f t="shared" si="14"/>
        <v>4.5619790707702557E-2</v>
      </c>
      <c r="H60" s="158">
        <f t="shared" si="15"/>
        <v>5.0742596978208591E-2</v>
      </c>
    </row>
    <row r="61" spans="1:15">
      <c r="A61" s="16" t="s">
        <v>476</v>
      </c>
      <c r="B61" s="16" t="s">
        <v>476</v>
      </c>
      <c r="C61" s="16">
        <v>14863</v>
      </c>
      <c r="D61" s="711">
        <v>15270</v>
      </c>
      <c r="F61" s="639">
        <v>1028583</v>
      </c>
      <c r="G61" s="158">
        <f t="shared" si="14"/>
        <v>1.4845666319587237E-2</v>
      </c>
      <c r="H61" s="158">
        <f t="shared" si="15"/>
        <v>2.7383435376438135E-2</v>
      </c>
    </row>
    <row r="62" spans="1:15">
      <c r="A62" s="16" t="s">
        <v>477</v>
      </c>
      <c r="B62" s="16" t="s">
        <v>477</v>
      </c>
      <c r="C62" s="16">
        <v>10483</v>
      </c>
      <c r="D62" s="711">
        <v>10843</v>
      </c>
      <c r="F62" s="639">
        <v>549949</v>
      </c>
      <c r="G62" s="158">
        <f t="shared" si="14"/>
        <v>1.9716373700106739E-2</v>
      </c>
      <c r="H62" s="158">
        <f t="shared" si="15"/>
        <v>3.4341314509205377E-2</v>
      </c>
    </row>
    <row r="66" spans="1:17">
      <c r="A66" s="644"/>
      <c r="B66" s="638"/>
      <c r="C66" s="638"/>
      <c r="D66" s="638"/>
      <c r="E66" s="638"/>
      <c r="F66" s="638"/>
      <c r="G66" s="638"/>
      <c r="H66" s="638"/>
      <c r="I66" s="638"/>
      <c r="J66" s="638"/>
      <c r="K66" s="638"/>
      <c r="L66" s="638"/>
      <c r="P66" s="638"/>
      <c r="Q66" s="638"/>
    </row>
    <row r="67" spans="1:17" s="14" customFormat="1">
      <c r="A67" s="643"/>
      <c r="B67" s="643"/>
      <c r="C67" s="643"/>
      <c r="D67" s="643"/>
      <c r="E67" s="643"/>
      <c r="F67" s="643"/>
      <c r="G67" s="643"/>
      <c r="H67" s="643"/>
      <c r="I67" s="643"/>
      <c r="J67" s="643"/>
      <c r="K67" s="643"/>
      <c r="L67" s="643"/>
      <c r="M67" s="643"/>
      <c r="N67" s="643"/>
      <c r="O67" s="643"/>
      <c r="P67" s="643"/>
      <c r="Q67" s="643"/>
    </row>
    <row r="68" spans="1:17">
      <c r="A68" s="638"/>
      <c r="B68" s="638"/>
      <c r="C68" s="638"/>
      <c r="D68" s="638"/>
      <c r="E68" s="638"/>
      <c r="F68" s="638"/>
      <c r="G68" s="638"/>
      <c r="H68" s="638"/>
      <c r="I68" s="638"/>
      <c r="J68" s="638"/>
      <c r="K68" s="638"/>
      <c r="L68" s="638"/>
      <c r="M68" s="638"/>
      <c r="N68" s="638"/>
      <c r="O68" s="638"/>
      <c r="P68" s="638"/>
      <c r="Q68" s="638"/>
    </row>
    <row r="69" spans="1:17">
      <c r="A69" s="638"/>
      <c r="B69" s="638"/>
      <c r="C69" s="638"/>
      <c r="D69" s="638"/>
      <c r="E69" s="638"/>
      <c r="F69" s="638"/>
      <c r="G69" s="638"/>
      <c r="H69" s="638"/>
      <c r="I69" s="638"/>
      <c r="J69" s="638"/>
      <c r="K69" s="638"/>
      <c r="L69" s="638"/>
      <c r="M69" s="638"/>
      <c r="N69" s="638"/>
      <c r="O69" s="638"/>
      <c r="P69" s="638"/>
      <c r="Q69" s="638"/>
    </row>
    <row r="70" spans="1:17">
      <c r="A70" s="638"/>
      <c r="B70" s="638"/>
      <c r="C70" s="638"/>
      <c r="D70" s="638"/>
      <c r="E70" s="638"/>
      <c r="F70" s="638"/>
      <c r="G70" s="638"/>
      <c r="H70" s="638"/>
      <c r="I70" s="638"/>
      <c r="J70" s="638"/>
      <c r="K70" s="638"/>
      <c r="L70" s="638"/>
      <c r="M70" s="638"/>
      <c r="N70" s="638"/>
      <c r="O70" s="638"/>
      <c r="P70" s="638"/>
      <c r="Q70" s="638"/>
    </row>
    <row r="71" spans="1:17">
      <c r="A71" s="638"/>
      <c r="B71" s="638"/>
      <c r="C71" s="638"/>
      <c r="D71" s="638"/>
      <c r="E71" s="638"/>
      <c r="F71" s="638"/>
      <c r="G71" s="638"/>
      <c r="H71" s="638"/>
      <c r="I71" s="638"/>
      <c r="J71" s="638"/>
      <c r="K71" s="638"/>
      <c r="L71" s="638"/>
      <c r="M71" s="638"/>
      <c r="N71" s="638"/>
      <c r="O71" s="638"/>
      <c r="P71" s="638"/>
      <c r="Q71" s="638"/>
    </row>
    <row r="72" spans="1:17">
      <c r="A72" s="638"/>
      <c r="B72" s="638"/>
      <c r="C72" s="638"/>
      <c r="D72" s="638"/>
      <c r="E72" s="638"/>
      <c r="F72" s="638"/>
      <c r="G72" s="638"/>
      <c r="H72" s="638"/>
      <c r="I72" s="638"/>
      <c r="J72" s="638"/>
      <c r="K72" s="638"/>
      <c r="L72" s="638"/>
      <c r="M72" s="638"/>
      <c r="N72" s="638"/>
      <c r="O72" s="638"/>
      <c r="P72" s="638"/>
      <c r="Q72" s="638"/>
    </row>
    <row r="73" spans="1:17">
      <c r="A73" s="638"/>
      <c r="B73" s="638"/>
      <c r="C73" s="638"/>
      <c r="D73" s="638"/>
      <c r="E73" s="638"/>
      <c r="F73" s="638"/>
      <c r="G73" s="638"/>
      <c r="H73" s="638"/>
      <c r="I73" s="638"/>
      <c r="J73" s="638"/>
      <c r="K73" s="638"/>
      <c r="L73" s="638"/>
      <c r="M73" s="638"/>
      <c r="N73" s="638"/>
      <c r="O73" s="638"/>
      <c r="P73" s="638"/>
      <c r="Q73" s="638"/>
    </row>
    <row r="74" spans="1:17">
      <c r="A74" s="638"/>
      <c r="B74" s="638"/>
      <c r="C74" s="638"/>
      <c r="D74" s="638"/>
      <c r="E74" s="638"/>
      <c r="F74" s="638"/>
      <c r="G74" s="638"/>
      <c r="H74" s="638"/>
      <c r="I74" s="638"/>
      <c r="J74" s="638"/>
      <c r="K74" s="638"/>
      <c r="L74" s="638"/>
      <c r="M74" s="638"/>
      <c r="N74" s="638"/>
      <c r="O74" s="638"/>
      <c r="P74" s="638"/>
      <c r="Q74" s="638"/>
    </row>
    <row r="75" spans="1:17">
      <c r="A75" s="638"/>
      <c r="B75" s="638"/>
      <c r="C75" s="638"/>
      <c r="D75" s="638"/>
      <c r="E75" s="638"/>
      <c r="F75" s="638"/>
      <c r="G75" s="638"/>
      <c r="H75" s="638"/>
      <c r="I75" s="638"/>
      <c r="J75" s="638"/>
      <c r="K75" s="638"/>
      <c r="L75" s="638"/>
      <c r="M75" s="638"/>
      <c r="N75" s="638"/>
      <c r="O75" s="638"/>
      <c r="P75" s="638"/>
      <c r="Q75" s="638"/>
    </row>
    <row r="76" spans="1:17">
      <c r="A76" s="638"/>
      <c r="B76" s="638"/>
      <c r="C76" s="638"/>
      <c r="D76" s="638"/>
      <c r="E76" s="638"/>
      <c r="F76" s="638"/>
      <c r="G76" s="638"/>
      <c r="H76" s="638"/>
      <c r="I76" s="638"/>
      <c r="J76" s="638"/>
      <c r="K76" s="638"/>
      <c r="L76" s="638"/>
      <c r="M76" s="638"/>
      <c r="N76" s="638"/>
      <c r="O76" s="638"/>
      <c r="P76" s="638"/>
      <c r="Q76" s="638"/>
    </row>
    <row r="77" spans="1:17">
      <c r="A77" s="638"/>
      <c r="B77" s="638"/>
      <c r="C77" s="638"/>
      <c r="D77" s="638"/>
      <c r="E77" s="638"/>
      <c r="F77" s="638"/>
      <c r="G77" s="638"/>
      <c r="H77" s="638"/>
      <c r="I77" s="638"/>
      <c r="J77" s="638"/>
      <c r="K77" s="638"/>
      <c r="L77" s="638"/>
      <c r="M77" s="638"/>
      <c r="N77" s="638"/>
      <c r="O77" s="638"/>
      <c r="P77" s="638"/>
      <c r="Q77" s="638"/>
    </row>
    <row r="78" spans="1:17">
      <c r="A78" s="638"/>
      <c r="B78" s="638"/>
      <c r="C78" s="638"/>
      <c r="D78" s="638"/>
      <c r="E78" s="638"/>
      <c r="F78" s="638"/>
      <c r="G78" s="638"/>
      <c r="H78" s="638"/>
      <c r="I78" s="638"/>
      <c r="J78" s="638"/>
      <c r="K78" s="638"/>
      <c r="L78" s="638"/>
      <c r="M78" s="638"/>
      <c r="N78" s="638"/>
      <c r="O78" s="638"/>
      <c r="P78" s="638"/>
      <c r="Q78" s="638"/>
    </row>
    <row r="79" spans="1:17">
      <c r="A79" s="638"/>
      <c r="B79" s="638"/>
      <c r="C79" s="638"/>
      <c r="D79" s="638"/>
      <c r="E79" s="638"/>
      <c r="F79" s="638"/>
      <c r="G79" s="638"/>
      <c r="H79" s="638"/>
      <c r="I79" s="638"/>
      <c r="J79" s="638"/>
      <c r="K79" s="638"/>
      <c r="L79" s="638"/>
      <c r="M79" s="638"/>
      <c r="N79" s="638"/>
      <c r="O79" s="638"/>
      <c r="P79" s="638"/>
      <c r="Q79" s="638"/>
    </row>
  </sheetData>
  <sortState ref="R47:T61">
    <sortCondition ref="R47:R61"/>
  </sortState>
  <mergeCells count="2">
    <mergeCell ref="S19:V21"/>
    <mergeCell ref="S33:V35"/>
  </mergeCells>
  <hyperlinks>
    <hyperlink ref="A2"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J53"/>
  <sheetViews>
    <sheetView topLeftCell="A19" workbookViewId="0">
      <selection activeCell="A24" sqref="A24:U31"/>
    </sheetView>
  </sheetViews>
  <sheetFormatPr baseColWidth="10" defaultRowHeight="15"/>
  <cols>
    <col min="1" max="1" width="25.7109375" customWidth="1"/>
    <col min="2" max="2" width="10.42578125" customWidth="1"/>
    <col min="6" max="6" width="19" customWidth="1"/>
    <col min="10" max="10" width="12" bestFit="1" customWidth="1"/>
    <col min="11" max="11" width="13.5703125" bestFit="1" customWidth="1"/>
    <col min="13" max="13" width="11.28515625" customWidth="1"/>
  </cols>
  <sheetData>
    <row r="3" spans="1:62" s="171" customFormat="1">
      <c r="A3" s="252" t="s">
        <v>755</v>
      </c>
    </row>
    <row r="4" spans="1:62" s="254" customFormat="1">
      <c r="A4" s="253" t="s">
        <v>1176</v>
      </c>
    </row>
    <row r="5" spans="1:62">
      <c r="A5" t="s">
        <v>756</v>
      </c>
    </row>
    <row r="7" spans="1:62" s="800" customFormat="1">
      <c r="A7" s="800" t="s">
        <v>1938</v>
      </c>
      <c r="B7" s="801" t="s">
        <v>1939</v>
      </c>
      <c r="U7" s="800" t="s">
        <v>1935</v>
      </c>
    </row>
    <row r="8" spans="1:62" ht="46.5" customHeight="1">
      <c r="D8">
        <v>2013</v>
      </c>
      <c r="E8">
        <v>2012</v>
      </c>
      <c r="U8" t="s">
        <v>761</v>
      </c>
      <c r="Y8" s="969" t="s">
        <v>762</v>
      </c>
      <c r="Z8" s="969"/>
      <c r="AB8" s="969" t="s">
        <v>763</v>
      </c>
      <c r="AC8" s="969"/>
      <c r="AE8" s="969" t="s">
        <v>764</v>
      </c>
      <c r="AF8" s="969"/>
      <c r="AG8" s="969"/>
      <c r="AH8" s="969"/>
      <c r="AJ8" s="969" t="s">
        <v>765</v>
      </c>
      <c r="AK8" s="969"/>
      <c r="AL8" s="969"/>
      <c r="AM8" s="969"/>
      <c r="AP8" t="s">
        <v>757</v>
      </c>
      <c r="AU8" t="s">
        <v>758</v>
      </c>
      <c r="AZ8" t="s">
        <v>759</v>
      </c>
      <c r="BG8" t="s">
        <v>760</v>
      </c>
    </row>
    <row r="9" spans="1:62" s="59" customFormat="1" ht="105">
      <c r="A9" s="787"/>
      <c r="B9" s="796" t="s">
        <v>1177</v>
      </c>
      <c r="C9" s="796" t="s">
        <v>1178</v>
      </c>
      <c r="D9" s="796" t="s">
        <v>1185</v>
      </c>
      <c r="E9" s="796" t="s">
        <v>1186</v>
      </c>
      <c r="F9" s="796" t="s">
        <v>1179</v>
      </c>
      <c r="G9" s="796" t="s">
        <v>1183</v>
      </c>
      <c r="H9" s="796" t="s">
        <v>204</v>
      </c>
      <c r="I9" s="796" t="s">
        <v>1184</v>
      </c>
      <c r="J9" s="796" t="s">
        <v>1180</v>
      </c>
      <c r="K9" s="796" t="s">
        <v>1181</v>
      </c>
      <c r="L9" s="796" t="s">
        <v>1937</v>
      </c>
      <c r="M9" s="796"/>
      <c r="N9" s="796"/>
      <c r="O9" s="796" t="s">
        <v>1930</v>
      </c>
      <c r="P9" s="796" t="s">
        <v>1931</v>
      </c>
      <c r="Q9" s="796"/>
      <c r="R9" s="796" t="s">
        <v>1930</v>
      </c>
      <c r="S9" s="796" t="s">
        <v>1932</v>
      </c>
      <c r="U9" s="59" t="s">
        <v>775</v>
      </c>
      <c r="V9" s="59" t="s">
        <v>776</v>
      </c>
      <c r="W9" s="59" t="s">
        <v>778</v>
      </c>
      <c r="X9" s="59" t="s">
        <v>779</v>
      </c>
      <c r="Z9" s="59" t="s">
        <v>778</v>
      </c>
      <c r="AA9" s="59" t="s">
        <v>780</v>
      </c>
      <c r="AC9" s="59" t="s">
        <v>778</v>
      </c>
      <c r="AD9" s="59" t="s">
        <v>781</v>
      </c>
      <c r="AF9" s="59" t="s">
        <v>770</v>
      </c>
      <c r="AG9" s="59" t="s">
        <v>771</v>
      </c>
      <c r="AH9" s="59" t="s">
        <v>782</v>
      </c>
      <c r="AI9" s="59" t="s">
        <v>783</v>
      </c>
      <c r="AK9" s="59" t="s">
        <v>766</v>
      </c>
      <c r="AL9" s="59" t="s">
        <v>767</v>
      </c>
      <c r="AM9" s="59" t="s">
        <v>784</v>
      </c>
      <c r="AN9" s="59" t="s">
        <v>785</v>
      </c>
      <c r="AQ9" s="59" t="s">
        <v>766</v>
      </c>
      <c r="AR9" s="59" t="s">
        <v>767</v>
      </c>
      <c r="AS9" s="59" t="s">
        <v>768</v>
      </c>
      <c r="AT9" s="59" t="s">
        <v>769</v>
      </c>
      <c r="AV9" s="59" t="s">
        <v>770</v>
      </c>
      <c r="AW9" s="59" t="s">
        <v>771</v>
      </c>
      <c r="AX9" s="59" t="s">
        <v>772</v>
      </c>
      <c r="AY9" s="59" t="s">
        <v>773</v>
      </c>
      <c r="BA9" s="59" t="s">
        <v>770</v>
      </c>
      <c r="BB9" s="59" t="s">
        <v>771</v>
      </c>
      <c r="BC9" s="59" t="s">
        <v>772</v>
      </c>
      <c r="BD9" s="59" t="s">
        <v>774</v>
      </c>
      <c r="BG9" s="59" t="s">
        <v>775</v>
      </c>
      <c r="BH9" s="59" t="s">
        <v>776</v>
      </c>
      <c r="BI9" s="59" t="s">
        <v>768</v>
      </c>
      <c r="BJ9" s="59" t="s">
        <v>777</v>
      </c>
    </row>
    <row r="10" spans="1:62">
      <c r="A10" s="787" t="s">
        <v>1834</v>
      </c>
      <c r="B10" s="797"/>
      <c r="C10" s="797"/>
      <c r="D10" s="790">
        <v>35514.650479999997</v>
      </c>
      <c r="E10" s="790">
        <v>35197.202299999997</v>
      </c>
      <c r="F10" s="791">
        <v>13.471855821380647</v>
      </c>
      <c r="G10" s="798">
        <f>(D10/S10)*1000</f>
        <v>4.578049057729876</v>
      </c>
      <c r="H10" s="797">
        <f>RANK(G10,$G$10:$G$23)</f>
        <v>3</v>
      </c>
      <c r="I10" s="798">
        <f>D10/P10</f>
        <v>9.6920073479407273E-3</v>
      </c>
      <c r="J10" s="798">
        <v>0.60499212323938945</v>
      </c>
      <c r="K10" s="798">
        <v>0.39500787676061061</v>
      </c>
      <c r="L10" s="797">
        <f>(D10-E10)/E10</f>
        <v>9.0191310461058844E-3</v>
      </c>
      <c r="M10" s="797"/>
      <c r="N10" s="797"/>
      <c r="O10" s="797" t="s">
        <v>1834</v>
      </c>
      <c r="P10" s="741">
        <v>3664323.5198893901</v>
      </c>
      <c r="Q10" s="797"/>
      <c r="R10" s="797" t="s">
        <v>1834</v>
      </c>
      <c r="S10" s="797">
        <v>7757595</v>
      </c>
      <c r="U10">
        <v>11</v>
      </c>
      <c r="V10">
        <v>78</v>
      </c>
      <c r="W10" s="16">
        <v>9890.3333333333339</v>
      </c>
      <c r="X10" s="22">
        <v>2.4927580551933648</v>
      </c>
      <c r="Z10" s="16">
        <v>66627</v>
      </c>
      <c r="AA10" s="22">
        <v>2.9933956330308202</v>
      </c>
      <c r="AC10" s="16">
        <v>2748</v>
      </c>
      <c r="AD10" s="22">
        <v>3.8488293377529827</v>
      </c>
      <c r="AF10">
        <v>10</v>
      </c>
      <c r="AG10">
        <v>99</v>
      </c>
      <c r="AH10" s="16">
        <v>1577.0728403999999</v>
      </c>
      <c r="AI10" s="22">
        <v>3.0589949894999999</v>
      </c>
      <c r="AK10">
        <v>6</v>
      </c>
      <c r="AL10">
        <v>46</v>
      </c>
      <c r="AM10" s="16">
        <v>328.10340264000001</v>
      </c>
      <c r="AN10" s="22">
        <v>3.8518713357999999</v>
      </c>
      <c r="AP10" t="s">
        <v>786</v>
      </c>
      <c r="AQ10">
        <v>12</v>
      </c>
      <c r="AR10">
        <v>86</v>
      </c>
      <c r="AS10" s="16">
        <v>46267.5</v>
      </c>
      <c r="AT10" s="22">
        <v>2.6394816364415332</v>
      </c>
      <c r="AU10" t="s">
        <v>786</v>
      </c>
      <c r="AV10">
        <v>13</v>
      </c>
      <c r="AW10">
        <v>99</v>
      </c>
      <c r="AX10" s="16">
        <v>1856.82</v>
      </c>
      <c r="AY10" s="22">
        <v>2.8440468657972593</v>
      </c>
      <c r="AZ10" t="s">
        <v>786</v>
      </c>
      <c r="BA10">
        <v>12</v>
      </c>
      <c r="BB10">
        <v>100</v>
      </c>
      <c r="BC10" s="16">
        <v>889.6</v>
      </c>
      <c r="BD10" s="22">
        <v>3.0658841126133423</v>
      </c>
      <c r="BF10" t="s">
        <v>786</v>
      </c>
      <c r="BG10">
        <v>10</v>
      </c>
      <c r="BH10">
        <v>83</v>
      </c>
      <c r="BI10" s="16">
        <v>803.85666666666668</v>
      </c>
      <c r="BJ10" s="22">
        <v>2.0744971195908102</v>
      </c>
    </row>
    <row r="11" spans="1:62">
      <c r="A11" s="787" t="s">
        <v>1927</v>
      </c>
      <c r="B11" s="797"/>
      <c r="C11" s="797"/>
      <c r="D11" s="790">
        <v>6094.3578000000007</v>
      </c>
      <c r="E11" s="790">
        <v>5199.3082000000004</v>
      </c>
      <c r="F11" s="791">
        <v>2.3117870652209378</v>
      </c>
      <c r="G11" s="798">
        <f t="shared" ref="G11:G23" si="0">(D11/S11)*1000</f>
        <v>2.1612860989657721</v>
      </c>
      <c r="H11" s="797">
        <f t="shared" ref="H11:H23" si="1">RANK(G11,$G$10:$G$23)</f>
        <v>8</v>
      </c>
      <c r="I11" s="798">
        <f t="shared" ref="I11:I23" si="2">D11/P11</f>
        <v>4.7345807328365826E-3</v>
      </c>
      <c r="J11" s="798">
        <v>0.67234611659984911</v>
      </c>
      <c r="K11" s="798">
        <v>0.32765388340015084</v>
      </c>
      <c r="L11" s="797">
        <f t="shared" ref="L11:L23" si="3">(D11-E11)/E11</f>
        <v>0.17214782535876605</v>
      </c>
      <c r="M11" s="797"/>
      <c r="N11" s="797"/>
      <c r="O11" s="797" t="s">
        <v>1873</v>
      </c>
      <c r="P11" s="741">
        <v>1287201.1575877699</v>
      </c>
      <c r="Q11" s="797"/>
      <c r="R11" s="797" t="s">
        <v>1873</v>
      </c>
      <c r="S11" s="797">
        <v>2819783</v>
      </c>
      <c r="U11">
        <v>7</v>
      </c>
      <c r="V11">
        <v>54</v>
      </c>
      <c r="W11" s="16">
        <v>13460.666666666666</v>
      </c>
      <c r="X11" s="22">
        <v>3.3926243060502999</v>
      </c>
      <c r="Z11" s="16">
        <v>101462.33333333333</v>
      </c>
      <c r="AA11" s="22">
        <v>4.558465869949381</v>
      </c>
      <c r="AC11" s="16">
        <v>2929</v>
      </c>
      <c r="AD11" s="22">
        <v>4.1023366558509773</v>
      </c>
      <c r="AF11">
        <v>7</v>
      </c>
      <c r="AG11">
        <v>72</v>
      </c>
      <c r="AH11" s="16">
        <v>1999.7537026</v>
      </c>
      <c r="AI11" s="22">
        <v>3.8788547998</v>
      </c>
      <c r="AK11">
        <v>9</v>
      </c>
      <c r="AL11">
        <v>73</v>
      </c>
      <c r="AM11" s="16">
        <v>216.18492664999999</v>
      </c>
      <c r="AN11" s="22">
        <v>2.5379697847</v>
      </c>
      <c r="AP11" t="s">
        <v>74</v>
      </c>
      <c r="AQ11">
        <v>6</v>
      </c>
      <c r="AR11">
        <v>40</v>
      </c>
      <c r="AS11" s="16">
        <v>76851.5</v>
      </c>
      <c r="AT11" s="22">
        <v>4.3842464577292155</v>
      </c>
      <c r="AU11" t="s">
        <v>74</v>
      </c>
      <c r="AV11">
        <v>6</v>
      </c>
      <c r="AW11">
        <v>37</v>
      </c>
      <c r="AX11" s="16">
        <v>3279.2056666666667</v>
      </c>
      <c r="AY11" s="22">
        <v>5.0226810345579782</v>
      </c>
      <c r="AZ11" t="s">
        <v>74</v>
      </c>
      <c r="BA11">
        <v>6</v>
      </c>
      <c r="BB11">
        <v>36</v>
      </c>
      <c r="BC11" s="16">
        <v>1443.7</v>
      </c>
      <c r="BD11" s="22">
        <v>4.9755135941770261</v>
      </c>
      <c r="BF11" t="s">
        <v>74</v>
      </c>
      <c r="BG11">
        <v>7</v>
      </c>
      <c r="BH11">
        <v>62</v>
      </c>
      <c r="BI11" s="16">
        <v>1173.4783333333332</v>
      </c>
      <c r="BJ11" s="22">
        <v>3.0283724989142651</v>
      </c>
    </row>
    <row r="12" spans="1:62">
      <c r="A12" s="787" t="s">
        <v>788</v>
      </c>
      <c r="B12" s="797"/>
      <c r="C12" s="797"/>
      <c r="D12" s="790">
        <v>10667.701640000001</v>
      </c>
      <c r="E12" s="790">
        <v>10790.946100000001</v>
      </c>
      <c r="F12" s="791">
        <v>4.0466043308104069</v>
      </c>
      <c r="G12" s="798">
        <f t="shared" si="0"/>
        <v>3.273599510480691</v>
      </c>
      <c r="H12" s="797">
        <f t="shared" si="1"/>
        <v>6</v>
      </c>
      <c r="I12" s="798">
        <f t="shared" si="2"/>
        <v>7.2539931575066529E-3</v>
      </c>
      <c r="J12" s="798">
        <v>0.61519348979467714</v>
      </c>
      <c r="K12" s="798">
        <v>0.38480651020532286</v>
      </c>
      <c r="L12" s="797">
        <f t="shared" si="3"/>
        <v>-1.1421098656029787E-2</v>
      </c>
      <c r="M12" s="797"/>
      <c r="N12" s="797"/>
      <c r="O12" s="797" t="s">
        <v>788</v>
      </c>
      <c r="P12" s="741">
        <v>1470597.14675368</v>
      </c>
      <c r="Q12" s="797"/>
      <c r="R12" s="797" t="s">
        <v>788</v>
      </c>
      <c r="S12" s="797">
        <v>3258707</v>
      </c>
      <c r="U12">
        <v>15</v>
      </c>
      <c r="V12">
        <v>122</v>
      </c>
      <c r="W12" s="16">
        <v>6188.333333333333</v>
      </c>
      <c r="X12" s="22">
        <v>1.5597065584127536</v>
      </c>
      <c r="Z12" s="16">
        <v>51963.333333333336</v>
      </c>
      <c r="AA12" s="22">
        <v>2.3345913079941294</v>
      </c>
      <c r="AC12" s="16">
        <v>1115.6666666666667</v>
      </c>
      <c r="AD12" s="22">
        <v>1.5625948318121339</v>
      </c>
      <c r="AF12">
        <v>16</v>
      </c>
      <c r="AG12">
        <v>168</v>
      </c>
      <c r="AH12" s="16">
        <v>595.53160345000003</v>
      </c>
      <c r="AI12" s="22">
        <v>1.1551325622999999</v>
      </c>
      <c r="AK12">
        <v>10</v>
      </c>
      <c r="AL12">
        <v>75</v>
      </c>
      <c r="AM12" s="16">
        <v>209.10832837999999</v>
      </c>
      <c r="AN12" s="22">
        <v>2.4548918715000001</v>
      </c>
      <c r="AP12" t="s">
        <v>1087</v>
      </c>
      <c r="AQ12">
        <v>13</v>
      </c>
      <c r="AR12">
        <v>93</v>
      </c>
      <c r="AS12" s="16">
        <v>43397</v>
      </c>
      <c r="AT12" s="22">
        <v>2.4757245275118218</v>
      </c>
      <c r="AU12" t="s">
        <v>1087</v>
      </c>
      <c r="AV12">
        <v>14</v>
      </c>
      <c r="AW12">
        <v>100</v>
      </c>
      <c r="AX12" s="16">
        <v>1843.864</v>
      </c>
      <c r="AY12" s="22">
        <v>2.824202469898212</v>
      </c>
      <c r="AZ12" t="s">
        <v>1087</v>
      </c>
      <c r="BA12">
        <v>14</v>
      </c>
      <c r="BB12">
        <v>116</v>
      </c>
      <c r="BC12" s="16">
        <v>812.1</v>
      </c>
      <c r="BD12" s="22">
        <v>2.7987910160221392</v>
      </c>
      <c r="BF12" t="s">
        <v>1087</v>
      </c>
      <c r="BG12">
        <v>15</v>
      </c>
      <c r="BH12">
        <v>106</v>
      </c>
      <c r="BI12" s="16">
        <v>590.19999999999993</v>
      </c>
      <c r="BJ12" s="22">
        <v>1.5231175541027167</v>
      </c>
    </row>
    <row r="13" spans="1:62">
      <c r="A13" s="787" t="s">
        <v>1217</v>
      </c>
      <c r="B13" s="797"/>
      <c r="C13" s="797"/>
      <c r="D13" s="790">
        <v>5206.643</v>
      </c>
      <c r="E13" s="790">
        <v>5199.3082000000004</v>
      </c>
      <c r="F13" s="791">
        <v>1.9750481241227973</v>
      </c>
      <c r="G13" s="798">
        <f t="shared" si="0"/>
        <v>2.0254992320703598</v>
      </c>
      <c r="H13" s="797">
        <f t="shared" si="1"/>
        <v>11</v>
      </c>
      <c r="I13" s="798">
        <f t="shared" si="2"/>
        <v>4.4138549121185734E-3</v>
      </c>
      <c r="J13" s="798">
        <v>0.63736134780126086</v>
      </c>
      <c r="K13" s="798">
        <v>0.36263865219873914</v>
      </c>
      <c r="L13" s="797">
        <f t="shared" si="3"/>
        <v>1.4107261423740242E-3</v>
      </c>
      <c r="M13" s="797"/>
      <c r="N13" s="797"/>
      <c r="O13" s="797" t="s">
        <v>1217</v>
      </c>
      <c r="P13" s="741">
        <v>1179613.5359376599</v>
      </c>
      <c r="Q13" s="797"/>
      <c r="R13" s="797" t="s">
        <v>1217</v>
      </c>
      <c r="S13" s="797">
        <v>2570548</v>
      </c>
      <c r="U13">
        <v>5</v>
      </c>
      <c r="V13">
        <v>41</v>
      </c>
      <c r="W13" s="16">
        <v>15964.333333333334</v>
      </c>
      <c r="X13" s="22">
        <v>4.0236480582850538</v>
      </c>
      <c r="Z13" s="16">
        <v>102858.66666666667</v>
      </c>
      <c r="AA13" s="22">
        <v>4.6211998682121784</v>
      </c>
      <c r="AC13" s="16">
        <v>2582</v>
      </c>
      <c r="AD13" s="22">
        <v>3.6163309134200148</v>
      </c>
      <c r="AF13">
        <v>6</v>
      </c>
      <c r="AG13">
        <v>68</v>
      </c>
      <c r="AH13" s="16">
        <v>2123.9715222</v>
      </c>
      <c r="AI13" s="22">
        <v>4.1197959143</v>
      </c>
      <c r="AK13">
        <v>4</v>
      </c>
      <c r="AL13">
        <v>41</v>
      </c>
      <c r="AM13" s="16">
        <v>381.63822936000003</v>
      </c>
      <c r="AN13" s="22">
        <v>4.4803599854999998</v>
      </c>
      <c r="AP13" t="s">
        <v>788</v>
      </c>
      <c r="AQ13">
        <v>7</v>
      </c>
      <c r="AR13">
        <v>43</v>
      </c>
      <c r="AS13" s="16">
        <v>70916.5</v>
      </c>
      <c r="AT13" s="22">
        <v>4.0456648721177064</v>
      </c>
      <c r="AU13" t="s">
        <v>788</v>
      </c>
      <c r="AV13">
        <v>7</v>
      </c>
      <c r="AW13">
        <v>38</v>
      </c>
      <c r="AX13" s="16">
        <v>3239.0283333333336</v>
      </c>
      <c r="AY13" s="22">
        <v>4.9611423722521231</v>
      </c>
      <c r="AZ13" t="s">
        <v>788</v>
      </c>
      <c r="BA13">
        <v>7</v>
      </c>
      <c r="BB13">
        <v>39</v>
      </c>
      <c r="BC13" s="16">
        <v>1422.5333333333335</v>
      </c>
      <c r="BD13" s="22">
        <v>4.9025655871510416</v>
      </c>
      <c r="BF13" t="s">
        <v>788</v>
      </c>
      <c r="BG13">
        <v>6</v>
      </c>
      <c r="BH13">
        <v>52</v>
      </c>
      <c r="BI13" s="16">
        <v>1349.6853333333333</v>
      </c>
      <c r="BJ13" s="22">
        <v>3.4831064447898621</v>
      </c>
    </row>
    <row r="14" spans="1:62">
      <c r="A14" s="787" t="s">
        <v>1212</v>
      </c>
      <c r="B14" s="797"/>
      <c r="C14" s="797"/>
      <c r="D14" s="790">
        <v>160.15</v>
      </c>
      <c r="E14" s="799"/>
      <c r="F14" s="791">
        <v>6.0750075831637773E-2</v>
      </c>
      <c r="G14" s="798">
        <f t="shared" si="0"/>
        <v>0.50014365662319493</v>
      </c>
      <c r="H14" s="797">
        <f t="shared" si="1"/>
        <v>14</v>
      </c>
      <c r="I14" s="798">
        <f t="shared" si="2"/>
        <v>1.1232113208704208E-3</v>
      </c>
      <c r="J14" s="798">
        <v>0</v>
      </c>
      <c r="K14" s="798">
        <v>1</v>
      </c>
      <c r="L14" s="797">
        <v>0</v>
      </c>
      <c r="M14" s="797"/>
      <c r="N14" s="797"/>
      <c r="O14" s="797" t="s">
        <v>1212</v>
      </c>
      <c r="P14" s="741">
        <v>142582.25235469799</v>
      </c>
      <c r="Q14" s="797"/>
      <c r="R14" s="797" t="s">
        <v>1212</v>
      </c>
      <c r="S14" s="797">
        <v>320208</v>
      </c>
      <c r="U14">
        <v>6</v>
      </c>
      <c r="V14">
        <v>49</v>
      </c>
      <c r="W14" s="16">
        <v>13953.333333333334</v>
      </c>
      <c r="X14" s="22">
        <v>3.5167959351014209</v>
      </c>
      <c r="Z14" s="16">
        <v>88083.666666666672</v>
      </c>
      <c r="AA14" s="22">
        <v>3.9573935963099411</v>
      </c>
      <c r="AC14" s="16">
        <v>2812.6666666666665</v>
      </c>
      <c r="AD14" s="22">
        <v>3.9394010130955439</v>
      </c>
      <c r="AF14">
        <v>5</v>
      </c>
      <c r="AG14">
        <v>55</v>
      </c>
      <c r="AH14" s="16">
        <v>2446.1700230000001</v>
      </c>
      <c r="AI14" s="22">
        <v>4.7447534775999998</v>
      </c>
      <c r="AK14">
        <v>13</v>
      </c>
      <c r="AL14">
        <v>91</v>
      </c>
      <c r="AM14" s="16">
        <v>153.48818542999999</v>
      </c>
      <c r="AN14" s="22">
        <v>1.8019220070999999</v>
      </c>
      <c r="AP14" t="s">
        <v>520</v>
      </c>
      <c r="AQ14">
        <v>10</v>
      </c>
      <c r="AR14">
        <v>70</v>
      </c>
      <c r="AS14" s="16">
        <v>55176.5</v>
      </c>
      <c r="AT14" s="22">
        <v>3.1477248287267794</v>
      </c>
      <c r="AU14" t="s">
        <v>520</v>
      </c>
      <c r="AV14">
        <v>9</v>
      </c>
      <c r="AW14">
        <v>52</v>
      </c>
      <c r="AX14" s="16">
        <v>2698.9433333333336</v>
      </c>
      <c r="AY14" s="22">
        <v>4.1339070712998973</v>
      </c>
      <c r="AZ14" t="s">
        <v>520</v>
      </c>
      <c r="BA14">
        <v>10</v>
      </c>
      <c r="BB14">
        <v>74</v>
      </c>
      <c r="BC14" s="16">
        <v>1083.4333333333334</v>
      </c>
      <c r="BD14" s="22">
        <v>3.7339040509694041</v>
      </c>
      <c r="BF14" t="s">
        <v>520</v>
      </c>
      <c r="BG14">
        <v>5</v>
      </c>
      <c r="BH14">
        <v>50</v>
      </c>
      <c r="BI14" s="16">
        <v>1393.7250000000001</v>
      </c>
      <c r="BJ14" s="22">
        <v>3.5967587480376304</v>
      </c>
    </row>
    <row r="15" spans="1:62">
      <c r="A15" t="s">
        <v>1835</v>
      </c>
      <c r="B15" s="797"/>
      <c r="C15" s="797"/>
      <c r="D15" s="790">
        <v>11461.64026</v>
      </c>
      <c r="E15" s="790">
        <v>11625.333999999999</v>
      </c>
      <c r="F15" s="791">
        <v>4.3477709331873404</v>
      </c>
      <c r="G15" s="798">
        <f t="shared" si="0"/>
        <v>2.0642722122445334</v>
      </c>
      <c r="H15" s="797">
        <f t="shared" si="1"/>
        <v>10</v>
      </c>
      <c r="I15" s="798">
        <f t="shared" si="2"/>
        <v>4.3884781569291445E-3</v>
      </c>
      <c r="J15" s="798">
        <v>0.4432750884470702</v>
      </c>
      <c r="K15" s="798">
        <v>0.55672491155292991</v>
      </c>
      <c r="L15" s="797">
        <f t="shared" si="3"/>
        <v>-1.4080777378095013E-2</v>
      </c>
      <c r="M15" s="797"/>
      <c r="N15" s="797"/>
      <c r="O15" s="797" t="s">
        <v>1835</v>
      </c>
      <c r="P15" s="741">
        <v>2611757.3906350099</v>
      </c>
      <c r="Q15" s="797"/>
      <c r="R15" s="797" t="s">
        <v>1835</v>
      </c>
      <c r="S15" s="797">
        <v>5552388</v>
      </c>
      <c r="U15">
        <v>3</v>
      </c>
      <c r="V15">
        <v>17</v>
      </c>
      <c r="W15" s="16">
        <v>27342.666666666668</v>
      </c>
      <c r="X15" s="22">
        <v>6.8914413990563625</v>
      </c>
      <c r="Z15" s="16">
        <v>109659</v>
      </c>
      <c r="AA15" s="22">
        <v>4.9267229760086257</v>
      </c>
      <c r="AC15" s="16">
        <v>3842.3333333333335</v>
      </c>
      <c r="AD15" s="22">
        <v>5.3815448539881894</v>
      </c>
      <c r="AF15">
        <v>4</v>
      </c>
      <c r="AG15">
        <v>44</v>
      </c>
      <c r="AH15" s="16">
        <v>2863.9498165</v>
      </c>
      <c r="AI15" s="22">
        <v>5.5551068503999996</v>
      </c>
      <c r="AK15">
        <v>5</v>
      </c>
      <c r="AL15">
        <v>42</v>
      </c>
      <c r="AM15" s="16">
        <v>377.59940476000003</v>
      </c>
      <c r="AN15" s="22">
        <v>4.4329449554</v>
      </c>
      <c r="AP15" t="s">
        <v>789</v>
      </c>
      <c r="AQ15">
        <v>8</v>
      </c>
      <c r="AR15">
        <v>47</v>
      </c>
      <c r="AS15" s="16">
        <v>68155</v>
      </c>
      <c r="AT15" s="22">
        <v>3.8881260265126212</v>
      </c>
      <c r="AU15" t="s">
        <v>789</v>
      </c>
      <c r="AV15">
        <v>8</v>
      </c>
      <c r="AW15">
        <v>43</v>
      </c>
      <c r="AX15" s="16">
        <v>2925.1533333333336</v>
      </c>
      <c r="AY15" s="22">
        <v>4.4803875279472827</v>
      </c>
      <c r="AZ15" t="s">
        <v>789</v>
      </c>
      <c r="BA15">
        <v>8</v>
      </c>
      <c r="BB15">
        <v>48</v>
      </c>
      <c r="BC15" s="16">
        <v>1333.1333333333334</v>
      </c>
      <c r="BD15" s="22">
        <v>4.5944607763735767</v>
      </c>
      <c r="BF15" t="s">
        <v>789</v>
      </c>
      <c r="BG15">
        <v>3</v>
      </c>
      <c r="BH15">
        <v>16</v>
      </c>
      <c r="BI15" s="16">
        <v>3160.6716666666666</v>
      </c>
      <c r="BJ15" s="22">
        <v>8.1566833247290589</v>
      </c>
    </row>
    <row r="16" spans="1:62">
      <c r="A16" t="s">
        <v>1836</v>
      </c>
      <c r="B16" s="797"/>
      <c r="C16" s="797"/>
      <c r="D16" s="790">
        <v>9471.6230799999994</v>
      </c>
      <c r="E16" s="790">
        <v>8992.4792799999996</v>
      </c>
      <c r="F16" s="791">
        <v>3.5928930400167998</v>
      </c>
      <c r="G16" s="798">
        <f t="shared" si="0"/>
        <v>1.5817982883099084</v>
      </c>
      <c r="H16" s="797">
        <f t="shared" si="1"/>
        <v>13</v>
      </c>
      <c r="I16" s="798">
        <f t="shared" si="2"/>
        <v>3.492188732987944E-3</v>
      </c>
      <c r="J16" s="798">
        <v>0.67193115070167042</v>
      </c>
      <c r="K16" s="798">
        <v>0.32806884929832952</v>
      </c>
      <c r="L16" s="797">
        <f t="shared" si="3"/>
        <v>5.328272493945628E-2</v>
      </c>
      <c r="M16" s="797"/>
      <c r="N16" s="797"/>
      <c r="O16" s="797" t="s">
        <v>1836</v>
      </c>
      <c r="P16" s="741">
        <v>2712231.1547852699</v>
      </c>
      <c r="Q16" s="797"/>
      <c r="R16" s="797" t="s">
        <v>1836</v>
      </c>
      <c r="S16" s="797">
        <v>5987883</v>
      </c>
      <c r="U16">
        <v>10</v>
      </c>
      <c r="V16">
        <v>75</v>
      </c>
      <c r="W16" s="16">
        <v>10094</v>
      </c>
      <c r="X16" s="22">
        <v>2.5440901697740377</v>
      </c>
      <c r="Z16" s="16">
        <v>145097</v>
      </c>
      <c r="AA16" s="22">
        <v>6.5188696199119418</v>
      </c>
      <c r="AC16" s="16">
        <v>2345.3333333333335</v>
      </c>
      <c r="AD16" s="22">
        <v>3.284857256238475</v>
      </c>
      <c r="AF16">
        <v>8</v>
      </c>
      <c r="AG16">
        <v>76</v>
      </c>
      <c r="AH16" s="16">
        <v>1980.7749967</v>
      </c>
      <c r="AI16" s="22">
        <v>3.8420424443000001</v>
      </c>
      <c r="AK16">
        <v>11</v>
      </c>
      <c r="AL16">
        <v>84</v>
      </c>
      <c r="AM16" s="16">
        <v>177.00639731000001</v>
      </c>
      <c r="AN16" s="22">
        <v>2.0780213266000001</v>
      </c>
      <c r="AP16" t="s">
        <v>526</v>
      </c>
      <c r="AQ16">
        <v>4</v>
      </c>
      <c r="AR16">
        <v>31</v>
      </c>
      <c r="AS16" s="16">
        <v>87922</v>
      </c>
      <c r="AT16" s="22">
        <v>5.015799523190414</v>
      </c>
      <c r="AU16" t="s">
        <v>526</v>
      </c>
      <c r="AV16">
        <v>4</v>
      </c>
      <c r="AW16">
        <v>23</v>
      </c>
      <c r="AX16" s="16">
        <v>4047.4670000000001</v>
      </c>
      <c r="AY16" s="22">
        <v>6.1994085779816226</v>
      </c>
      <c r="AZ16" t="s">
        <v>526</v>
      </c>
      <c r="BA16">
        <v>4</v>
      </c>
      <c r="BB16">
        <v>27</v>
      </c>
      <c r="BC16" s="16">
        <v>1731.0999999999997</v>
      </c>
      <c r="BD16" s="22">
        <v>5.9659981872133043</v>
      </c>
      <c r="BF16" t="s">
        <v>526</v>
      </c>
      <c r="BG16">
        <v>11</v>
      </c>
      <c r="BH16">
        <v>87</v>
      </c>
      <c r="BI16" s="16">
        <v>738.54499999999996</v>
      </c>
      <c r="BJ16" s="22">
        <v>1.9059485835221806</v>
      </c>
    </row>
    <row r="17" spans="1:62">
      <c r="A17" s="787" t="s">
        <v>1928</v>
      </c>
      <c r="B17" s="797"/>
      <c r="C17" s="797"/>
      <c r="D17" s="790">
        <v>105816.76817000001</v>
      </c>
      <c r="E17" s="790">
        <v>102903.34272</v>
      </c>
      <c r="F17" s="791">
        <v>40.139723325546896</v>
      </c>
      <c r="G17" s="798">
        <f t="shared" si="0"/>
        <v>8.8476986434647316</v>
      </c>
      <c r="H17" s="797">
        <f t="shared" si="1"/>
        <v>1</v>
      </c>
      <c r="I17" s="798">
        <f t="shared" si="2"/>
        <v>1.7424150656446903E-2</v>
      </c>
      <c r="J17" s="798">
        <v>0.50839322461721093</v>
      </c>
      <c r="K17" s="798">
        <v>0.49160677538278902</v>
      </c>
      <c r="L17" s="797">
        <f t="shared" si="3"/>
        <v>2.8312252770324873E-2</v>
      </c>
      <c r="M17" s="797"/>
      <c r="N17" s="797"/>
      <c r="O17" s="797" t="s">
        <v>1200</v>
      </c>
      <c r="P17" s="741">
        <v>6072994.3316260297</v>
      </c>
      <c r="Q17" s="797"/>
      <c r="R17" s="797" t="s">
        <v>1200</v>
      </c>
      <c r="S17" s="797">
        <v>11959807</v>
      </c>
      <c r="U17">
        <v>8</v>
      </c>
      <c r="V17">
        <v>58</v>
      </c>
      <c r="W17" s="16">
        <v>12950</v>
      </c>
      <c r="X17" s="22">
        <v>3.263915959834931</v>
      </c>
      <c r="Z17" s="16">
        <v>109934</v>
      </c>
      <c r="AA17" s="22">
        <v>4.9390780842843016</v>
      </c>
      <c r="AC17" s="16">
        <v>2160</v>
      </c>
      <c r="AD17" s="22">
        <v>3.0252807021639163</v>
      </c>
      <c r="AF17">
        <v>9</v>
      </c>
      <c r="AG17">
        <v>91</v>
      </c>
      <c r="AH17" s="16">
        <v>1657.5869253000001</v>
      </c>
      <c r="AI17" s="22">
        <v>3.2151654442000002</v>
      </c>
      <c r="AK17">
        <v>7</v>
      </c>
      <c r="AL17">
        <v>64</v>
      </c>
      <c r="AM17" s="16">
        <v>263.32447089999999</v>
      </c>
      <c r="AN17" s="22">
        <v>3.0913790387</v>
      </c>
      <c r="AP17" t="s">
        <v>790</v>
      </c>
      <c r="AQ17">
        <v>5</v>
      </c>
      <c r="AR17">
        <v>33</v>
      </c>
      <c r="AS17" s="16">
        <v>85565.5</v>
      </c>
      <c r="AT17" s="22">
        <v>4.8813652339749938</v>
      </c>
      <c r="AU17" t="s">
        <v>790</v>
      </c>
      <c r="AV17">
        <v>5</v>
      </c>
      <c r="AW17">
        <v>30</v>
      </c>
      <c r="AX17" s="16">
        <v>3630.0813333333335</v>
      </c>
      <c r="AY17" s="22">
        <v>5.5601089166724851</v>
      </c>
      <c r="AZ17" t="s">
        <v>790</v>
      </c>
      <c r="BA17">
        <v>5</v>
      </c>
      <c r="BB17">
        <v>32</v>
      </c>
      <c r="BC17" s="16">
        <v>1634.2666666666664</v>
      </c>
      <c r="BD17" s="22">
        <v>5.6322754149133285</v>
      </c>
      <c r="BF17" t="s">
        <v>790</v>
      </c>
      <c r="BG17">
        <v>8</v>
      </c>
      <c r="BH17">
        <v>70</v>
      </c>
      <c r="BI17" s="16">
        <v>1003.1563333333334</v>
      </c>
      <c r="BJ17" s="22">
        <v>2.5888258570134131</v>
      </c>
    </row>
    <row r="18" spans="1:62">
      <c r="A18" s="787" t="s">
        <v>1837</v>
      </c>
      <c r="B18" s="797"/>
      <c r="C18" s="797"/>
      <c r="D18" s="790">
        <v>6372.9038</v>
      </c>
      <c r="E18" s="790">
        <v>6383.0883999999996</v>
      </c>
      <c r="F18" s="791">
        <v>2.4174485739477523</v>
      </c>
      <c r="G18" s="798">
        <f t="shared" si="0"/>
        <v>1.9147256129437766</v>
      </c>
      <c r="H18" s="797">
        <f t="shared" si="1"/>
        <v>12</v>
      </c>
      <c r="I18" s="798">
        <f t="shared" si="2"/>
        <v>4.1908719474137877E-3</v>
      </c>
      <c r="J18" s="798">
        <v>0.62641253112905915</v>
      </c>
      <c r="K18" s="798">
        <v>0.37358746887094074</v>
      </c>
      <c r="L18" s="797">
        <f t="shared" si="3"/>
        <v>-1.5955599173590627E-3</v>
      </c>
      <c r="M18" s="797"/>
      <c r="N18" s="797"/>
      <c r="O18" s="797" t="s">
        <v>1837</v>
      </c>
      <c r="P18" s="741">
        <v>1520662.9741891201</v>
      </c>
      <c r="Q18" s="797"/>
      <c r="R18" s="797" t="s">
        <v>1837</v>
      </c>
      <c r="S18" s="797">
        <v>3328364</v>
      </c>
      <c r="U18">
        <v>4</v>
      </c>
      <c r="V18">
        <v>18</v>
      </c>
      <c r="W18" s="16">
        <v>26758.666666666668</v>
      </c>
      <c r="X18" s="22">
        <v>6.7442501310607179</v>
      </c>
      <c r="Z18" s="16">
        <v>153144</v>
      </c>
      <c r="AA18" s="22">
        <v>6.8804025518914544</v>
      </c>
      <c r="AC18" s="16">
        <v>5066</v>
      </c>
      <c r="AD18" s="22">
        <v>7.0954037209085179</v>
      </c>
      <c r="AF18">
        <v>3</v>
      </c>
      <c r="AG18">
        <v>27</v>
      </c>
      <c r="AH18" s="16">
        <v>3988.2497248999998</v>
      </c>
      <c r="AI18" s="22">
        <v>7.7358734571000003</v>
      </c>
      <c r="AK18">
        <v>3</v>
      </c>
      <c r="AL18">
        <v>23</v>
      </c>
      <c r="AM18" s="16">
        <v>590.68033678999996</v>
      </c>
      <c r="AN18" s="22">
        <v>6.9344744357000003</v>
      </c>
      <c r="AP18" t="s">
        <v>523</v>
      </c>
      <c r="AQ18">
        <v>3</v>
      </c>
      <c r="AR18">
        <v>17</v>
      </c>
      <c r="AS18" s="16">
        <v>125800</v>
      </c>
      <c r="AT18" s="22">
        <v>7.1766745526415914</v>
      </c>
      <c r="AU18" t="s">
        <v>523</v>
      </c>
      <c r="AV18">
        <v>3</v>
      </c>
      <c r="AW18">
        <v>13</v>
      </c>
      <c r="AX18" s="16">
        <v>4927.0306666666665</v>
      </c>
      <c r="AY18" s="22">
        <v>7.5466152482310163</v>
      </c>
      <c r="AZ18" t="s">
        <v>523</v>
      </c>
      <c r="BA18">
        <v>3</v>
      </c>
      <c r="BB18">
        <v>15</v>
      </c>
      <c r="BC18" s="16">
        <v>2134.8333333333335</v>
      </c>
      <c r="BD18" s="22">
        <v>7.3574096220144449</v>
      </c>
      <c r="BF18" t="s">
        <v>523</v>
      </c>
      <c r="BG18">
        <v>4</v>
      </c>
      <c r="BH18">
        <v>23</v>
      </c>
      <c r="BI18" s="16">
        <v>2534.0773333333332</v>
      </c>
      <c r="BJ18" s="22">
        <v>6.5396436290305004</v>
      </c>
    </row>
    <row r="19" spans="1:62">
      <c r="A19" t="s">
        <v>1838</v>
      </c>
      <c r="B19" s="797"/>
      <c r="C19" s="797"/>
      <c r="D19" s="790">
        <v>12273.313250000001</v>
      </c>
      <c r="E19" s="790">
        <v>11912.286599999999</v>
      </c>
      <c r="F19" s="791">
        <v>4.6556647558098332</v>
      </c>
      <c r="G19" s="798">
        <f t="shared" si="0"/>
        <v>2.1000926648867755</v>
      </c>
      <c r="H19" s="797">
        <f t="shared" si="1"/>
        <v>9</v>
      </c>
      <c r="I19" s="798">
        <f t="shared" si="2"/>
        <v>4.6391796708559431E-3</v>
      </c>
      <c r="J19" s="798">
        <v>0.53045721781769073</v>
      </c>
      <c r="K19" s="798">
        <v>0.46954278218230927</v>
      </c>
      <c r="L19" s="797">
        <f t="shared" si="3"/>
        <v>3.0307082269159107E-2</v>
      </c>
      <c r="M19" s="797"/>
      <c r="N19" s="797"/>
      <c r="O19" s="797" t="s">
        <v>1838</v>
      </c>
      <c r="P19" s="741">
        <v>2645578.3394428301</v>
      </c>
      <c r="Q19" s="797"/>
      <c r="R19" s="797" t="s">
        <v>1838</v>
      </c>
      <c r="S19" s="797">
        <v>5844177</v>
      </c>
      <c r="U19">
        <v>2</v>
      </c>
      <c r="V19">
        <v>5</v>
      </c>
      <c r="W19" s="16">
        <v>47543.666666666664</v>
      </c>
      <c r="X19" s="22">
        <v>11.982898256556396</v>
      </c>
      <c r="Z19" s="16">
        <v>236005.33333333334</v>
      </c>
      <c r="AA19" s="22">
        <v>10.603168898074102</v>
      </c>
      <c r="AC19" s="16">
        <v>8040.333333333333</v>
      </c>
      <c r="AD19" s="22">
        <v>11.261233922360466</v>
      </c>
      <c r="AF19">
        <v>2</v>
      </c>
      <c r="AG19">
        <v>8</v>
      </c>
      <c r="AH19" s="16">
        <v>6581.0414902000002</v>
      </c>
      <c r="AI19" s="22">
        <v>12.765024181999999</v>
      </c>
      <c r="AK19">
        <v>2</v>
      </c>
      <c r="AL19">
        <v>4</v>
      </c>
      <c r="AM19" s="16">
        <v>1627.6905268</v>
      </c>
      <c r="AN19" s="22">
        <v>19.108776174999999</v>
      </c>
      <c r="AP19" t="s">
        <v>524</v>
      </c>
      <c r="AQ19">
        <v>2</v>
      </c>
      <c r="AR19">
        <v>8</v>
      </c>
      <c r="AS19" s="16">
        <v>168952</v>
      </c>
      <c r="AT19" s="22">
        <v>9.6384222497448526</v>
      </c>
      <c r="AU19" t="s">
        <v>524</v>
      </c>
      <c r="AV19">
        <v>2</v>
      </c>
      <c r="AW19">
        <v>6</v>
      </c>
      <c r="AX19" s="16">
        <v>6338.8440000000001</v>
      </c>
      <c r="AY19" s="22">
        <v>9.7090560264203116</v>
      </c>
      <c r="AZ19" t="s">
        <v>524</v>
      </c>
      <c r="BA19">
        <v>2</v>
      </c>
      <c r="BB19">
        <v>6</v>
      </c>
      <c r="BC19" s="16">
        <v>2884.6333333333332</v>
      </c>
      <c r="BD19" s="22">
        <v>9.9414922520026234</v>
      </c>
      <c r="BF19" t="s">
        <v>524</v>
      </c>
      <c r="BG19">
        <v>2</v>
      </c>
      <c r="BH19">
        <v>5</v>
      </c>
      <c r="BI19" s="16">
        <v>4686.7036666666663</v>
      </c>
      <c r="BJ19" s="22">
        <v>12.094884150419464</v>
      </c>
    </row>
    <row r="20" spans="1:62">
      <c r="A20" s="788" t="s">
        <v>1839</v>
      </c>
      <c r="B20" s="797"/>
      <c r="C20" s="797"/>
      <c r="D20" s="790">
        <v>30559.533579999999</v>
      </c>
      <c r="E20" s="790">
        <v>29302.850440000002</v>
      </c>
      <c r="F20" s="791">
        <v>11.592219683824421</v>
      </c>
      <c r="G20" s="798">
        <f t="shared" si="0"/>
        <v>5.3765287678588454</v>
      </c>
      <c r="H20" s="797">
        <f t="shared" si="1"/>
        <v>2</v>
      </c>
      <c r="I20" s="798">
        <f t="shared" si="2"/>
        <v>1.1971118529115842E-2</v>
      </c>
      <c r="J20" s="798">
        <v>0.57933000690778214</v>
      </c>
      <c r="K20" s="798">
        <v>0.42066999309221792</v>
      </c>
      <c r="L20" s="797">
        <f t="shared" si="3"/>
        <v>4.2886037403533812E-2</v>
      </c>
      <c r="M20" s="797"/>
      <c r="N20" s="797"/>
      <c r="O20" s="797" t="s">
        <v>1839</v>
      </c>
      <c r="P20" s="741">
        <v>2552771.7819912899</v>
      </c>
      <c r="Q20" s="797"/>
      <c r="R20" s="797" t="s">
        <v>1839</v>
      </c>
      <c r="S20" s="797">
        <v>5683878</v>
      </c>
      <c r="U20" t="s">
        <v>791</v>
      </c>
      <c r="V20" t="s">
        <v>792</v>
      </c>
      <c r="W20" s="16">
        <v>396762.66666666669</v>
      </c>
      <c r="X20" s="22">
        <v>100</v>
      </c>
      <c r="Z20" s="16">
        <v>2225800</v>
      </c>
      <c r="AA20" s="22">
        <v>100</v>
      </c>
      <c r="AC20" s="16">
        <v>71398.333333333328</v>
      </c>
      <c r="AD20" s="22">
        <v>100</v>
      </c>
      <c r="AF20" t="s">
        <v>791</v>
      </c>
      <c r="AG20" t="s">
        <v>791</v>
      </c>
      <c r="AH20" s="16">
        <v>51555.260657609062</v>
      </c>
      <c r="AI20" s="22">
        <v>100</v>
      </c>
      <c r="AK20" t="s">
        <v>791</v>
      </c>
      <c r="AL20" t="s">
        <v>791</v>
      </c>
      <c r="AM20" s="16">
        <v>8518.0260201000001</v>
      </c>
      <c r="AN20" s="22">
        <v>100</v>
      </c>
      <c r="AP20" t="s">
        <v>503</v>
      </c>
      <c r="AQ20" t="s">
        <v>791</v>
      </c>
      <c r="AR20" t="s">
        <v>792</v>
      </c>
      <c r="AS20" s="16">
        <v>1752901</v>
      </c>
      <c r="AT20" s="22">
        <v>100</v>
      </c>
      <c r="AU20" t="s">
        <v>503</v>
      </c>
      <c r="AV20" t="s">
        <v>791</v>
      </c>
      <c r="AW20" t="s">
        <v>792</v>
      </c>
      <c r="AX20" s="16">
        <v>65287.953666666661</v>
      </c>
      <c r="AY20" s="22">
        <v>100</v>
      </c>
      <c r="AZ20" t="s">
        <v>503</v>
      </c>
      <c r="BA20" t="s">
        <v>791</v>
      </c>
      <c r="BB20" t="s">
        <v>792</v>
      </c>
      <c r="BC20" s="16">
        <v>29016.100000000002</v>
      </c>
      <c r="BD20" s="22">
        <v>100</v>
      </c>
      <c r="BF20" t="s">
        <v>503</v>
      </c>
      <c r="BG20" t="s">
        <v>791</v>
      </c>
      <c r="BH20" t="s">
        <v>792</v>
      </c>
      <c r="BI20" s="16">
        <v>38749.471333333327</v>
      </c>
      <c r="BJ20" s="22">
        <v>100</v>
      </c>
    </row>
    <row r="21" spans="1:62">
      <c r="A21" s="787" t="s">
        <v>790</v>
      </c>
      <c r="B21" s="797"/>
      <c r="C21" s="797"/>
      <c r="D21" s="790">
        <v>8084.4971099999993</v>
      </c>
      <c r="E21" s="790">
        <v>8020.8135000000002</v>
      </c>
      <c r="F21" s="791">
        <v>3.0667112862513668</v>
      </c>
      <c r="G21" s="798">
        <f t="shared" si="0"/>
        <v>2.2083649134135985</v>
      </c>
      <c r="H21" s="797">
        <f t="shared" si="1"/>
        <v>7</v>
      </c>
      <c r="I21" s="798">
        <f t="shared" si="2"/>
        <v>4.7396154716665721E-3</v>
      </c>
      <c r="J21" s="798">
        <v>0.60709990160414562</v>
      </c>
      <c r="K21" s="798">
        <v>0.39290009839585432</v>
      </c>
      <c r="L21" s="797">
        <f t="shared" si="3"/>
        <v>7.9397943861927636E-3</v>
      </c>
      <c r="M21" s="797"/>
      <c r="N21" s="797"/>
      <c r="O21" s="797" t="s">
        <v>790</v>
      </c>
      <c r="P21" s="741">
        <v>1705728.4833187701</v>
      </c>
      <c r="Q21" s="797"/>
      <c r="R21" s="797" t="s">
        <v>790</v>
      </c>
      <c r="S21" s="797">
        <v>3660852</v>
      </c>
      <c r="W21" s="16"/>
      <c r="X21" s="22"/>
      <c r="Z21" s="16"/>
      <c r="AA21" s="22"/>
      <c r="AC21" s="16"/>
      <c r="AD21" s="22"/>
      <c r="AH21" s="16"/>
      <c r="AI21" s="22"/>
      <c r="AM21" s="16"/>
      <c r="AN21" s="22"/>
      <c r="AS21" s="16"/>
      <c r="AT21" s="22"/>
      <c r="AX21" s="16"/>
      <c r="AY21" s="22"/>
      <c r="BC21" s="16"/>
      <c r="BD21" s="22"/>
      <c r="BI21" s="16"/>
      <c r="BJ21" s="22"/>
    </row>
    <row r="22" spans="1:62">
      <c r="A22" s="787" t="s">
        <v>1934</v>
      </c>
      <c r="B22" s="797"/>
      <c r="C22" s="797"/>
      <c r="D22" s="790">
        <v>20371.334439999999</v>
      </c>
      <c r="E22" s="792">
        <v>18263.554559999997</v>
      </c>
      <c r="F22" s="791">
        <v>7.7275061631074253</v>
      </c>
      <c r="G22" s="798">
        <f t="shared" si="0"/>
        <v>4.1123679752167703</v>
      </c>
      <c r="H22" s="797">
        <f t="shared" si="1"/>
        <v>5</v>
      </c>
      <c r="I22" s="798">
        <f t="shared" si="2"/>
        <v>9.2753145231164579E-3</v>
      </c>
      <c r="J22" s="798">
        <v>0.59548776422719218</v>
      </c>
      <c r="K22" s="798">
        <v>0.40451223577280787</v>
      </c>
      <c r="L22" s="797">
        <f t="shared" si="3"/>
        <v>0.1154090718252823</v>
      </c>
      <c r="M22" s="797"/>
      <c r="N22" s="797"/>
      <c r="O22" s="797" t="s">
        <v>523</v>
      </c>
      <c r="P22" s="741">
        <v>2196295.8117732201</v>
      </c>
      <c r="Q22" s="797"/>
      <c r="R22" s="797" t="s">
        <v>523</v>
      </c>
      <c r="S22" s="797">
        <v>4953675.0025211899</v>
      </c>
    </row>
    <row r="23" spans="1:62">
      <c r="A23" s="789" t="s">
        <v>1929</v>
      </c>
      <c r="B23" s="797"/>
      <c r="C23" s="797"/>
      <c r="D23" s="793">
        <v>262055.11661000003</v>
      </c>
      <c r="E23" s="794">
        <v>257505.05468</v>
      </c>
      <c r="F23" s="795">
        <v>100</v>
      </c>
      <c r="G23" s="798">
        <f t="shared" si="0"/>
        <v>4.114032967975108</v>
      </c>
      <c r="H23" s="797">
        <f t="shared" si="1"/>
        <v>4</v>
      </c>
      <c r="I23" s="798">
        <f t="shared" si="2"/>
        <v>8.8049237819987063E-3</v>
      </c>
      <c r="J23" s="798">
        <v>0.61707603992582838</v>
      </c>
      <c r="K23" s="798">
        <v>0.38292396007417151</v>
      </c>
      <c r="L23" s="797">
        <f t="shared" si="3"/>
        <v>1.7669796562457232E-2</v>
      </c>
      <c r="M23" s="797"/>
      <c r="N23" s="797"/>
      <c r="O23" s="797" t="s">
        <v>1929</v>
      </c>
      <c r="P23" s="741">
        <v>29762337.880284734</v>
      </c>
      <c r="Q23" s="797"/>
      <c r="R23" s="797" t="s">
        <v>1929</v>
      </c>
      <c r="S23" s="797">
        <v>63697865.002521187</v>
      </c>
    </row>
    <row r="24" spans="1:62" s="41" customFormat="1">
      <c r="A24" s="41" t="s">
        <v>809</v>
      </c>
    </row>
    <row r="25" spans="1:62">
      <c r="D25">
        <v>2009</v>
      </c>
    </row>
    <row r="26" spans="1:62" s="59" customFormat="1" ht="34.5">
      <c r="A26" s="174" t="s">
        <v>793</v>
      </c>
      <c r="B26" s="174" t="s">
        <v>794</v>
      </c>
      <c r="C26" s="174" t="s">
        <v>1475</v>
      </c>
      <c r="D26" s="174" t="s">
        <v>796</v>
      </c>
      <c r="E26" s="174" t="s">
        <v>797</v>
      </c>
      <c r="F26" s="174" t="s">
        <v>1227</v>
      </c>
      <c r="G26" s="744" t="s">
        <v>793</v>
      </c>
      <c r="H26" s="744" t="s">
        <v>794</v>
      </c>
      <c r="I26" s="744" t="s">
        <v>795</v>
      </c>
      <c r="J26" s="744" t="s">
        <v>798</v>
      </c>
      <c r="K26" s="710" t="s">
        <v>1228</v>
      </c>
      <c r="L26" s="710" t="s">
        <v>1229</v>
      </c>
    </row>
    <row r="27" spans="1:62">
      <c r="A27" s="172" t="s">
        <v>786</v>
      </c>
      <c r="B27" s="172">
        <v>2011</v>
      </c>
      <c r="C27" s="172">
        <v>1414</v>
      </c>
      <c r="D27" s="172">
        <v>508</v>
      </c>
      <c r="E27" s="270">
        <v>6.3184079601990053</v>
      </c>
      <c r="F27">
        <f>RANK(E27,$E$27:$E$36)</f>
        <v>2</v>
      </c>
      <c r="G27" s="745" t="s">
        <v>799</v>
      </c>
      <c r="H27" s="746">
        <v>2013</v>
      </c>
      <c r="I27" s="745">
        <v>1577.0728403999999</v>
      </c>
      <c r="J27" s="747">
        <v>16.781390932826962</v>
      </c>
      <c r="K27" s="171">
        <v>11</v>
      </c>
      <c r="L27" s="748">
        <f>(I27-C27)/C27</f>
        <v>0.11532732701555863</v>
      </c>
    </row>
    <row r="28" spans="1:62">
      <c r="A28" s="172" t="s">
        <v>74</v>
      </c>
      <c r="B28" s="172">
        <v>2011</v>
      </c>
      <c r="C28" s="172">
        <v>1969</v>
      </c>
      <c r="D28" s="172">
        <v>330</v>
      </c>
      <c r="E28" s="270">
        <v>2.5341729381047458</v>
      </c>
      <c r="F28">
        <f t="shared" ref="F28:F36" si="4">RANK(E28,$E$27:$E$36)</f>
        <v>8</v>
      </c>
      <c r="G28" s="745" t="s">
        <v>800</v>
      </c>
      <c r="H28" s="746">
        <v>2013</v>
      </c>
      <c r="I28" s="745">
        <v>1999.7537026</v>
      </c>
      <c r="J28" s="747">
        <v>15.182357930449532</v>
      </c>
      <c r="K28" s="171">
        <v>6</v>
      </c>
      <c r="L28" s="748">
        <f t="shared" ref="L28:L36" si="5">(I28-C28)/C28</f>
        <v>1.5618944946673437E-2</v>
      </c>
    </row>
    <row r="29" spans="1:62">
      <c r="A29" s="172" t="s">
        <v>1087</v>
      </c>
      <c r="B29" s="172">
        <v>2011</v>
      </c>
      <c r="C29" s="172">
        <v>686</v>
      </c>
      <c r="D29" s="172">
        <v>279</v>
      </c>
      <c r="E29" s="270">
        <v>3.8010899182561309</v>
      </c>
      <c r="F29">
        <f t="shared" si="4"/>
        <v>4</v>
      </c>
      <c r="G29" s="745" t="s">
        <v>802</v>
      </c>
      <c r="H29" s="746">
        <v>2013</v>
      </c>
      <c r="I29" s="745">
        <v>595.53160345000003</v>
      </c>
      <c r="J29" s="747">
        <v>9.2043472427210524</v>
      </c>
      <c r="K29" s="171">
        <v>16</v>
      </c>
      <c r="L29" s="748">
        <f t="shared" si="5"/>
        <v>-0.1318781290816326</v>
      </c>
    </row>
    <row r="30" spans="1:62">
      <c r="A30" s="172" t="s">
        <v>788</v>
      </c>
      <c r="B30" s="172">
        <v>2011</v>
      </c>
      <c r="C30" s="172">
        <v>1833</v>
      </c>
      <c r="D30" s="172">
        <v>504</v>
      </c>
      <c r="E30" s="270">
        <v>3.8335741994371335</v>
      </c>
      <c r="F30">
        <f t="shared" si="4"/>
        <v>3</v>
      </c>
      <c r="G30" s="745" t="s">
        <v>801</v>
      </c>
      <c r="H30" s="746">
        <v>2013</v>
      </c>
      <c r="I30" s="745">
        <v>2123.9715222</v>
      </c>
      <c r="J30" s="747">
        <v>14.068616163941973</v>
      </c>
      <c r="K30" s="171">
        <v>9</v>
      </c>
      <c r="L30" s="748">
        <f t="shared" si="5"/>
        <v>0.15874060130932896</v>
      </c>
    </row>
    <row r="31" spans="1:62">
      <c r="A31" s="172" t="s">
        <v>520</v>
      </c>
      <c r="B31" s="172">
        <v>2011</v>
      </c>
      <c r="C31" s="172">
        <v>2441</v>
      </c>
      <c r="D31" s="172">
        <v>257</v>
      </c>
      <c r="E31" s="270">
        <v>2.7807833802207318</v>
      </c>
      <c r="F31">
        <f t="shared" si="4"/>
        <v>7</v>
      </c>
      <c r="G31" s="745" t="s">
        <v>803</v>
      </c>
      <c r="H31" s="746">
        <v>2013</v>
      </c>
      <c r="I31" s="745">
        <v>2446.1700230000001</v>
      </c>
      <c r="J31" s="747">
        <v>25.472190337055203</v>
      </c>
      <c r="K31" s="171">
        <v>5</v>
      </c>
      <c r="L31" s="748">
        <f t="shared" si="5"/>
        <v>2.1179938549775209E-3</v>
      </c>
    </row>
    <row r="32" spans="1:62">
      <c r="A32" s="172" t="s">
        <v>789</v>
      </c>
      <c r="B32" s="172">
        <v>2011</v>
      </c>
      <c r="C32" s="172">
        <v>2572</v>
      </c>
      <c r="D32" s="172">
        <v>428</v>
      </c>
      <c r="E32" s="270">
        <v>3.5530466544911175</v>
      </c>
      <c r="F32">
        <f t="shared" si="4"/>
        <v>6</v>
      </c>
      <c r="G32" s="745" t="s">
        <v>804</v>
      </c>
      <c r="H32" s="746">
        <v>2013</v>
      </c>
      <c r="I32" s="745">
        <v>2863.9498165</v>
      </c>
      <c r="J32" s="747">
        <v>20.834345889023894</v>
      </c>
      <c r="K32" s="171">
        <v>4</v>
      </c>
      <c r="L32" s="748">
        <f t="shared" si="5"/>
        <v>0.1135108151244168</v>
      </c>
    </row>
    <row r="33" spans="1:12">
      <c r="A33" s="172" t="s">
        <v>526</v>
      </c>
      <c r="B33" s="172">
        <v>2011</v>
      </c>
      <c r="C33" s="172">
        <v>1894</v>
      </c>
      <c r="D33" s="172">
        <v>282</v>
      </c>
      <c r="E33" s="270">
        <v>1.917454273475216</v>
      </c>
      <c r="F33">
        <f t="shared" si="4"/>
        <v>10</v>
      </c>
      <c r="G33" s="745" t="s">
        <v>805</v>
      </c>
      <c r="H33" s="746">
        <v>2013</v>
      </c>
      <c r="I33" s="745">
        <v>1980.7749967</v>
      </c>
      <c r="J33" s="747">
        <v>12.614892766751032</v>
      </c>
      <c r="K33" s="171">
        <v>7</v>
      </c>
      <c r="L33" s="748">
        <f t="shared" si="5"/>
        <v>4.5815732154171056E-2</v>
      </c>
    </row>
    <row r="34" spans="1:12">
      <c r="A34" s="172" t="s">
        <v>790</v>
      </c>
      <c r="B34" s="172">
        <v>2011</v>
      </c>
      <c r="C34" s="172">
        <v>1863</v>
      </c>
      <c r="D34" s="172">
        <v>349</v>
      </c>
      <c r="E34" s="270">
        <v>2.3720519268673961</v>
      </c>
      <c r="F34">
        <f t="shared" si="4"/>
        <v>9</v>
      </c>
      <c r="G34" s="745" t="s">
        <v>806</v>
      </c>
      <c r="H34" s="746">
        <v>2013</v>
      </c>
      <c r="I34" s="745">
        <v>1657.5869253000001</v>
      </c>
      <c r="J34" s="747">
        <v>12.707182320441991</v>
      </c>
      <c r="K34" s="171">
        <v>8</v>
      </c>
      <c r="L34" s="748">
        <f t="shared" si="5"/>
        <v>-0.11025929935587758</v>
      </c>
    </row>
    <row r="35" spans="1:12">
      <c r="A35" s="172" t="s">
        <v>523</v>
      </c>
      <c r="B35" s="172">
        <v>2011</v>
      </c>
      <c r="C35" s="172">
        <v>3863</v>
      </c>
      <c r="D35" s="172">
        <v>719</v>
      </c>
      <c r="E35" s="270">
        <v>3.7335133451033338</v>
      </c>
      <c r="F35">
        <f t="shared" si="4"/>
        <v>5</v>
      </c>
      <c r="G35" s="745" t="s">
        <v>807</v>
      </c>
      <c r="H35" s="746">
        <v>2013</v>
      </c>
      <c r="I35" s="745">
        <v>3988.2497248999998</v>
      </c>
      <c r="J35" s="747">
        <v>19.767679869000101</v>
      </c>
      <c r="K35" s="171">
        <v>3</v>
      </c>
      <c r="L35" s="748">
        <f t="shared" si="5"/>
        <v>3.2422916101475491E-2</v>
      </c>
    </row>
    <row r="36" spans="1:12">
      <c r="A36" s="172" t="s">
        <v>524</v>
      </c>
      <c r="B36" s="172">
        <v>2011</v>
      </c>
      <c r="C36" s="172">
        <v>5866</v>
      </c>
      <c r="D36" s="172">
        <v>2026</v>
      </c>
      <c r="E36" s="270">
        <v>7.887565210620572</v>
      </c>
      <c r="F36">
        <f t="shared" si="4"/>
        <v>1</v>
      </c>
      <c r="G36" s="745" t="s">
        <v>808</v>
      </c>
      <c r="H36" s="746">
        <v>2013</v>
      </c>
      <c r="I36" s="745">
        <v>6581.0414902000002</v>
      </c>
      <c r="J36" s="747">
        <v>22.272002429949119</v>
      </c>
      <c r="K36" s="171">
        <v>2</v>
      </c>
      <c r="L36" s="748">
        <f t="shared" si="5"/>
        <v>0.12189592400272763</v>
      </c>
    </row>
    <row r="37" spans="1:12">
      <c r="A37" s="172" t="s">
        <v>1479</v>
      </c>
      <c r="C37">
        <v>47444</v>
      </c>
      <c r="D37">
        <v>11046</v>
      </c>
      <c r="E37">
        <v>4.28</v>
      </c>
      <c r="F37" t="s">
        <v>1245</v>
      </c>
      <c r="G37" s="745" t="s">
        <v>1479</v>
      </c>
      <c r="H37" s="171"/>
      <c r="I37" s="171">
        <v>51555.260657609062</v>
      </c>
      <c r="J37" s="749">
        <v>18.41</v>
      </c>
      <c r="K37" s="750" t="s">
        <v>1245</v>
      </c>
      <c r="L37" s="748">
        <f>(I37-C37)/C37</f>
        <v>8.6655017654688943E-2</v>
      </c>
    </row>
    <row r="38" spans="1:12">
      <c r="G38" s="172" t="s">
        <v>1474</v>
      </c>
      <c r="J38">
        <v>25770411.443233896</v>
      </c>
    </row>
    <row r="39" spans="1:12">
      <c r="A39" s="751" t="s">
        <v>1868</v>
      </c>
    </row>
    <row r="40" spans="1:12">
      <c r="A40" t="s">
        <v>1866</v>
      </c>
      <c r="B40" t="s">
        <v>105</v>
      </c>
      <c r="C40" t="s">
        <v>106</v>
      </c>
      <c r="D40" t="s">
        <v>107</v>
      </c>
      <c r="E40" t="s">
        <v>108</v>
      </c>
      <c r="F40" t="s">
        <v>568</v>
      </c>
      <c r="H40" t="s">
        <v>1867</v>
      </c>
    </row>
    <row r="42" spans="1:12">
      <c r="A42" t="s">
        <v>786</v>
      </c>
      <c r="B42">
        <v>5677</v>
      </c>
      <c r="C42">
        <v>5918</v>
      </c>
      <c r="D42">
        <v>6018</v>
      </c>
      <c r="E42">
        <v>5810</v>
      </c>
      <c r="F42">
        <v>10</v>
      </c>
      <c r="H42" t="s">
        <v>786</v>
      </c>
      <c r="I42" s="158">
        <v>0.5010678328078918</v>
      </c>
    </row>
    <row r="43" spans="1:12">
      <c r="A43" t="s">
        <v>74</v>
      </c>
      <c r="B43">
        <v>7813</v>
      </c>
      <c r="C43">
        <v>8167</v>
      </c>
      <c r="D43">
        <v>8259</v>
      </c>
      <c r="E43">
        <v>8512</v>
      </c>
      <c r="F43">
        <v>7</v>
      </c>
      <c r="H43" t="s">
        <v>74</v>
      </c>
      <c r="I43" s="168">
        <v>0.56551822526571083</v>
      </c>
    </row>
    <row r="44" spans="1:12">
      <c r="A44" t="s">
        <v>788</v>
      </c>
      <c r="B44">
        <v>9868</v>
      </c>
      <c r="C44">
        <v>10156</v>
      </c>
      <c r="D44">
        <v>10791</v>
      </c>
      <c r="E44">
        <v>10668</v>
      </c>
      <c r="F44">
        <v>5</v>
      </c>
      <c r="H44" t="s">
        <v>788</v>
      </c>
      <c r="I44" s="168">
        <v>0.57858672376873665</v>
      </c>
    </row>
    <row r="45" spans="1:12">
      <c r="A45" t="s">
        <v>1087</v>
      </c>
      <c r="B45">
        <v>2997</v>
      </c>
      <c r="C45">
        <v>3259</v>
      </c>
      <c r="D45">
        <v>3631</v>
      </c>
      <c r="E45">
        <v>3721</v>
      </c>
      <c r="F45">
        <v>12</v>
      </c>
      <c r="H45" t="s">
        <v>1087</v>
      </c>
      <c r="I45" s="168">
        <v>0.7439393939393939</v>
      </c>
    </row>
    <row r="46" spans="1:12">
      <c r="A46" t="s">
        <v>520</v>
      </c>
      <c r="B46">
        <v>7734</v>
      </c>
      <c r="C46">
        <v>7776</v>
      </c>
      <c r="D46">
        <v>8440</v>
      </c>
      <c r="E46">
        <v>8679</v>
      </c>
      <c r="F46">
        <v>6</v>
      </c>
      <c r="H46" t="s">
        <v>520</v>
      </c>
      <c r="I46" s="168">
        <v>0.33570075757575757</v>
      </c>
    </row>
    <row r="47" spans="1:12">
      <c r="A47" t="s">
        <v>789</v>
      </c>
      <c r="B47">
        <v>18792</v>
      </c>
      <c r="C47">
        <v>19264</v>
      </c>
      <c r="D47">
        <v>20863</v>
      </c>
      <c r="E47">
        <v>21881</v>
      </c>
      <c r="F47">
        <v>3</v>
      </c>
      <c r="H47" t="s">
        <v>789</v>
      </c>
      <c r="I47" s="168">
        <v>0.65867973814053982</v>
      </c>
    </row>
    <row r="48" spans="1:12">
      <c r="A48" t="s">
        <v>837</v>
      </c>
      <c r="B48">
        <v>5919</v>
      </c>
      <c r="C48">
        <v>5978</v>
      </c>
      <c r="D48">
        <v>5940</v>
      </c>
      <c r="E48">
        <v>6279</v>
      </c>
      <c r="F48">
        <v>9</v>
      </c>
      <c r="H48" t="s">
        <v>837</v>
      </c>
      <c r="I48" s="168">
        <v>0.46999031945788966</v>
      </c>
    </row>
    <row r="49" spans="1:9">
      <c r="A49" t="s">
        <v>790</v>
      </c>
      <c r="B49">
        <v>7209</v>
      </c>
      <c r="C49">
        <v>7637</v>
      </c>
      <c r="D49">
        <v>8021</v>
      </c>
      <c r="E49">
        <v>8085</v>
      </c>
      <c r="F49">
        <v>8</v>
      </c>
      <c r="H49" t="s">
        <v>790</v>
      </c>
      <c r="I49" s="168">
        <v>0.62660325695345154</v>
      </c>
    </row>
    <row r="50" spans="1:9">
      <c r="A50" t="s">
        <v>523</v>
      </c>
      <c r="B50">
        <v>17869</v>
      </c>
      <c r="C50">
        <v>17461</v>
      </c>
      <c r="D50">
        <v>18230</v>
      </c>
      <c r="E50">
        <v>20338</v>
      </c>
      <c r="F50">
        <v>4</v>
      </c>
      <c r="H50" t="s">
        <v>523</v>
      </c>
      <c r="I50" s="168">
        <v>0.57369432874078818</v>
      </c>
    </row>
    <row r="51" spans="1:9">
      <c r="A51" t="s">
        <v>524</v>
      </c>
      <c r="B51">
        <v>29597</v>
      </c>
      <c r="C51">
        <v>31145</v>
      </c>
      <c r="D51">
        <v>31984</v>
      </c>
      <c r="E51">
        <v>32519</v>
      </c>
      <c r="F51">
        <v>2</v>
      </c>
      <c r="H51" t="s">
        <v>524</v>
      </c>
      <c r="I51" s="168">
        <v>0.62842611466228648</v>
      </c>
    </row>
    <row r="52" spans="1:9">
      <c r="I52" s="168"/>
    </row>
    <row r="53" spans="1:9">
      <c r="A53" t="s">
        <v>503</v>
      </c>
      <c r="B53">
        <v>243533</v>
      </c>
      <c r="C53">
        <v>249247</v>
      </c>
      <c r="D53">
        <v>258913</v>
      </c>
      <c r="E53">
        <v>266222</v>
      </c>
      <c r="F53">
        <v>0</v>
      </c>
      <c r="H53" t="s">
        <v>503</v>
      </c>
      <c r="I53" s="168">
        <v>0.61133114033488201</v>
      </c>
    </row>
  </sheetData>
  <sortState ref="H41:I50">
    <sortCondition ref="H41:H50"/>
  </sortState>
  <mergeCells count="4">
    <mergeCell ref="Y8:Z8"/>
    <mergeCell ref="AB8:AC8"/>
    <mergeCell ref="AE8:AH8"/>
    <mergeCell ref="AJ8:AM8"/>
  </mergeCells>
  <hyperlinks>
    <hyperlink ref="A3" r:id="rId1"/>
    <hyperlink ref="A4" r:id="rId2"/>
    <hyperlink ref="B7" r:id="rId3" location="Donn%C3%A9es_publiques"/>
  </hyperlinks>
  <pageMargins left="0.7" right="0.7" top="0.75" bottom="0.75" header="0.3" footer="0.3"/>
  <pageSetup paperSize="9" orientation="portrait" horizontalDpi="1200" verticalDpi="1200"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91"/>
  <sheetViews>
    <sheetView topLeftCell="A28" zoomScaleNormal="100" workbookViewId="0">
      <selection activeCell="A24" sqref="A24:U31"/>
    </sheetView>
  </sheetViews>
  <sheetFormatPr baseColWidth="10" defaultRowHeight="15"/>
  <cols>
    <col min="1" max="1" width="21" style="16" customWidth="1"/>
    <col min="2" max="2" width="27.5703125" style="16" bestFit="1" customWidth="1"/>
    <col min="3" max="10" width="11.42578125" style="16"/>
    <col min="11" max="11" width="11.42578125" style="277"/>
    <col min="12" max="14" width="11.42578125" style="16"/>
    <col min="15" max="15" width="11.42578125" style="277"/>
    <col min="16" max="16384" width="11.42578125" style="16"/>
  </cols>
  <sheetData>
    <row r="3" spans="1:23">
      <c r="O3" s="277" t="s">
        <v>1687</v>
      </c>
    </row>
    <row r="4" spans="1:23">
      <c r="C4" s="16" t="s">
        <v>1686</v>
      </c>
      <c r="D4" s="16" t="s">
        <v>1686</v>
      </c>
      <c r="E4" s="16" t="s">
        <v>1686</v>
      </c>
      <c r="F4" s="16" t="s">
        <v>1686</v>
      </c>
      <c r="G4" s="16" t="s">
        <v>1686</v>
      </c>
      <c r="H4" s="656">
        <v>2015</v>
      </c>
      <c r="K4" s="657">
        <v>2015</v>
      </c>
      <c r="L4" s="658">
        <v>2015</v>
      </c>
      <c r="O4" s="277">
        <v>2013</v>
      </c>
      <c r="P4" s="16">
        <v>1999</v>
      </c>
      <c r="Q4" s="16">
        <v>2008</v>
      </c>
      <c r="R4" s="16">
        <v>2013</v>
      </c>
      <c r="U4" s="16">
        <v>1999</v>
      </c>
      <c r="V4" s="16">
        <v>2008</v>
      </c>
      <c r="W4" s="16">
        <v>2013</v>
      </c>
    </row>
    <row r="5" spans="1:23" ht="45">
      <c r="A5" s="16" t="s">
        <v>483</v>
      </c>
      <c r="B5" s="16" t="s">
        <v>484</v>
      </c>
      <c r="C5" s="14" t="s">
        <v>811</v>
      </c>
      <c r="D5" s="14" t="s">
        <v>812</v>
      </c>
      <c r="E5" s="14" t="s">
        <v>813</v>
      </c>
      <c r="F5" s="14" t="s">
        <v>814</v>
      </c>
      <c r="G5" s="14" t="s">
        <v>815</v>
      </c>
      <c r="H5" s="272" t="s">
        <v>1232</v>
      </c>
      <c r="I5" s="272" t="s">
        <v>816</v>
      </c>
      <c r="J5" s="272" t="s">
        <v>1230</v>
      </c>
      <c r="K5" s="280" t="s">
        <v>90</v>
      </c>
      <c r="L5" s="273" t="s">
        <v>1233</v>
      </c>
      <c r="M5" s="273" t="s">
        <v>817</v>
      </c>
      <c r="N5" s="273" t="s">
        <v>1234</v>
      </c>
      <c r="O5" s="278" t="s">
        <v>1741</v>
      </c>
      <c r="P5" s="14" t="s">
        <v>819</v>
      </c>
      <c r="Q5" s="14" t="s">
        <v>820</v>
      </c>
      <c r="R5" s="275" t="s">
        <v>821</v>
      </c>
      <c r="S5" s="275" t="s">
        <v>818</v>
      </c>
      <c r="T5" s="275" t="s">
        <v>1235</v>
      </c>
      <c r="U5" s="14" t="s">
        <v>1238</v>
      </c>
      <c r="V5" s="14" t="s">
        <v>1236</v>
      </c>
      <c r="W5" s="14" t="s">
        <v>1237</v>
      </c>
    </row>
    <row r="6" spans="1:23">
      <c r="A6" s="10" t="s">
        <v>88</v>
      </c>
      <c r="B6" s="16" t="s">
        <v>89</v>
      </c>
      <c r="C6" s="654">
        <v>1688.6796220031099</v>
      </c>
      <c r="D6" s="654">
        <v>1206.7943237166501</v>
      </c>
      <c r="E6" s="654">
        <v>1970.69786789979</v>
      </c>
      <c r="F6" s="654">
        <v>5473.6238106872797</v>
      </c>
      <c r="G6" s="654">
        <v>2608.7683933598801</v>
      </c>
      <c r="H6" s="659">
        <v>4579</v>
      </c>
      <c r="I6" s="255">
        <f>RANK($J6,$J$6:$J$20,0)</f>
        <v>14</v>
      </c>
      <c r="J6" s="281">
        <f>H6/K6</f>
        <v>3.9591547347305807E-2</v>
      </c>
      <c r="K6" s="660">
        <v>115656</v>
      </c>
      <c r="L6" s="661">
        <v>1017</v>
      </c>
      <c r="M6" s="274">
        <f>RANK($N6,$N$6:$N$20,0)</f>
        <v>12</v>
      </c>
      <c r="N6" s="282">
        <f>L6/K6</f>
        <v>8.7933181157916589E-3</v>
      </c>
      <c r="O6" s="277">
        <v>187281.63305501101</v>
      </c>
      <c r="P6" s="16">
        <v>8738</v>
      </c>
      <c r="Q6" s="16">
        <v>12043.0112042538</v>
      </c>
      <c r="R6" s="663">
        <f>C6+D6+E6+F6+G6</f>
        <v>12948.564017666709</v>
      </c>
      <c r="S6" s="276">
        <f>RANK($T6,$T$6:$T$20,0)</f>
        <v>13</v>
      </c>
      <c r="T6" s="283">
        <f>R6/O6</f>
        <v>6.9139529629492671E-2</v>
      </c>
      <c r="U6" s="16">
        <v>100</v>
      </c>
      <c r="V6" s="16">
        <f>(Q6/P6)*100</f>
        <v>137.8234287509018</v>
      </c>
      <c r="W6" s="16">
        <f>(R6/P6)*100</f>
        <v>148.18681640726379</v>
      </c>
    </row>
    <row r="7" spans="1:23">
      <c r="A7" s="10" t="s">
        <v>5</v>
      </c>
      <c r="B7" s="16" t="s">
        <v>6</v>
      </c>
      <c r="C7" s="654">
        <v>6651.6187079417596</v>
      </c>
      <c r="D7" s="654">
        <v>12654.523660443099</v>
      </c>
      <c r="E7" s="654">
        <v>5683.1822297857998</v>
      </c>
      <c r="F7" s="654">
        <v>20664.132138310601</v>
      </c>
      <c r="G7" s="654">
        <v>11470.910483183899</v>
      </c>
      <c r="H7" s="659">
        <v>28940</v>
      </c>
      <c r="I7" s="255">
        <f t="shared" ref="I7:I20" si="0">RANK($J7,$J$6:$J$20,0)</f>
        <v>8</v>
      </c>
      <c r="J7" s="281">
        <f t="shared" ref="J7:J39" si="1">H7/K7</f>
        <v>7.7474139592658434E-2</v>
      </c>
      <c r="K7" s="660">
        <v>373544</v>
      </c>
      <c r="L7" s="661">
        <v>9971</v>
      </c>
      <c r="M7" s="274">
        <f t="shared" ref="M7:M19" si="2">RANK($N7,$N$6:$N$20,0)</f>
        <v>5</v>
      </c>
      <c r="N7" s="282">
        <f t="shared" ref="N7:N39" si="3">L7/K7</f>
        <v>2.6692973250808473E-2</v>
      </c>
      <c r="O7" s="277">
        <v>544355.23061384296</v>
      </c>
      <c r="P7" s="16">
        <v>30436</v>
      </c>
      <c r="Q7" s="16">
        <v>48711.665462548197</v>
      </c>
      <c r="R7" s="663">
        <f t="shared" ref="R7:R39" si="4">C7+D7+E7+F7+G7</f>
        <v>57124.367219665153</v>
      </c>
      <c r="S7" s="276">
        <f t="shared" ref="S7:S20" si="5">RANK($T7,$T$6:$T$20,0)</f>
        <v>10</v>
      </c>
      <c r="T7" s="283">
        <f t="shared" ref="T7:T39" si="6">R7/O7</f>
        <v>0.10493950274942482</v>
      </c>
      <c r="U7" s="16">
        <v>100</v>
      </c>
      <c r="V7" s="16">
        <f t="shared" ref="V7:V39" si="7">(Q7/P7)*100</f>
        <v>160.04621324270008</v>
      </c>
      <c r="W7" s="16">
        <f t="shared" ref="W7:W39" si="8">(R7/P7)*100</f>
        <v>187.68684196236416</v>
      </c>
    </row>
    <row r="8" spans="1:23">
      <c r="A8" s="12" t="s">
        <v>87</v>
      </c>
      <c r="B8" s="16" t="s">
        <v>1406</v>
      </c>
      <c r="C8" s="654">
        <v>714.95640079782504</v>
      </c>
      <c r="D8" s="654">
        <v>630.68712691642304</v>
      </c>
      <c r="E8" s="654">
        <v>472.02164228694198</v>
      </c>
      <c r="F8" s="654">
        <v>2537.7924110342101</v>
      </c>
      <c r="G8" s="654">
        <v>691.14924494240995</v>
      </c>
      <c r="H8" s="659">
        <v>2554</v>
      </c>
      <c r="I8" s="255">
        <f t="shared" si="0"/>
        <v>15</v>
      </c>
      <c r="J8" s="281">
        <f t="shared" si="1"/>
        <v>3.1682234875268257E-2</v>
      </c>
      <c r="K8" s="660">
        <v>80613</v>
      </c>
      <c r="L8" s="661">
        <v>89</v>
      </c>
      <c r="M8" s="274">
        <f t="shared" si="2"/>
        <v>15</v>
      </c>
      <c r="N8" s="282">
        <f t="shared" si="3"/>
        <v>1.1040402912681577E-3</v>
      </c>
      <c r="O8" s="277">
        <v>111387.523152718</v>
      </c>
      <c r="P8" s="16">
        <v>3126</v>
      </c>
      <c r="Q8" s="16">
        <v>4625.2772156211204</v>
      </c>
      <c r="R8" s="663">
        <f t="shared" si="4"/>
        <v>5046.6068259778094</v>
      </c>
      <c r="S8" s="276">
        <f t="shared" si="5"/>
        <v>15</v>
      </c>
      <c r="T8" s="283">
        <f t="shared" si="6"/>
        <v>4.5306751448801433E-2</v>
      </c>
      <c r="U8" s="16">
        <v>100</v>
      </c>
      <c r="V8" s="16">
        <f t="shared" si="7"/>
        <v>147.96152321244787</v>
      </c>
      <c r="W8" s="16">
        <f t="shared" si="8"/>
        <v>161.43975770882309</v>
      </c>
    </row>
    <row r="9" spans="1:23">
      <c r="A9" s="10" t="s">
        <v>7</v>
      </c>
      <c r="B9" s="16" t="s">
        <v>8</v>
      </c>
      <c r="C9" s="654">
        <v>4824.2872422091996</v>
      </c>
      <c r="D9" s="654">
        <v>18221.508727016699</v>
      </c>
      <c r="E9" s="654">
        <v>3333.1390580022298</v>
      </c>
      <c r="F9" s="654">
        <v>12720.807916326499</v>
      </c>
      <c r="G9" s="654">
        <v>8267.4805518520807</v>
      </c>
      <c r="H9" s="659">
        <v>21219</v>
      </c>
      <c r="I9" s="255">
        <f t="shared" si="0"/>
        <v>6</v>
      </c>
      <c r="J9" s="281">
        <f t="shared" si="1"/>
        <v>8.9981553336301756E-2</v>
      </c>
      <c r="K9" s="660">
        <v>235815</v>
      </c>
      <c r="L9" s="661">
        <v>12826</v>
      </c>
      <c r="M9" s="274">
        <f t="shared" si="2"/>
        <v>2</v>
      </c>
      <c r="N9" s="282">
        <f t="shared" si="3"/>
        <v>5.4390093929563427E-2</v>
      </c>
      <c r="O9" s="277">
        <v>345980.84156687203</v>
      </c>
      <c r="P9" s="16">
        <v>29212</v>
      </c>
      <c r="Q9" s="16">
        <v>42280.3618038075</v>
      </c>
      <c r="R9" s="663">
        <f t="shared" si="4"/>
        <v>47367.22349540671</v>
      </c>
      <c r="S9" s="276">
        <f t="shared" si="5"/>
        <v>3</v>
      </c>
      <c r="T9" s="283">
        <f t="shared" si="6"/>
        <v>0.13690707057908424</v>
      </c>
      <c r="U9" s="16">
        <v>100</v>
      </c>
      <c r="V9" s="16">
        <f t="shared" si="7"/>
        <v>144.7362789395026</v>
      </c>
      <c r="W9" s="16">
        <f t="shared" si="8"/>
        <v>162.14988188212624</v>
      </c>
    </row>
    <row r="10" spans="1:23">
      <c r="A10" s="10" t="s">
        <v>9</v>
      </c>
      <c r="B10" s="16" t="s">
        <v>10</v>
      </c>
      <c r="C10" s="654">
        <v>6264.5490114124104</v>
      </c>
      <c r="D10" s="654">
        <v>10119.214126504299</v>
      </c>
      <c r="E10" s="654">
        <v>3744.7371489956399</v>
      </c>
      <c r="F10" s="654">
        <v>19680.780135074001</v>
      </c>
      <c r="G10" s="654">
        <v>8251.1996166116805</v>
      </c>
      <c r="H10" s="659">
        <v>28374</v>
      </c>
      <c r="I10" s="255">
        <f t="shared" si="0"/>
        <v>4</v>
      </c>
      <c r="J10" s="281">
        <f t="shared" si="1"/>
        <v>9.6693065797903516E-2</v>
      </c>
      <c r="K10" s="660">
        <v>293444</v>
      </c>
      <c r="L10" s="661">
        <v>1763</v>
      </c>
      <c r="M10" s="274">
        <f t="shared" si="2"/>
        <v>13</v>
      </c>
      <c r="N10" s="282">
        <f t="shared" si="3"/>
        <v>6.007960633033901E-3</v>
      </c>
      <c r="O10" s="277">
        <v>386830.49529622297</v>
      </c>
      <c r="P10" s="16">
        <v>26856</v>
      </c>
      <c r="Q10" s="16">
        <v>41343.726887255601</v>
      </c>
      <c r="R10" s="663">
        <f t="shared" si="4"/>
        <v>48060.480038598027</v>
      </c>
      <c r="S10" s="276">
        <f t="shared" si="5"/>
        <v>4</v>
      </c>
      <c r="T10" s="283">
        <f t="shared" si="6"/>
        <v>0.12424170437181996</v>
      </c>
      <c r="U10" s="16">
        <v>100</v>
      </c>
      <c r="V10" s="16">
        <f t="shared" si="7"/>
        <v>153.94595951465448</v>
      </c>
      <c r="W10" s="16">
        <f t="shared" si="8"/>
        <v>178.9562110463138</v>
      </c>
    </row>
    <row r="11" spans="1:23">
      <c r="A11" s="10" t="s">
        <v>11</v>
      </c>
      <c r="B11" s="16" t="s">
        <v>12</v>
      </c>
      <c r="C11" s="654">
        <v>16610.214194360899</v>
      </c>
      <c r="D11" s="654">
        <v>28592.130508833099</v>
      </c>
      <c r="E11" s="654">
        <v>9752.7153219963602</v>
      </c>
      <c r="F11" s="654">
        <v>43921.616827443897</v>
      </c>
      <c r="G11" s="654">
        <v>23837.900350763601</v>
      </c>
      <c r="H11" s="659">
        <v>68811</v>
      </c>
      <c r="I11" s="255">
        <f t="shared" si="0"/>
        <v>3</v>
      </c>
      <c r="J11" s="281">
        <f t="shared" si="1"/>
        <v>0.10240387405741737</v>
      </c>
      <c r="K11" s="660">
        <v>671957</v>
      </c>
      <c r="L11" s="661">
        <v>12425</v>
      </c>
      <c r="M11" s="274">
        <f t="shared" si="2"/>
        <v>6</v>
      </c>
      <c r="N11" s="282">
        <f t="shared" si="3"/>
        <v>1.8490766522262586E-2</v>
      </c>
      <c r="O11" s="277">
        <v>837389.71606705803</v>
      </c>
      <c r="P11" s="16">
        <v>68071</v>
      </c>
      <c r="Q11" s="16">
        <v>103032.537318642</v>
      </c>
      <c r="R11" s="663">
        <f t="shared" si="4"/>
        <v>122714.57720339787</v>
      </c>
      <c r="S11" s="276">
        <f t="shared" si="5"/>
        <v>2</v>
      </c>
      <c r="T11" s="283">
        <f t="shared" si="6"/>
        <v>0.14654416557651026</v>
      </c>
      <c r="U11" s="16">
        <v>100</v>
      </c>
      <c r="V11" s="16">
        <f t="shared" si="7"/>
        <v>151.36039916945836</v>
      </c>
      <c r="W11" s="16">
        <f t="shared" si="8"/>
        <v>180.27438586681242</v>
      </c>
    </row>
    <row r="12" spans="1:23">
      <c r="A12" s="10" t="s">
        <v>13</v>
      </c>
      <c r="B12" s="16" t="s">
        <v>54</v>
      </c>
      <c r="C12" s="654">
        <v>5146.6815433777201</v>
      </c>
      <c r="D12" s="654">
        <v>10211.072089429699</v>
      </c>
      <c r="E12" s="654">
        <v>6140.3354014648503</v>
      </c>
      <c r="F12" s="654">
        <v>21553.410645608001</v>
      </c>
      <c r="G12" s="654">
        <v>11153.060125686099</v>
      </c>
      <c r="H12" s="659">
        <v>26382</v>
      </c>
      <c r="I12" s="255">
        <f t="shared" si="0"/>
        <v>10</v>
      </c>
      <c r="J12" s="281">
        <f t="shared" si="1"/>
        <v>6.8876571992491503E-2</v>
      </c>
      <c r="K12" s="660">
        <v>383033</v>
      </c>
      <c r="L12" s="661">
        <v>11810</v>
      </c>
      <c r="M12" s="274">
        <f t="shared" si="2"/>
        <v>4</v>
      </c>
      <c r="N12" s="282">
        <f t="shared" si="3"/>
        <v>3.0832852521845377E-2</v>
      </c>
      <c r="O12" s="277">
        <v>505472.53149299597</v>
      </c>
      <c r="P12" s="16">
        <v>32341</v>
      </c>
      <c r="Q12" s="16">
        <v>47284.045636136303</v>
      </c>
      <c r="R12" s="663">
        <f t="shared" si="4"/>
        <v>54204.559805566372</v>
      </c>
      <c r="S12" s="276">
        <f t="shared" si="5"/>
        <v>9</v>
      </c>
      <c r="T12" s="283">
        <f t="shared" si="6"/>
        <v>0.107235421172075</v>
      </c>
      <c r="U12" s="16">
        <v>100</v>
      </c>
      <c r="V12" s="16">
        <f t="shared" si="7"/>
        <v>146.20464931862435</v>
      </c>
      <c r="W12" s="16">
        <f t="shared" si="8"/>
        <v>167.60322749935492</v>
      </c>
    </row>
    <row r="13" spans="1:23">
      <c r="A13" s="10" t="s">
        <v>14</v>
      </c>
      <c r="B13" s="16" t="s">
        <v>15</v>
      </c>
      <c r="C13" s="654">
        <v>2824.5049208035898</v>
      </c>
      <c r="D13" s="654">
        <v>8777.1499912684994</v>
      </c>
      <c r="E13" s="654">
        <v>4133.9564887427996</v>
      </c>
      <c r="F13" s="654">
        <v>10447.1638210906</v>
      </c>
      <c r="G13" s="654">
        <v>6900.9137305652102</v>
      </c>
      <c r="H13" s="659">
        <v>15196</v>
      </c>
      <c r="I13" s="255">
        <f t="shared" si="0"/>
        <v>7</v>
      </c>
      <c r="J13" s="281">
        <f t="shared" si="1"/>
        <v>8.2850366654853749E-2</v>
      </c>
      <c r="K13" s="660">
        <v>183415</v>
      </c>
      <c r="L13" s="661">
        <v>2496</v>
      </c>
      <c r="M13" s="274">
        <f t="shared" si="2"/>
        <v>9</v>
      </c>
      <c r="N13" s="282">
        <f t="shared" si="3"/>
        <v>1.3608483493716435E-2</v>
      </c>
      <c r="O13" s="277">
        <v>267319.11828029598</v>
      </c>
      <c r="P13" s="16">
        <v>17283</v>
      </c>
      <c r="Q13" s="16">
        <v>26630.828544574</v>
      </c>
      <c r="R13" s="663">
        <f t="shared" si="4"/>
        <v>33083.6889524707</v>
      </c>
      <c r="S13" s="276">
        <f t="shared" si="5"/>
        <v>5</v>
      </c>
      <c r="T13" s="283">
        <f t="shared" si="6"/>
        <v>0.12376102826203766</v>
      </c>
      <c r="U13" s="16">
        <v>100</v>
      </c>
      <c r="V13" s="16">
        <f t="shared" si="7"/>
        <v>154.08683992694557</v>
      </c>
      <c r="W13" s="16">
        <f t="shared" si="8"/>
        <v>191.42330007794192</v>
      </c>
    </row>
    <row r="14" spans="1:23">
      <c r="A14" s="10" t="s">
        <v>16</v>
      </c>
      <c r="B14" s="16" t="s">
        <v>17</v>
      </c>
      <c r="C14" s="654">
        <v>6798.66605199476</v>
      </c>
      <c r="D14" s="654">
        <v>12571.1824274438</v>
      </c>
      <c r="E14" s="654">
        <v>4474.8910896039097</v>
      </c>
      <c r="F14" s="654">
        <v>19143.220387645099</v>
      </c>
      <c r="G14" s="654">
        <v>9699.1106067012206</v>
      </c>
      <c r="H14" s="659">
        <v>37152</v>
      </c>
      <c r="I14" s="255">
        <f t="shared" si="0"/>
        <v>2</v>
      </c>
      <c r="J14" s="281">
        <f t="shared" si="1"/>
        <v>0.10906464851662449</v>
      </c>
      <c r="K14" s="660">
        <v>340642</v>
      </c>
      <c r="L14" s="661">
        <v>4506</v>
      </c>
      <c r="M14" s="274">
        <f t="shared" si="2"/>
        <v>10</v>
      </c>
      <c r="N14" s="282">
        <f t="shared" si="3"/>
        <v>1.3227963668602228E-2</v>
      </c>
      <c r="O14" s="277">
        <v>464143.20877681201</v>
      </c>
      <c r="P14" s="16">
        <v>24677</v>
      </c>
      <c r="Q14" s="16">
        <v>43567.097343936999</v>
      </c>
      <c r="R14" s="663">
        <f t="shared" si="4"/>
        <v>52687.070563388792</v>
      </c>
      <c r="S14" s="276">
        <f t="shared" si="5"/>
        <v>7</v>
      </c>
      <c r="T14" s="283">
        <f t="shared" si="6"/>
        <v>0.1135146859139415</v>
      </c>
      <c r="U14" s="16">
        <v>100</v>
      </c>
      <c r="V14" s="16">
        <f t="shared" si="7"/>
        <v>176.54940772353609</v>
      </c>
      <c r="W14" s="16">
        <f t="shared" si="8"/>
        <v>213.50678998009803</v>
      </c>
    </row>
    <row r="15" spans="1:23">
      <c r="A15" s="10" t="s">
        <v>18</v>
      </c>
      <c r="B15" s="16" t="s">
        <v>19</v>
      </c>
      <c r="C15" s="654">
        <v>1614.6871658334401</v>
      </c>
      <c r="D15" s="654">
        <v>3248.08481303591</v>
      </c>
      <c r="E15" s="654">
        <v>2963.7856098683001</v>
      </c>
      <c r="F15" s="654">
        <v>7897.1641793091103</v>
      </c>
      <c r="G15" s="654">
        <v>4608.5762586932497</v>
      </c>
      <c r="H15" s="659">
        <v>7004</v>
      </c>
      <c r="I15" s="255">
        <f t="shared" si="0"/>
        <v>13</v>
      </c>
      <c r="J15" s="281">
        <f t="shared" si="1"/>
        <v>4.2483243866193551E-2</v>
      </c>
      <c r="K15" s="660">
        <v>164865</v>
      </c>
      <c r="L15" s="661">
        <v>2264</v>
      </c>
      <c r="M15" s="274">
        <f t="shared" si="2"/>
        <v>8</v>
      </c>
      <c r="N15" s="282">
        <f t="shared" si="3"/>
        <v>1.3732447760288721E-2</v>
      </c>
      <c r="O15" s="277">
        <v>232709.259200239</v>
      </c>
      <c r="P15" s="16">
        <v>14362</v>
      </c>
      <c r="Q15" s="16">
        <v>19895.025788115901</v>
      </c>
      <c r="R15" s="663">
        <f t="shared" si="4"/>
        <v>20332.298026740013</v>
      </c>
      <c r="S15" s="276">
        <f t="shared" si="5"/>
        <v>11</v>
      </c>
      <c r="T15" s="283">
        <f t="shared" si="6"/>
        <v>8.7372105848374126E-2</v>
      </c>
      <c r="U15" s="16">
        <v>100</v>
      </c>
      <c r="V15" s="16">
        <f t="shared" si="7"/>
        <v>138.52545458930445</v>
      </c>
      <c r="W15" s="16">
        <f t="shared" si="8"/>
        <v>141.57010184333666</v>
      </c>
    </row>
    <row r="16" spans="1:23">
      <c r="A16" s="10" t="s">
        <v>20</v>
      </c>
      <c r="B16" s="16" t="s">
        <v>21</v>
      </c>
      <c r="C16" s="654">
        <v>4241.2245833492598</v>
      </c>
      <c r="D16" s="654">
        <v>9222.82845514373</v>
      </c>
      <c r="E16" s="654">
        <v>3694.8839014714899</v>
      </c>
      <c r="F16" s="654">
        <v>12733.4592818767</v>
      </c>
      <c r="G16" s="654">
        <v>8025.1092497098698</v>
      </c>
      <c r="H16" s="659">
        <v>22432</v>
      </c>
      <c r="I16" s="255">
        <f t="shared" si="0"/>
        <v>5</v>
      </c>
      <c r="J16" s="281">
        <f t="shared" si="1"/>
        <v>9.6110918306576351E-2</v>
      </c>
      <c r="K16" s="660">
        <v>233397</v>
      </c>
      <c r="L16" s="661">
        <v>2488</v>
      </c>
      <c r="M16" s="274">
        <f t="shared" si="2"/>
        <v>11</v>
      </c>
      <c r="N16" s="282">
        <f t="shared" si="3"/>
        <v>1.0659948499766493E-2</v>
      </c>
      <c r="O16" s="277">
        <v>347304.501612722</v>
      </c>
      <c r="P16" s="16">
        <v>18351</v>
      </c>
      <c r="Q16" s="16">
        <v>32389.552098264099</v>
      </c>
      <c r="R16" s="663">
        <f t="shared" si="4"/>
        <v>37917.505471551049</v>
      </c>
      <c r="S16" s="276">
        <f t="shared" si="5"/>
        <v>8</v>
      </c>
      <c r="T16" s="283">
        <f t="shared" si="6"/>
        <v>0.10917654477693101</v>
      </c>
      <c r="U16" s="16">
        <v>100</v>
      </c>
      <c r="V16" s="16">
        <f t="shared" si="7"/>
        <v>176.5002021593597</v>
      </c>
      <c r="W16" s="16">
        <f t="shared" si="8"/>
        <v>206.62364705765924</v>
      </c>
    </row>
    <row r="17" spans="1:23">
      <c r="A17" s="10" t="s">
        <v>22</v>
      </c>
      <c r="B17" s="16" t="s">
        <v>23</v>
      </c>
      <c r="C17" s="654">
        <v>2556.8229161054401</v>
      </c>
      <c r="D17" s="654">
        <v>3701.84926513338</v>
      </c>
      <c r="E17" s="654">
        <v>2514.7983053475</v>
      </c>
      <c r="F17" s="654">
        <v>10580.250170970399</v>
      </c>
      <c r="G17" s="654">
        <v>3761.9885512360602</v>
      </c>
      <c r="H17" s="659">
        <v>9369</v>
      </c>
      <c r="I17" s="255">
        <f t="shared" si="0"/>
        <v>12</v>
      </c>
      <c r="J17" s="281">
        <f t="shared" si="1"/>
        <v>4.2879307267376668E-2</v>
      </c>
      <c r="K17" s="660">
        <v>218497</v>
      </c>
      <c r="L17" s="661">
        <v>7367</v>
      </c>
      <c r="M17" s="274">
        <f t="shared" si="2"/>
        <v>3</v>
      </c>
      <c r="N17" s="282">
        <f t="shared" si="3"/>
        <v>3.37167100692458E-2</v>
      </c>
      <c r="O17" s="277">
        <v>327509.85273279098</v>
      </c>
      <c r="P17" s="16">
        <v>15841</v>
      </c>
      <c r="Q17" s="16">
        <v>21430.851979204101</v>
      </c>
      <c r="R17" s="663">
        <f t="shared" si="4"/>
        <v>23115.709208792778</v>
      </c>
      <c r="S17" s="276">
        <f t="shared" si="5"/>
        <v>12</v>
      </c>
      <c r="T17" s="283">
        <f t="shared" si="6"/>
        <v>7.0580194812192243E-2</v>
      </c>
      <c r="U17" s="16">
        <v>100</v>
      </c>
      <c r="V17" s="16">
        <f t="shared" si="7"/>
        <v>135.28724183576858</v>
      </c>
      <c r="W17" s="16">
        <f t="shared" si="8"/>
        <v>145.92329530201866</v>
      </c>
    </row>
    <row r="18" spans="1:23">
      <c r="A18" s="10" t="s">
        <v>24</v>
      </c>
      <c r="B18" s="16" t="s">
        <v>25</v>
      </c>
      <c r="C18" s="654">
        <v>3696.6340739752</v>
      </c>
      <c r="D18" s="654">
        <v>7676.2318815692197</v>
      </c>
      <c r="E18" s="654">
        <v>3193.87628349644</v>
      </c>
      <c r="F18" s="654">
        <v>11992.078636847</v>
      </c>
      <c r="G18" s="654">
        <v>6153.4447387587297</v>
      </c>
      <c r="H18" s="659">
        <v>15113</v>
      </c>
      <c r="I18" s="255">
        <f t="shared" si="0"/>
        <v>9</v>
      </c>
      <c r="J18" s="281">
        <f t="shared" si="1"/>
        <v>7.2307545093536194E-2</v>
      </c>
      <c r="K18" s="660">
        <v>209010</v>
      </c>
      <c r="L18" s="661">
        <v>3640</v>
      </c>
      <c r="M18" s="274">
        <f t="shared" si="2"/>
        <v>7</v>
      </c>
      <c r="N18" s="282">
        <f t="shared" si="3"/>
        <v>1.7415434668197696E-2</v>
      </c>
      <c r="O18" s="277">
        <v>277321.459064261</v>
      </c>
      <c r="P18" s="16">
        <v>22709</v>
      </c>
      <c r="Q18" s="16">
        <v>30510.6505839899</v>
      </c>
      <c r="R18" s="663">
        <f t="shared" si="4"/>
        <v>32712.265614646589</v>
      </c>
      <c r="S18" s="276">
        <f t="shared" si="5"/>
        <v>6</v>
      </c>
      <c r="T18" s="283">
        <f t="shared" si="6"/>
        <v>0.11795793129397351</v>
      </c>
      <c r="U18" s="16">
        <v>100</v>
      </c>
      <c r="V18" s="16">
        <f t="shared" si="7"/>
        <v>134.35488389620812</v>
      </c>
      <c r="W18" s="16">
        <f t="shared" si="8"/>
        <v>144.04978473136902</v>
      </c>
    </row>
    <row r="19" spans="1:23">
      <c r="A19" s="10" t="s">
        <v>51</v>
      </c>
      <c r="B19" s="16" t="s">
        <v>55</v>
      </c>
      <c r="C19" s="654">
        <v>1064.6856441354901</v>
      </c>
      <c r="D19" s="654">
        <v>1722.08041840339</v>
      </c>
      <c r="E19" s="654">
        <v>1816.7333219044499</v>
      </c>
      <c r="F19" s="654">
        <v>5583.0775424897001</v>
      </c>
      <c r="G19" s="654">
        <v>3049.5676647481901</v>
      </c>
      <c r="H19" s="659">
        <v>5732</v>
      </c>
      <c r="I19" s="255">
        <f t="shared" si="0"/>
        <v>11</v>
      </c>
      <c r="J19" s="281">
        <f t="shared" si="1"/>
        <v>4.5607167295237186E-2</v>
      </c>
      <c r="K19" s="660">
        <v>125682</v>
      </c>
      <c r="L19" s="661">
        <v>435</v>
      </c>
      <c r="M19" s="274">
        <f t="shared" si="2"/>
        <v>14</v>
      </c>
      <c r="N19" s="282">
        <f t="shared" si="3"/>
        <v>3.4611161502840502E-3</v>
      </c>
      <c r="O19" s="277">
        <v>219069.58060428599</v>
      </c>
      <c r="P19" s="16">
        <v>8133</v>
      </c>
      <c r="Q19" s="16">
        <v>11786.1324203684</v>
      </c>
      <c r="R19" s="663">
        <f t="shared" si="4"/>
        <v>13236.144591681221</v>
      </c>
      <c r="S19" s="276">
        <f t="shared" si="5"/>
        <v>14</v>
      </c>
      <c r="T19" s="283">
        <f t="shared" si="6"/>
        <v>6.041981983610125E-2</v>
      </c>
      <c r="U19" s="16">
        <v>100</v>
      </c>
      <c r="V19" s="16">
        <f t="shared" si="7"/>
        <v>144.91740342270256</v>
      </c>
      <c r="W19" s="16">
        <f t="shared" si="8"/>
        <v>162.74615260889243</v>
      </c>
    </row>
    <row r="20" spans="1:23">
      <c r="A20" s="10" t="s">
        <v>26</v>
      </c>
      <c r="B20" s="16" t="s">
        <v>27</v>
      </c>
      <c r="C20" s="654">
        <v>8970.7570597174508</v>
      </c>
      <c r="D20" s="654">
        <v>35019.907256639199</v>
      </c>
      <c r="E20" s="654">
        <v>7599.8378685815596</v>
      </c>
      <c r="F20" s="654">
        <v>24784.433546470002</v>
      </c>
      <c r="G20" s="654">
        <v>17795.270195121499</v>
      </c>
      <c r="H20" s="659">
        <v>57037</v>
      </c>
      <c r="I20" s="255">
        <f t="shared" si="0"/>
        <v>1</v>
      </c>
      <c r="J20" s="281">
        <f t="shared" si="1"/>
        <v>0.12687322464904496</v>
      </c>
      <c r="K20" s="660">
        <v>449559</v>
      </c>
      <c r="L20" s="661">
        <v>38045</v>
      </c>
      <c r="M20" s="274">
        <f>RANK($N20,$N$6:$N$20,0)</f>
        <v>1</v>
      </c>
      <c r="N20" s="282">
        <f t="shared" si="3"/>
        <v>8.4627379276135062E-2</v>
      </c>
      <c r="O20" s="277">
        <v>629771.740684925</v>
      </c>
      <c r="P20" s="16">
        <v>46093</v>
      </c>
      <c r="Q20" s="16">
        <v>79127.974960458203</v>
      </c>
      <c r="R20" s="663">
        <f t="shared" si="4"/>
        <v>94170.205926529714</v>
      </c>
      <c r="S20" s="276">
        <f t="shared" si="5"/>
        <v>1</v>
      </c>
      <c r="T20" s="283">
        <f t="shared" si="6"/>
        <v>0.14953069476269673</v>
      </c>
      <c r="U20" s="16">
        <v>100</v>
      </c>
      <c r="V20" s="16">
        <f t="shared" si="7"/>
        <v>171.67026437953311</v>
      </c>
      <c r="W20" s="16">
        <f t="shared" si="8"/>
        <v>204.30478798630966</v>
      </c>
    </row>
    <row r="21" spans="1:23">
      <c r="A21" s="10" t="s">
        <v>28</v>
      </c>
      <c r="B21" s="16" t="s">
        <v>29</v>
      </c>
      <c r="C21" s="654">
        <v>18948.950833126401</v>
      </c>
      <c r="D21" s="654">
        <v>30631.9056547648</v>
      </c>
      <c r="E21" s="654">
        <v>10726.929748586999</v>
      </c>
      <c r="F21" s="654">
        <v>48850.662652141698</v>
      </c>
      <c r="G21" s="654">
        <v>25983.099229056901</v>
      </c>
      <c r="H21" s="659">
        <v>72620</v>
      </c>
      <c r="I21" s="255">
        <f>RANK($J21,$J$21:$J$35,0)</f>
        <v>6</v>
      </c>
      <c r="J21" s="281">
        <f t="shared" si="1"/>
        <v>9.2718613944818257E-2</v>
      </c>
      <c r="K21" s="660">
        <v>783230</v>
      </c>
      <c r="L21" s="661">
        <v>13890</v>
      </c>
      <c r="M21" s="274">
        <f>RANK($N21,$N$21:$N$35,0)</f>
        <v>7</v>
      </c>
      <c r="N21" s="282">
        <f t="shared" si="3"/>
        <v>1.7734254305887161E-2</v>
      </c>
      <c r="O21" s="277">
        <v>994260.84957576101</v>
      </c>
      <c r="P21" s="16">
        <v>75238</v>
      </c>
      <c r="Q21" s="16">
        <v>114064.545940728</v>
      </c>
      <c r="R21" s="663">
        <f t="shared" si="4"/>
        <v>135141.54811767681</v>
      </c>
      <c r="S21" s="276">
        <f>RANK($T21,$T$21:$T$35,0)</f>
        <v>3</v>
      </c>
      <c r="T21" s="283">
        <f t="shared" si="6"/>
        <v>0.13592162275658351</v>
      </c>
      <c r="U21" s="16">
        <v>100</v>
      </c>
      <c r="V21" s="16">
        <f t="shared" si="7"/>
        <v>151.60496815535765</v>
      </c>
      <c r="W21" s="16">
        <f t="shared" si="8"/>
        <v>179.61874068645739</v>
      </c>
    </row>
    <row r="22" spans="1:23">
      <c r="A22" s="10" t="s">
        <v>30</v>
      </c>
      <c r="B22" s="16" t="s">
        <v>485</v>
      </c>
      <c r="C22" s="654">
        <v>7525.9797894735002</v>
      </c>
      <c r="D22" s="654">
        <v>15423.688100278499</v>
      </c>
      <c r="E22" s="654">
        <v>7973.6647229569699</v>
      </c>
      <c r="F22" s="654">
        <v>28971.181073920801</v>
      </c>
      <c r="G22" s="654">
        <v>15900.3044975556</v>
      </c>
      <c r="H22" s="659">
        <v>44511</v>
      </c>
      <c r="I22" s="255">
        <f t="shared" ref="I22:I35" si="9">RANK($J22,$J$21:$J$35,0)</f>
        <v>8</v>
      </c>
      <c r="J22" s="281">
        <f t="shared" si="1"/>
        <v>8.5343196185239084E-2</v>
      </c>
      <c r="K22" s="660">
        <v>521553</v>
      </c>
      <c r="L22" s="661">
        <v>16061</v>
      </c>
      <c r="M22" s="274">
        <f t="shared" ref="M22:M35" si="10">RANK($N22,$N$21:$N$35,0)</f>
        <v>3</v>
      </c>
      <c r="N22" s="282">
        <f t="shared" si="3"/>
        <v>3.0794569295929657E-2</v>
      </c>
      <c r="O22" s="277">
        <v>688002.67256147799</v>
      </c>
      <c r="P22" s="16">
        <v>44792</v>
      </c>
      <c r="Q22" s="16">
        <v>66649.836069388897</v>
      </c>
      <c r="R22" s="663">
        <f t="shared" si="4"/>
        <v>75794.818184185366</v>
      </c>
      <c r="S22" s="276">
        <f t="shared" ref="S22:S35" si="11">RANK($T22,$T$21:$T$35,0)</f>
        <v>8</v>
      </c>
      <c r="T22" s="283">
        <f t="shared" si="6"/>
        <v>0.1101664589499288</v>
      </c>
      <c r="U22" s="16">
        <v>100</v>
      </c>
      <c r="V22" s="16">
        <f t="shared" si="7"/>
        <v>148.79852667750691</v>
      </c>
      <c r="W22" s="16">
        <f t="shared" si="8"/>
        <v>169.21507899666318</v>
      </c>
    </row>
    <row r="23" spans="1:23">
      <c r="A23" s="10" t="s">
        <v>31</v>
      </c>
      <c r="B23" s="16" t="s">
        <v>32</v>
      </c>
      <c r="C23" s="654">
        <v>8638.2517138595103</v>
      </c>
      <c r="D23" s="654">
        <v>34791.390564763402</v>
      </c>
      <c r="E23" s="654">
        <v>7126.5258200840799</v>
      </c>
      <c r="F23" s="654">
        <v>23972.7184399916</v>
      </c>
      <c r="G23" s="654">
        <v>17403.568629010901</v>
      </c>
      <c r="H23" s="659">
        <v>56319</v>
      </c>
      <c r="I23" s="255">
        <f t="shared" si="9"/>
        <v>1</v>
      </c>
      <c r="J23" s="281">
        <f t="shared" si="1"/>
        <v>0.13200776309436191</v>
      </c>
      <c r="K23" s="660">
        <v>426634</v>
      </c>
      <c r="L23" s="661">
        <v>37615</v>
      </c>
      <c r="M23" s="274">
        <f t="shared" si="10"/>
        <v>1</v>
      </c>
      <c r="N23" s="282">
        <f t="shared" si="3"/>
        <v>8.8166906528781105E-2</v>
      </c>
      <c r="O23" s="277">
        <v>584042.03503718099</v>
      </c>
      <c r="P23" s="16">
        <v>44814</v>
      </c>
      <c r="Q23" s="16">
        <v>77041.855421270695</v>
      </c>
      <c r="R23" s="663">
        <f t="shared" si="4"/>
        <v>91932.455167709486</v>
      </c>
      <c r="S23" s="276">
        <f t="shared" si="11"/>
        <v>1</v>
      </c>
      <c r="T23" s="283">
        <f t="shared" si="6"/>
        <v>0.1574072577872874</v>
      </c>
      <c r="U23" s="16">
        <v>100</v>
      </c>
      <c r="V23" s="16">
        <f t="shared" si="7"/>
        <v>171.91470393464252</v>
      </c>
      <c r="W23" s="16">
        <f t="shared" si="8"/>
        <v>205.14226618402617</v>
      </c>
    </row>
    <row r="24" spans="1:23">
      <c r="A24" s="10" t="s">
        <v>33</v>
      </c>
      <c r="B24" s="16" t="s">
        <v>34</v>
      </c>
      <c r="C24" s="654">
        <v>8211.1596197782801</v>
      </c>
      <c r="D24" s="654">
        <v>12139.404626941199</v>
      </c>
      <c r="E24" s="654">
        <v>4851.5964863120398</v>
      </c>
      <c r="F24" s="654">
        <v>25432.1115813631</v>
      </c>
      <c r="G24" s="654">
        <v>10761.9058456189</v>
      </c>
      <c r="H24" s="659">
        <v>36415</v>
      </c>
      <c r="I24" s="255">
        <f t="shared" si="9"/>
        <v>5</v>
      </c>
      <c r="J24" s="281">
        <f t="shared" si="1"/>
        <v>9.2829574944299706E-2</v>
      </c>
      <c r="K24" s="660">
        <v>392278</v>
      </c>
      <c r="L24" s="661">
        <v>3712</v>
      </c>
      <c r="M24" s="274">
        <f t="shared" si="10"/>
        <v>11</v>
      </c>
      <c r="N24" s="282">
        <f t="shared" si="3"/>
        <v>9.4626769790811614E-3</v>
      </c>
      <c r="O24" s="277">
        <v>515044.80101733102</v>
      </c>
      <c r="P24" s="16">
        <v>35690</v>
      </c>
      <c r="Q24" s="16">
        <v>53593.610807156801</v>
      </c>
      <c r="R24" s="663">
        <f t="shared" si="4"/>
        <v>61396.178160013522</v>
      </c>
      <c r="S24" s="276">
        <f t="shared" si="11"/>
        <v>6</v>
      </c>
      <c r="T24" s="283">
        <f t="shared" si="6"/>
        <v>0.11920550996484588</v>
      </c>
      <c r="U24" s="16">
        <v>100</v>
      </c>
      <c r="V24" s="16">
        <f t="shared" si="7"/>
        <v>150.1642219309521</v>
      </c>
      <c r="W24" s="16">
        <f t="shared" si="8"/>
        <v>172.02627671620488</v>
      </c>
    </row>
    <row r="25" spans="1:23">
      <c r="A25" s="10" t="s">
        <v>35</v>
      </c>
      <c r="B25" s="16" t="s">
        <v>61</v>
      </c>
      <c r="C25" s="654">
        <v>6493.8947044780298</v>
      </c>
      <c r="D25" s="654">
        <v>12518.7582425117</v>
      </c>
      <c r="E25" s="654">
        <v>5378.4768165253299</v>
      </c>
      <c r="F25" s="654">
        <v>20041.745179685498</v>
      </c>
      <c r="G25" s="654">
        <v>11181.879811582499</v>
      </c>
      <c r="H25" s="659">
        <v>28375</v>
      </c>
      <c r="I25" s="255">
        <f t="shared" si="9"/>
        <v>10</v>
      </c>
      <c r="J25" s="281">
        <f t="shared" si="1"/>
        <v>7.8763872156867101E-2</v>
      </c>
      <c r="K25" s="660">
        <v>360254</v>
      </c>
      <c r="L25" s="661">
        <v>9971</v>
      </c>
      <c r="M25" s="274">
        <f t="shared" si="10"/>
        <v>4</v>
      </c>
      <c r="N25" s="282">
        <f t="shared" si="3"/>
        <v>2.7677694071405176E-2</v>
      </c>
      <c r="O25" s="277">
        <v>513600.961881603</v>
      </c>
      <c r="P25" s="16">
        <v>29697</v>
      </c>
      <c r="Q25" s="16">
        <v>47387.877301483502</v>
      </c>
      <c r="R25" s="663">
        <f t="shared" si="4"/>
        <v>55614.754754783055</v>
      </c>
      <c r="S25" s="276">
        <f t="shared" si="11"/>
        <v>11</v>
      </c>
      <c r="T25" s="283">
        <f t="shared" si="6"/>
        <v>0.10828397702184124</v>
      </c>
      <c r="U25" s="16">
        <v>100</v>
      </c>
      <c r="V25" s="16">
        <f t="shared" si="7"/>
        <v>159.57126073840288</v>
      </c>
      <c r="W25" s="16">
        <f t="shared" si="8"/>
        <v>187.27398307836839</v>
      </c>
    </row>
    <row r="26" spans="1:23">
      <c r="A26" s="10" t="s">
        <v>36</v>
      </c>
      <c r="B26" s="16" t="s">
        <v>37</v>
      </c>
      <c r="C26" s="654">
        <v>3440.8038058859102</v>
      </c>
      <c r="D26" s="654">
        <v>11565.7459969253</v>
      </c>
      <c r="E26" s="654">
        <v>4424.7520282375799</v>
      </c>
      <c r="F26" s="654">
        <v>14034.0125524336</v>
      </c>
      <c r="G26" s="654">
        <v>9249.8313740262001</v>
      </c>
      <c r="H26" s="659">
        <v>23220</v>
      </c>
      <c r="I26" s="255">
        <f t="shared" si="9"/>
        <v>9</v>
      </c>
      <c r="J26" s="281">
        <f t="shared" si="1"/>
        <v>8.144824949401766E-2</v>
      </c>
      <c r="K26" s="660">
        <v>285089</v>
      </c>
      <c r="L26" s="661">
        <v>6192</v>
      </c>
      <c r="M26" s="274">
        <f t="shared" si="10"/>
        <v>5</v>
      </c>
      <c r="N26" s="282">
        <f t="shared" si="3"/>
        <v>2.1719533198404709E-2</v>
      </c>
      <c r="O26" s="277">
        <v>392802.117231599</v>
      </c>
      <c r="P26" s="16">
        <v>27937</v>
      </c>
      <c r="Q26" s="16">
        <v>40051.4584324959</v>
      </c>
      <c r="R26" s="663">
        <f t="shared" si="4"/>
        <v>42715.145757508588</v>
      </c>
      <c r="S26" s="276">
        <f t="shared" si="11"/>
        <v>9</v>
      </c>
      <c r="T26" s="283">
        <f t="shared" si="6"/>
        <v>0.10874469327853298</v>
      </c>
      <c r="U26" s="16">
        <v>100</v>
      </c>
      <c r="V26" s="16">
        <f t="shared" si="7"/>
        <v>143.36349082756166</v>
      </c>
      <c r="W26" s="16">
        <f t="shared" si="8"/>
        <v>152.89811274477785</v>
      </c>
    </row>
    <row r="27" spans="1:23">
      <c r="A27" s="10" t="s">
        <v>38</v>
      </c>
      <c r="B27" s="16" t="s">
        <v>39</v>
      </c>
      <c r="C27" s="654">
        <v>6296.8912762366399</v>
      </c>
      <c r="D27" s="654">
        <v>12227.779958495001</v>
      </c>
      <c r="E27" s="654">
        <v>4256.9006865696001</v>
      </c>
      <c r="F27" s="654">
        <v>18054.880480352502</v>
      </c>
      <c r="G27" s="654">
        <v>9371.9737446335203</v>
      </c>
      <c r="H27" s="659">
        <v>36216</v>
      </c>
      <c r="I27" s="255">
        <f t="shared" si="9"/>
        <v>2</v>
      </c>
      <c r="J27" s="281">
        <f t="shared" si="1"/>
        <v>0.11853228905173514</v>
      </c>
      <c r="K27" s="660">
        <v>305537</v>
      </c>
      <c r="L27" s="661">
        <v>4014</v>
      </c>
      <c r="M27" s="274">
        <f t="shared" si="10"/>
        <v>10</v>
      </c>
      <c r="N27" s="282">
        <f t="shared" si="3"/>
        <v>1.3137525078795695E-2</v>
      </c>
      <c r="O27" s="277">
        <v>412042.27013745601</v>
      </c>
      <c r="P27" s="16">
        <v>23374</v>
      </c>
      <c r="Q27" s="16">
        <v>41402.153303254898</v>
      </c>
      <c r="R27" s="663">
        <f t="shared" si="4"/>
        <v>50208.426146287267</v>
      </c>
      <c r="S27" s="276">
        <f t="shared" si="11"/>
        <v>5</v>
      </c>
      <c r="T27" s="283">
        <f t="shared" si="6"/>
        <v>0.12185261024199749</v>
      </c>
      <c r="U27" s="16">
        <v>100</v>
      </c>
      <c r="V27" s="16">
        <f t="shared" si="7"/>
        <v>177.12908917281979</v>
      </c>
      <c r="W27" s="16">
        <f t="shared" si="8"/>
        <v>214.80459547483215</v>
      </c>
    </row>
    <row r="28" spans="1:23">
      <c r="A28" s="10" t="s">
        <v>40</v>
      </c>
      <c r="B28" s="16" t="s">
        <v>41</v>
      </c>
      <c r="C28" s="654">
        <v>4559.9201460332997</v>
      </c>
      <c r="D28" s="654">
        <v>8380.8561950641306</v>
      </c>
      <c r="E28" s="654">
        <v>3516.04255378169</v>
      </c>
      <c r="F28" s="654">
        <v>13677.544470909001</v>
      </c>
      <c r="G28" s="654">
        <v>6780.4170546039504</v>
      </c>
      <c r="H28" s="659">
        <v>16113</v>
      </c>
      <c r="I28" s="255">
        <f t="shared" si="9"/>
        <v>11</v>
      </c>
      <c r="J28" s="281">
        <f t="shared" si="1"/>
        <v>6.3358682573511488E-2</v>
      </c>
      <c r="K28" s="660">
        <v>254314</v>
      </c>
      <c r="L28" s="661">
        <v>5086</v>
      </c>
      <c r="M28" s="274">
        <f t="shared" si="10"/>
        <v>6</v>
      </c>
      <c r="N28" s="282">
        <f t="shared" si="3"/>
        <v>1.9998898998875407E-2</v>
      </c>
      <c r="O28" s="277">
        <v>340421.00932321401</v>
      </c>
      <c r="P28" s="16">
        <v>25267</v>
      </c>
      <c r="Q28" s="16">
        <v>34304.685516044199</v>
      </c>
      <c r="R28" s="663">
        <f t="shared" si="4"/>
        <v>36914.780420392075</v>
      </c>
      <c r="S28" s="276">
        <f t="shared" si="11"/>
        <v>10</v>
      </c>
      <c r="T28" s="283">
        <f t="shared" si="6"/>
        <v>0.10843860810407033</v>
      </c>
      <c r="U28" s="16">
        <v>100</v>
      </c>
      <c r="V28" s="16">
        <f t="shared" si="7"/>
        <v>135.76873200634898</v>
      </c>
      <c r="W28" s="16">
        <f t="shared" si="8"/>
        <v>146.09878664025041</v>
      </c>
    </row>
    <row r="29" spans="1:23">
      <c r="A29" s="10" t="s">
        <v>42</v>
      </c>
      <c r="B29" s="16" t="s">
        <v>43</v>
      </c>
      <c r="C29" s="654">
        <v>4622.0292503406199</v>
      </c>
      <c r="D29" s="654">
        <v>18044.496536592</v>
      </c>
      <c r="E29" s="654">
        <v>2993.6288540197902</v>
      </c>
      <c r="F29" s="654">
        <v>11965.195182699699</v>
      </c>
      <c r="G29" s="654">
        <v>7946.3148723140002</v>
      </c>
      <c r="H29" s="659">
        <v>20597</v>
      </c>
      <c r="I29" s="255">
        <f t="shared" si="9"/>
        <v>4</v>
      </c>
      <c r="J29" s="281">
        <f t="shared" si="1"/>
        <v>9.7714754704986556E-2</v>
      </c>
      <c r="K29" s="660">
        <v>210787</v>
      </c>
      <c r="L29" s="661">
        <v>12498</v>
      </c>
      <c r="M29" s="274">
        <f t="shared" si="10"/>
        <v>2</v>
      </c>
      <c r="N29" s="282">
        <f t="shared" si="3"/>
        <v>5.9292081579983585E-2</v>
      </c>
      <c r="O29" s="277">
        <v>302822.633476738</v>
      </c>
      <c r="P29" s="16">
        <v>27928</v>
      </c>
      <c r="Q29" s="16">
        <v>40543.987808621401</v>
      </c>
      <c r="R29" s="663">
        <f t="shared" si="4"/>
        <v>45571.664695966116</v>
      </c>
      <c r="S29" s="276">
        <f t="shared" si="11"/>
        <v>2</v>
      </c>
      <c r="T29" s="283">
        <f t="shared" si="6"/>
        <v>0.15048962547070249</v>
      </c>
      <c r="U29" s="16">
        <v>100</v>
      </c>
      <c r="V29" s="16">
        <f t="shared" si="7"/>
        <v>145.17325912568532</v>
      </c>
      <c r="W29" s="16">
        <f t="shared" si="8"/>
        <v>163.17553958738941</v>
      </c>
    </row>
    <row r="30" spans="1:23">
      <c r="A30" s="10" t="s">
        <v>44</v>
      </c>
      <c r="B30" s="16" t="s">
        <v>45</v>
      </c>
      <c r="C30" s="654">
        <v>3981.1559756565398</v>
      </c>
      <c r="D30" s="654">
        <v>9088.2015689361397</v>
      </c>
      <c r="E30" s="654">
        <v>3552.8515864739902</v>
      </c>
      <c r="F30" s="654">
        <v>12196.1369182135</v>
      </c>
      <c r="G30" s="654">
        <v>7855.7628888632698</v>
      </c>
      <c r="H30" s="659">
        <v>21897</v>
      </c>
      <c r="I30" s="255">
        <f t="shared" si="9"/>
        <v>3</v>
      </c>
      <c r="J30" s="281">
        <f t="shared" si="1"/>
        <v>0.10160690836028528</v>
      </c>
      <c r="K30" s="660">
        <v>215507</v>
      </c>
      <c r="L30" s="661">
        <v>1711</v>
      </c>
      <c r="M30" s="274">
        <f t="shared" si="10"/>
        <v>12</v>
      </c>
      <c r="N30" s="282">
        <f t="shared" si="3"/>
        <v>7.9394172811091991E-3</v>
      </c>
      <c r="O30" s="277">
        <v>313948.628259708</v>
      </c>
      <c r="P30" s="16">
        <v>17687</v>
      </c>
      <c r="Q30" s="16">
        <v>31369.913720818298</v>
      </c>
      <c r="R30" s="663">
        <f t="shared" si="4"/>
        <v>36674.108938143436</v>
      </c>
      <c r="S30" s="276">
        <f t="shared" si="11"/>
        <v>7</v>
      </c>
      <c r="T30" s="283">
        <f t="shared" si="6"/>
        <v>0.11681563681751615</v>
      </c>
      <c r="U30" s="16">
        <v>100</v>
      </c>
      <c r="V30" s="16">
        <f t="shared" si="7"/>
        <v>177.3614164121575</v>
      </c>
      <c r="W30" s="16">
        <f t="shared" si="8"/>
        <v>207.35064701839451</v>
      </c>
    </row>
    <row r="31" spans="1:23">
      <c r="A31" s="10" t="s">
        <v>46</v>
      </c>
      <c r="B31" s="16" t="s">
        <v>47</v>
      </c>
      <c r="C31" s="654">
        <v>2161.8044010602798</v>
      </c>
      <c r="D31" s="654">
        <v>2545.9177907205199</v>
      </c>
      <c r="E31" s="654">
        <v>2154.8366042953699</v>
      </c>
      <c r="F31" s="654">
        <v>9300.2538455785507</v>
      </c>
      <c r="G31" s="654">
        <v>3284.54085277073</v>
      </c>
      <c r="H31" s="659">
        <v>8182</v>
      </c>
      <c r="I31" s="255">
        <f t="shared" si="9"/>
        <v>13</v>
      </c>
      <c r="J31" s="281">
        <f t="shared" si="1"/>
        <v>4.6401107002699456E-2</v>
      </c>
      <c r="K31" s="660">
        <v>176332</v>
      </c>
      <c r="L31" s="661">
        <v>2928</v>
      </c>
      <c r="M31" s="274">
        <f t="shared" si="10"/>
        <v>8</v>
      </c>
      <c r="N31" s="282">
        <f t="shared" si="3"/>
        <v>1.6605040491799561E-2</v>
      </c>
      <c r="O31" s="277">
        <v>263432.02553770097</v>
      </c>
      <c r="P31" s="16">
        <v>13495</v>
      </c>
      <c r="Q31" s="16">
        <v>18133.960789252102</v>
      </c>
      <c r="R31" s="663">
        <f t="shared" si="4"/>
        <v>19447.35349442545</v>
      </c>
      <c r="S31" s="276">
        <f t="shared" si="11"/>
        <v>12</v>
      </c>
      <c r="T31" s="283">
        <f t="shared" si="6"/>
        <v>7.382304203420495E-2</v>
      </c>
      <c r="U31" s="16">
        <v>100</v>
      </c>
      <c r="V31" s="16">
        <f t="shared" si="7"/>
        <v>134.375404144143</v>
      </c>
      <c r="W31" s="16">
        <f t="shared" si="8"/>
        <v>144.10784360448648</v>
      </c>
    </row>
    <row r="32" spans="1:23">
      <c r="A32" s="12" t="s">
        <v>56</v>
      </c>
      <c r="B32" s="16" t="s">
        <v>63</v>
      </c>
      <c r="C32" s="654">
        <v>1247.8168279514</v>
      </c>
      <c r="D32" s="654">
        <v>2038.83303698698</v>
      </c>
      <c r="E32" s="654">
        <v>1893.20968276948</v>
      </c>
      <c r="F32" s="654">
        <v>5638.1550184819498</v>
      </c>
      <c r="G32" s="654">
        <v>3315.0433031186999</v>
      </c>
      <c r="H32" s="659">
        <v>7163</v>
      </c>
      <c r="I32" s="255">
        <f t="shared" si="9"/>
        <v>12</v>
      </c>
      <c r="J32" s="281">
        <f t="shared" si="1"/>
        <v>5.6872226059754345E-2</v>
      </c>
      <c r="K32" s="660">
        <v>125949</v>
      </c>
      <c r="L32" s="661">
        <v>561</v>
      </c>
      <c r="M32" s="274">
        <f t="shared" si="10"/>
        <v>13</v>
      </c>
      <c r="N32" s="282">
        <f t="shared" si="3"/>
        <v>4.4541838363146985E-3</v>
      </c>
      <c r="O32" s="277">
        <v>216062.80728610099</v>
      </c>
      <c r="P32" s="16">
        <v>8296</v>
      </c>
      <c r="Q32" s="16">
        <v>12576.154020640701</v>
      </c>
      <c r="R32" s="663">
        <f t="shared" si="4"/>
        <v>14133.05786930851</v>
      </c>
      <c r="S32" s="276">
        <f t="shared" si="11"/>
        <v>14</v>
      </c>
      <c r="T32" s="283">
        <f t="shared" si="6"/>
        <v>6.5411803386383513E-2</v>
      </c>
      <c r="U32" s="16">
        <v>100</v>
      </c>
      <c r="V32" s="16">
        <f t="shared" si="7"/>
        <v>151.59298481968057</v>
      </c>
      <c r="W32" s="16">
        <f t="shared" si="8"/>
        <v>170.35990681422987</v>
      </c>
    </row>
    <row r="33" spans="1:23">
      <c r="A33" s="10" t="s">
        <v>57</v>
      </c>
      <c r="B33" s="16" t="s">
        <v>64</v>
      </c>
      <c r="C33" s="654">
        <v>1027.56141670893</v>
      </c>
      <c r="D33" s="654">
        <v>1086.3015751616499</v>
      </c>
      <c r="E33" s="654">
        <v>687.14654323459195</v>
      </c>
      <c r="F33" s="654">
        <v>4025.2822118170102</v>
      </c>
      <c r="G33" s="654">
        <v>1292.10949351308</v>
      </c>
      <c r="H33" s="659">
        <v>4226</v>
      </c>
      <c r="I33" s="255">
        <f t="shared" si="9"/>
        <v>15</v>
      </c>
      <c r="J33" s="281">
        <f t="shared" si="1"/>
        <v>3.4479382536755705E-2</v>
      </c>
      <c r="K33" s="660">
        <v>122566</v>
      </c>
      <c r="L33" s="661">
        <v>110</v>
      </c>
      <c r="M33" s="274">
        <f t="shared" si="10"/>
        <v>15</v>
      </c>
      <c r="N33" s="282">
        <f t="shared" si="3"/>
        <v>8.9747564577452143E-4</v>
      </c>
      <c r="O33" s="277">
        <v>172621.78257429699</v>
      </c>
      <c r="P33" s="16">
        <v>5540</v>
      </c>
      <c r="Q33" s="16">
        <v>7447.7824433467704</v>
      </c>
      <c r="R33" s="663">
        <f t="shared" si="4"/>
        <v>8118.4012404352634</v>
      </c>
      <c r="S33" s="276">
        <f t="shared" si="11"/>
        <v>15</v>
      </c>
      <c r="T33" s="283">
        <f t="shared" si="6"/>
        <v>4.7029993082947551E-2</v>
      </c>
      <c r="U33" s="16">
        <v>100</v>
      </c>
      <c r="V33" s="16">
        <f t="shared" si="7"/>
        <v>134.43650619759512</v>
      </c>
      <c r="W33" s="16">
        <f t="shared" si="8"/>
        <v>146.54153863601559</v>
      </c>
    </row>
    <row r="34" spans="1:23">
      <c r="A34" s="10" t="s">
        <v>48</v>
      </c>
      <c r="B34" s="16" t="s">
        <v>49</v>
      </c>
      <c r="C34" s="654">
        <v>2650.3827751797098</v>
      </c>
      <c r="D34" s="654">
        <v>8658.4368697584105</v>
      </c>
      <c r="E34" s="654">
        <v>3888.2136424177602</v>
      </c>
      <c r="F34" s="654">
        <v>9901.8911673975508</v>
      </c>
      <c r="G34" s="654">
        <v>6646.9382243191103</v>
      </c>
      <c r="H34" s="659">
        <v>15061</v>
      </c>
      <c r="I34" s="255">
        <f t="shared" si="9"/>
        <v>7</v>
      </c>
      <c r="J34" s="281">
        <f t="shared" si="1"/>
        <v>8.9589616384412679E-2</v>
      </c>
      <c r="K34" s="660">
        <v>168111</v>
      </c>
      <c r="L34" s="661">
        <v>2437</v>
      </c>
      <c r="M34" s="274">
        <f t="shared" si="10"/>
        <v>9</v>
      </c>
      <c r="N34" s="282">
        <f t="shared" si="3"/>
        <v>1.4496374419282499E-2</v>
      </c>
      <c r="O34" s="277">
        <v>243494.808845608</v>
      </c>
      <c r="P34" s="16">
        <v>16437</v>
      </c>
      <c r="Q34" s="16">
        <v>25496.250841980502</v>
      </c>
      <c r="R34" s="663">
        <f t="shared" si="4"/>
        <v>31745.862679072543</v>
      </c>
      <c r="S34" s="276">
        <f t="shared" si="11"/>
        <v>4</v>
      </c>
      <c r="T34" s="283">
        <f t="shared" si="6"/>
        <v>0.13037593215879006</v>
      </c>
      <c r="U34" s="16">
        <v>100</v>
      </c>
      <c r="V34" s="16">
        <f t="shared" si="7"/>
        <v>155.11498960869076</v>
      </c>
      <c r="W34" s="16">
        <f t="shared" si="8"/>
        <v>193.13659840039267</v>
      </c>
    </row>
    <row r="35" spans="1:23">
      <c r="A35" s="10" t="s">
        <v>58</v>
      </c>
      <c r="B35" s="16" t="s">
        <v>65</v>
      </c>
      <c r="C35" s="654">
        <v>1772.8930960402399</v>
      </c>
      <c r="D35" s="654">
        <v>1149.9405521381</v>
      </c>
      <c r="E35" s="654">
        <v>1916.4266115599801</v>
      </c>
      <c r="F35" s="654">
        <v>5865.1970102695896</v>
      </c>
      <c r="G35" s="654">
        <v>2690.3032120778498</v>
      </c>
      <c r="H35" s="659">
        <v>5115</v>
      </c>
      <c r="I35" s="255">
        <f t="shared" si="9"/>
        <v>14</v>
      </c>
      <c r="J35" s="281">
        <f t="shared" si="1"/>
        <v>4.1532015784601896E-2</v>
      </c>
      <c r="K35" s="660">
        <v>123158</v>
      </c>
      <c r="L35" s="661">
        <v>210</v>
      </c>
      <c r="M35" s="274">
        <f t="shared" si="10"/>
        <v>14</v>
      </c>
      <c r="N35" s="282">
        <f t="shared" si="3"/>
        <v>1.7051267477549165E-3</v>
      </c>
      <c r="O35" s="277">
        <v>197781.988695737</v>
      </c>
      <c r="P35" s="16">
        <v>9121</v>
      </c>
      <c r="Q35" s="16">
        <v>12386.983016455901</v>
      </c>
      <c r="R35" s="663">
        <f t="shared" si="4"/>
        <v>13394.76048208576</v>
      </c>
      <c r="S35" s="276">
        <f t="shared" si="11"/>
        <v>13</v>
      </c>
      <c r="T35" s="283">
        <f t="shared" si="6"/>
        <v>6.7724875103222532E-2</v>
      </c>
      <c r="U35" s="16">
        <v>100</v>
      </c>
      <c r="V35" s="16">
        <f t="shared" si="7"/>
        <v>135.8072910476472</v>
      </c>
      <c r="W35" s="16">
        <f t="shared" si="8"/>
        <v>146.85627104578182</v>
      </c>
    </row>
    <row r="36" spans="1:23">
      <c r="A36" s="175" t="s">
        <v>71</v>
      </c>
      <c r="B36" s="16" t="s">
        <v>116</v>
      </c>
      <c r="C36" s="654">
        <v>7082.7385886832699</v>
      </c>
      <c r="D36" s="654">
        <v>13162.9468146786</v>
      </c>
      <c r="E36" s="654">
        <v>6148.5391090562498</v>
      </c>
      <c r="F36" s="654">
        <v>22365.3948913229</v>
      </c>
      <c r="G36" s="654">
        <v>12469.476064471601</v>
      </c>
      <c r="H36" s="659">
        <v>30298</v>
      </c>
      <c r="I36" s="690" t="s">
        <v>1245</v>
      </c>
      <c r="J36" s="281">
        <f>H36/K36</f>
        <v>7.2523679467262847E-2</v>
      </c>
      <c r="K36" s="662">
        <v>417767</v>
      </c>
      <c r="L36" s="661">
        <v>10758</v>
      </c>
      <c r="M36" s="691" t="s">
        <v>1245</v>
      </c>
      <c r="N36" s="282">
        <f>L36/K36</f>
        <v>2.5751196240966855E-2</v>
      </c>
      <c r="O36" s="277">
        <v>635135.74658690696</v>
      </c>
      <c r="P36" s="16">
        <v>33082</v>
      </c>
      <c r="Q36" s="16">
        <v>52591.827782017797</v>
      </c>
      <c r="R36" s="663">
        <f t="shared" si="4"/>
        <v>61229.095468212618</v>
      </c>
      <c r="S36" s="692" t="s">
        <v>1245</v>
      </c>
      <c r="T36" s="283">
        <f t="shared" si="6"/>
        <v>9.6403163886217377E-2</v>
      </c>
      <c r="U36" s="16">
        <v>100</v>
      </c>
      <c r="V36" s="16">
        <f t="shared" si="7"/>
        <v>158.97414842517924</v>
      </c>
      <c r="W36" s="16">
        <f t="shared" si="8"/>
        <v>185.08281079805519</v>
      </c>
    </row>
    <row r="37" spans="1:23">
      <c r="A37" s="175" t="s">
        <v>69</v>
      </c>
      <c r="B37" s="16" t="s">
        <v>680</v>
      </c>
      <c r="C37" s="654">
        <v>5334.1993251512704</v>
      </c>
      <c r="D37" s="654">
        <v>10834.552699494099</v>
      </c>
      <c r="E37" s="654">
        <v>4473.2204528955399</v>
      </c>
      <c r="F37" s="654">
        <v>17217.3315640951</v>
      </c>
      <c r="G37" s="654">
        <v>9875.8352580310693</v>
      </c>
      <c r="H37" s="659">
        <v>25110</v>
      </c>
      <c r="I37" s="690" t="s">
        <v>1245</v>
      </c>
      <c r="J37" s="281">
        <f t="shared" si="1"/>
        <v>8.7373776036410958E-2</v>
      </c>
      <c r="K37" s="662">
        <v>287386</v>
      </c>
      <c r="L37" s="661">
        <v>9184</v>
      </c>
      <c r="M37" s="691" t="s">
        <v>1245</v>
      </c>
      <c r="N37" s="282">
        <f t="shared" si="3"/>
        <v>3.1957019479028209E-2</v>
      </c>
      <c r="O37" s="277">
        <v>394978.65483987902</v>
      </c>
      <c r="P37" s="16">
        <v>25693</v>
      </c>
      <c r="Q37" s="16">
        <v>40418.763953063797</v>
      </c>
      <c r="R37" s="663">
        <f t="shared" si="4"/>
        <v>47735.139299667077</v>
      </c>
      <c r="S37" s="692" t="s">
        <v>1245</v>
      </c>
      <c r="T37" s="283">
        <f t="shared" si="6"/>
        <v>0.12085498473080399</v>
      </c>
      <c r="U37" s="16">
        <v>100</v>
      </c>
      <c r="V37" s="16">
        <f t="shared" si="7"/>
        <v>157.31430332411082</v>
      </c>
      <c r="W37" s="16">
        <f t="shared" si="8"/>
        <v>185.79044603458951</v>
      </c>
    </row>
    <row r="38" spans="1:23">
      <c r="A38" s="176" t="s">
        <v>73</v>
      </c>
      <c r="B38" s="16" t="s">
        <v>74</v>
      </c>
      <c r="C38" s="654">
        <v>10861.2466312179</v>
      </c>
      <c r="D38" s="654">
        <v>18519.196054179702</v>
      </c>
      <c r="E38" s="654">
        <v>11557.8538035071</v>
      </c>
      <c r="F38" s="654">
        <v>38960.817585168697</v>
      </c>
      <c r="G38" s="654">
        <v>20072.291415134601</v>
      </c>
      <c r="H38" s="659">
        <v>44993</v>
      </c>
      <c r="I38" s="690" t="s">
        <v>1245</v>
      </c>
      <c r="J38" s="281">
        <f t="shared" si="1"/>
        <v>5.5529569159262604E-2</v>
      </c>
      <c r="K38" s="662">
        <v>810253</v>
      </c>
      <c r="L38" s="661">
        <v>22203</v>
      </c>
      <c r="M38" s="691" t="s">
        <v>1245</v>
      </c>
      <c r="N38" s="282">
        <f t="shared" si="3"/>
        <v>2.7402552042386761E-2</v>
      </c>
      <c r="O38" s="277">
        <v>1329558.2198858201</v>
      </c>
      <c r="P38" s="16">
        <v>57636</v>
      </c>
      <c r="Q38" s="16">
        <v>87894.875320372201</v>
      </c>
      <c r="R38" s="663">
        <f t="shared" si="4"/>
        <v>99971.405489208002</v>
      </c>
      <c r="S38" s="692" t="s">
        <v>1245</v>
      </c>
      <c r="T38" s="283">
        <f t="shared" si="6"/>
        <v>7.5191446296946185E-2</v>
      </c>
      <c r="U38" s="16">
        <v>100</v>
      </c>
      <c r="V38" s="16">
        <f t="shared" si="7"/>
        <v>152.49995718018633</v>
      </c>
      <c r="W38" s="16">
        <f t="shared" si="8"/>
        <v>173.4530597008953</v>
      </c>
    </row>
    <row r="39" spans="1:23">
      <c r="A39" s="175" t="s">
        <v>75</v>
      </c>
      <c r="B39" s="16" t="s">
        <v>1479</v>
      </c>
      <c r="C39" s="654">
        <v>304049.2720959725</v>
      </c>
      <c r="D39" s="654">
        <v>538073.36203022499</v>
      </c>
      <c r="E39" s="654">
        <v>299894.51966449054</v>
      </c>
      <c r="F39" s="654">
        <v>1041634.5405574072</v>
      </c>
      <c r="G39" s="654">
        <v>509347.76754467061</v>
      </c>
      <c r="H39" s="659">
        <v>1311429</v>
      </c>
      <c r="I39" s="690" t="s">
        <v>1245</v>
      </c>
      <c r="J39" s="281">
        <f t="shared" si="1"/>
        <v>7.5173711404678642E-2</v>
      </c>
      <c r="K39" s="662">
        <v>17445314</v>
      </c>
      <c r="L39" s="661">
        <v>322687</v>
      </c>
      <c r="M39" s="691" t="s">
        <v>1245</v>
      </c>
      <c r="N39" s="282">
        <f t="shared" si="3"/>
        <v>1.8497058866352306E-2</v>
      </c>
      <c r="O39" s="277">
        <v>25776741.10259429</v>
      </c>
      <c r="P39" s="16">
        <v>1744222</v>
      </c>
      <c r="Q39" s="16">
        <v>2434913.7052360643</v>
      </c>
      <c r="R39" s="663">
        <f t="shared" si="4"/>
        <v>2692999.4618927659</v>
      </c>
      <c r="S39" s="692" t="s">
        <v>1245</v>
      </c>
      <c r="T39" s="283">
        <f t="shared" si="6"/>
        <v>0.10447400822215382</v>
      </c>
      <c r="U39" s="16">
        <v>100</v>
      </c>
      <c r="V39" s="16">
        <f t="shared" si="7"/>
        <v>139.59884150274817</v>
      </c>
      <c r="W39" s="16">
        <f t="shared" si="8"/>
        <v>154.39545321024309</v>
      </c>
    </row>
    <row r="41" spans="1:23" s="267" customFormat="1">
      <c r="A41" s="268" t="s">
        <v>1226</v>
      </c>
      <c r="K41" s="279"/>
      <c r="O41" s="279"/>
    </row>
    <row r="43" spans="1:23">
      <c r="A43" s="257" t="s">
        <v>1187</v>
      </c>
      <c r="B43" s="258"/>
      <c r="C43" s="258"/>
      <c r="D43" s="258"/>
      <c r="E43" s="258"/>
    </row>
    <row r="44" spans="1:23">
      <c r="A44" s="259" t="s">
        <v>1188</v>
      </c>
      <c r="B44" s="258"/>
      <c r="C44" s="258"/>
      <c r="D44" s="258"/>
      <c r="E44" s="258"/>
    </row>
    <row r="45" spans="1:23" ht="15.75" thickBot="1">
      <c r="A45" s="259"/>
      <c r="B45" s="258"/>
      <c r="C45" s="258"/>
      <c r="D45" s="258"/>
      <c r="E45" s="258"/>
    </row>
    <row r="46" spans="1:23" ht="33.75" customHeight="1" thickBot="1">
      <c r="A46" s="970" t="s">
        <v>834</v>
      </c>
      <c r="B46" s="970" t="s">
        <v>1189</v>
      </c>
      <c r="C46" s="972" t="s">
        <v>1190</v>
      </c>
      <c r="D46" s="973"/>
      <c r="E46" s="258"/>
    </row>
    <row r="47" spans="1:23" ht="51.75" thickBot="1">
      <c r="A47" s="971"/>
      <c r="B47" s="971"/>
      <c r="C47" s="260" t="s">
        <v>1191</v>
      </c>
      <c r="D47" s="260" t="s">
        <v>1192</v>
      </c>
      <c r="E47" s="258"/>
    </row>
    <row r="48" spans="1:23">
      <c r="A48" s="261" t="s">
        <v>789</v>
      </c>
      <c r="B48" s="262" t="s">
        <v>1193</v>
      </c>
      <c r="C48" s="263">
        <v>50</v>
      </c>
      <c r="D48" s="263">
        <v>85</v>
      </c>
      <c r="E48" s="258"/>
    </row>
    <row r="49" spans="1:5">
      <c r="A49" s="261" t="s">
        <v>74</v>
      </c>
      <c r="B49" s="262" t="s">
        <v>2</v>
      </c>
      <c r="C49" s="263">
        <v>40</v>
      </c>
      <c r="D49" s="263">
        <v>61</v>
      </c>
    </row>
    <row r="50" spans="1:5">
      <c r="A50" s="261" t="s">
        <v>520</v>
      </c>
      <c r="B50" s="262" t="s">
        <v>735</v>
      </c>
      <c r="C50" s="263">
        <v>28</v>
      </c>
      <c r="D50" s="263">
        <v>58</v>
      </c>
    </row>
    <row r="51" spans="1:5">
      <c r="A51" s="261" t="s">
        <v>786</v>
      </c>
      <c r="B51" s="262" t="s">
        <v>736</v>
      </c>
      <c r="C51" s="263">
        <v>37</v>
      </c>
      <c r="D51" s="263">
        <v>50</v>
      </c>
    </row>
    <row r="52" spans="1:5">
      <c r="A52" s="261" t="s">
        <v>790</v>
      </c>
      <c r="B52" s="262" t="s">
        <v>737</v>
      </c>
      <c r="C52" s="263">
        <v>30</v>
      </c>
      <c r="D52" s="263">
        <v>48</v>
      </c>
    </row>
    <row r="53" spans="1:5">
      <c r="A53" s="261" t="s">
        <v>1087</v>
      </c>
      <c r="B53" s="262" t="s">
        <v>111</v>
      </c>
      <c r="C53" s="263">
        <v>46</v>
      </c>
      <c r="D53" s="263">
        <v>47</v>
      </c>
      <c r="E53" s="258"/>
    </row>
    <row r="54" spans="1:5">
      <c r="A54" s="261" t="s">
        <v>837</v>
      </c>
      <c r="B54" s="262" t="s">
        <v>733</v>
      </c>
      <c r="C54" s="263">
        <v>26</v>
      </c>
      <c r="D54" s="263">
        <v>45</v>
      </c>
    </row>
    <row r="55" spans="1:5">
      <c r="A55" s="261" t="s">
        <v>788</v>
      </c>
      <c r="B55" s="262" t="s">
        <v>748</v>
      </c>
      <c r="C55" s="263">
        <v>26</v>
      </c>
      <c r="D55" s="263">
        <v>43</v>
      </c>
    </row>
    <row r="56" spans="1:5">
      <c r="A56" s="261" t="s">
        <v>524</v>
      </c>
      <c r="B56" s="262" t="s">
        <v>731</v>
      </c>
      <c r="C56" s="263">
        <v>32</v>
      </c>
      <c r="D56" s="263">
        <v>43</v>
      </c>
      <c r="E56" s="258"/>
    </row>
    <row r="57" spans="1:5">
      <c r="A57" s="261" t="s">
        <v>1219</v>
      </c>
      <c r="B57" s="262" t="s">
        <v>1220</v>
      </c>
      <c r="C57" s="263">
        <v>27</v>
      </c>
      <c r="D57" s="263">
        <v>29</v>
      </c>
    </row>
    <row r="58" spans="1:5">
      <c r="E58" s="258"/>
    </row>
    <row r="59" spans="1:5">
      <c r="E59" s="258"/>
    </row>
    <row r="60" spans="1:5">
      <c r="E60" s="258"/>
    </row>
    <row r="62" spans="1:5">
      <c r="E62" s="258"/>
    </row>
    <row r="63" spans="1:5">
      <c r="E63" s="258"/>
    </row>
    <row r="64" spans="1:5">
      <c r="E64" s="258"/>
    </row>
    <row r="71" spans="1:5">
      <c r="E71" s="258"/>
    </row>
    <row r="74" spans="1:5">
      <c r="A74" s="974" t="s">
        <v>1225</v>
      </c>
      <c r="B74" s="974"/>
      <c r="C74" s="974"/>
      <c r="D74" s="974"/>
      <c r="E74" s="974"/>
    </row>
    <row r="76" spans="1:5">
      <c r="A76" s="261" t="s">
        <v>1194</v>
      </c>
      <c r="B76" s="262" t="s">
        <v>1195</v>
      </c>
      <c r="C76" s="263">
        <v>68</v>
      </c>
      <c r="D76" s="263">
        <v>84</v>
      </c>
      <c r="E76" s="258"/>
    </row>
    <row r="77" spans="1:5">
      <c r="A77" s="261" t="s">
        <v>1196</v>
      </c>
      <c r="B77" s="262" t="s">
        <v>1197</v>
      </c>
      <c r="C77" s="263">
        <v>60</v>
      </c>
      <c r="D77" s="263">
        <v>75</v>
      </c>
      <c r="E77" s="258"/>
    </row>
    <row r="78" spans="1:5">
      <c r="A78" s="261" t="s">
        <v>1198</v>
      </c>
      <c r="B78" s="262" t="s">
        <v>1199</v>
      </c>
      <c r="C78" s="263">
        <v>41</v>
      </c>
      <c r="D78" s="263">
        <v>73</v>
      </c>
      <c r="E78" s="258"/>
    </row>
    <row r="79" spans="1:5">
      <c r="A79" s="261" t="s">
        <v>1200</v>
      </c>
      <c r="B79" s="262" t="s">
        <v>1058</v>
      </c>
      <c r="C79" s="263">
        <v>62</v>
      </c>
      <c r="D79" s="263">
        <v>66</v>
      </c>
      <c r="E79" s="258"/>
    </row>
    <row r="80" spans="1:5">
      <c r="A80" s="261" t="s">
        <v>1201</v>
      </c>
      <c r="B80" s="262" t="s">
        <v>1202</v>
      </c>
      <c r="C80" s="263">
        <v>51</v>
      </c>
      <c r="D80" s="263">
        <v>59</v>
      </c>
      <c r="E80" s="258"/>
    </row>
    <row r="81" spans="1:5">
      <c r="A81" s="261" t="s">
        <v>1203</v>
      </c>
      <c r="B81" s="262" t="s">
        <v>1204</v>
      </c>
      <c r="C81" s="263">
        <v>31</v>
      </c>
      <c r="D81" s="263">
        <v>58</v>
      </c>
      <c r="E81" s="258"/>
    </row>
    <row r="82" spans="1:5">
      <c r="A82" s="261" t="s">
        <v>1205</v>
      </c>
      <c r="B82" s="262" t="s">
        <v>1206</v>
      </c>
      <c r="C82" s="263">
        <v>64</v>
      </c>
      <c r="D82" s="263">
        <v>52</v>
      </c>
      <c r="E82" s="258"/>
    </row>
    <row r="83" spans="1:5">
      <c r="A83" s="261" t="s">
        <v>1221</v>
      </c>
      <c r="B83" s="262" t="s">
        <v>1222</v>
      </c>
      <c r="C83" s="263">
        <v>22</v>
      </c>
      <c r="D83" s="263">
        <v>23</v>
      </c>
      <c r="E83" s="258"/>
    </row>
    <row r="84" spans="1:5" ht="15.75" thickBot="1">
      <c r="A84" s="264" t="s">
        <v>1223</v>
      </c>
      <c r="B84" s="265" t="s">
        <v>1224</v>
      </c>
      <c r="C84" s="266">
        <v>19</v>
      </c>
      <c r="D84" s="266">
        <v>23</v>
      </c>
      <c r="E84" s="258"/>
    </row>
    <row r="85" spans="1:5">
      <c r="A85" s="261" t="s">
        <v>787</v>
      </c>
      <c r="B85" s="262" t="s">
        <v>1209</v>
      </c>
      <c r="C85" s="263">
        <v>33</v>
      </c>
      <c r="D85" s="263">
        <v>42</v>
      </c>
      <c r="E85" s="258"/>
    </row>
    <row r="86" spans="1:5">
      <c r="A86" s="261" t="s">
        <v>1210</v>
      </c>
      <c r="B86" s="262" t="s">
        <v>1211</v>
      </c>
      <c r="C86" s="263">
        <v>32</v>
      </c>
      <c r="D86" s="263">
        <v>40</v>
      </c>
      <c r="E86" s="258"/>
    </row>
    <row r="87" spans="1:5">
      <c r="A87" s="261" t="s">
        <v>1212</v>
      </c>
      <c r="B87" s="262" t="s">
        <v>577</v>
      </c>
      <c r="C87" s="263">
        <v>37</v>
      </c>
      <c r="D87" s="263">
        <v>39</v>
      </c>
      <c r="E87" s="258"/>
    </row>
    <row r="88" spans="1:5">
      <c r="A88" s="261" t="s">
        <v>1213</v>
      </c>
      <c r="B88" s="262" t="s">
        <v>1214</v>
      </c>
      <c r="C88" s="263">
        <v>25</v>
      </c>
      <c r="D88" s="263">
        <v>37</v>
      </c>
      <c r="E88" s="258"/>
    </row>
    <row r="89" spans="1:5">
      <c r="A89" s="261" t="s">
        <v>1215</v>
      </c>
      <c r="B89" s="262" t="s">
        <v>1216</v>
      </c>
      <c r="C89" s="263">
        <v>28</v>
      </c>
      <c r="D89" s="263">
        <v>36</v>
      </c>
      <c r="E89" s="258"/>
    </row>
    <row r="90" spans="1:5">
      <c r="A90" s="261" t="s">
        <v>1217</v>
      </c>
      <c r="B90" s="262" t="s">
        <v>1218</v>
      </c>
      <c r="C90" s="263">
        <v>22</v>
      </c>
      <c r="D90" s="263">
        <v>29</v>
      </c>
      <c r="E90" s="258"/>
    </row>
    <row r="91" spans="1:5">
      <c r="A91" s="261" t="s">
        <v>1207</v>
      </c>
      <c r="B91" s="262" t="s">
        <v>1208</v>
      </c>
      <c r="C91" s="263">
        <v>29</v>
      </c>
      <c r="D91" s="263">
        <v>45</v>
      </c>
      <c r="E91" s="258"/>
    </row>
  </sheetData>
  <mergeCells count="4">
    <mergeCell ref="A46:A47"/>
    <mergeCell ref="B46:B47"/>
    <mergeCell ref="C46:D46"/>
    <mergeCell ref="A74:E7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N195"/>
  <sheetViews>
    <sheetView workbookViewId="0">
      <pane xSplit="2" ySplit="5" topLeftCell="C6" activePane="bottomRight" state="frozen"/>
      <selection activeCell="A24" sqref="A24:U31"/>
      <selection pane="topRight" activeCell="A24" sqref="A24:U31"/>
      <selection pane="bottomLeft" activeCell="A24" sqref="A24:U31"/>
      <selection pane="bottomRight" activeCell="A24" sqref="A24:U31"/>
    </sheetView>
  </sheetViews>
  <sheetFormatPr baseColWidth="10" defaultRowHeight="15"/>
  <cols>
    <col min="2" max="2" width="39.85546875" bestFit="1" customWidth="1"/>
    <col min="7" max="7" width="14" customWidth="1"/>
    <col min="8" max="8" width="13.5703125" customWidth="1"/>
    <col min="11" max="11" width="12.5703125" customWidth="1"/>
    <col min="19" max="19" width="11.85546875" customWidth="1"/>
    <col min="20" max="20" width="14.140625" customWidth="1"/>
    <col min="25" max="25" width="9.28515625" customWidth="1"/>
    <col min="26" max="26" width="10.7109375" customWidth="1"/>
  </cols>
  <sheetData>
    <row r="2" spans="1:22" s="177" customFormat="1">
      <c r="A2" s="177" t="s">
        <v>1805</v>
      </c>
      <c r="C2" s="706" t="s">
        <v>1806</v>
      </c>
    </row>
    <row r="4" spans="1:22">
      <c r="A4" t="s">
        <v>810</v>
      </c>
      <c r="C4" s="254">
        <v>2016</v>
      </c>
      <c r="D4" s="254">
        <v>2016</v>
      </c>
      <c r="E4" s="254">
        <v>2016</v>
      </c>
      <c r="F4" s="254">
        <v>2016</v>
      </c>
      <c r="G4">
        <v>2016</v>
      </c>
      <c r="H4">
        <v>2015</v>
      </c>
      <c r="I4" t="s">
        <v>1879</v>
      </c>
      <c r="J4">
        <v>2016</v>
      </c>
      <c r="K4">
        <v>2016</v>
      </c>
      <c r="L4">
        <v>2016</v>
      </c>
      <c r="M4">
        <v>2015</v>
      </c>
      <c r="N4" t="s">
        <v>1880</v>
      </c>
      <c r="O4">
        <v>2015</v>
      </c>
      <c r="P4">
        <v>2014</v>
      </c>
      <c r="Q4" t="s">
        <v>1881</v>
      </c>
      <c r="R4">
        <v>2015</v>
      </c>
      <c r="S4">
        <v>2015</v>
      </c>
      <c r="T4">
        <v>2015</v>
      </c>
      <c r="U4">
        <v>2014</v>
      </c>
      <c r="V4" t="s">
        <v>1882</v>
      </c>
    </row>
    <row r="5" spans="1:22" ht="60">
      <c r="A5" t="s">
        <v>483</v>
      </c>
      <c r="B5" t="s">
        <v>484</v>
      </c>
      <c r="C5" s="757" t="s">
        <v>822</v>
      </c>
      <c r="D5" s="757" t="s">
        <v>823</v>
      </c>
      <c r="E5" s="757" t="s">
        <v>824</v>
      </c>
      <c r="F5" s="757" t="s">
        <v>825</v>
      </c>
      <c r="G5" s="59" t="s">
        <v>1248</v>
      </c>
      <c r="H5" s="32" t="s">
        <v>1249</v>
      </c>
      <c r="I5" s="59" t="s">
        <v>1263</v>
      </c>
      <c r="J5" s="59" t="s">
        <v>1264</v>
      </c>
      <c r="K5" s="59" t="s">
        <v>1265</v>
      </c>
      <c r="L5" s="59" t="s">
        <v>1266</v>
      </c>
      <c r="M5" s="59" t="s">
        <v>1273</v>
      </c>
      <c r="N5" s="59" t="s">
        <v>1274</v>
      </c>
      <c r="O5" s="59" t="s">
        <v>1271</v>
      </c>
      <c r="P5" s="32" t="s">
        <v>1267</v>
      </c>
      <c r="Q5" s="59" t="s">
        <v>1268</v>
      </c>
      <c r="R5" s="59" t="s">
        <v>1269</v>
      </c>
      <c r="S5" s="59" t="s">
        <v>1270</v>
      </c>
      <c r="T5" s="59" t="s">
        <v>1477</v>
      </c>
      <c r="U5" s="59" t="s">
        <v>1275</v>
      </c>
      <c r="V5" s="59" t="s">
        <v>1276</v>
      </c>
    </row>
    <row r="6" spans="1:22">
      <c r="A6">
        <v>59</v>
      </c>
      <c r="B6" t="s">
        <v>89</v>
      </c>
      <c r="C6" s="254">
        <v>163</v>
      </c>
      <c r="D6" s="254">
        <v>5534</v>
      </c>
      <c r="E6" s="254">
        <v>58</v>
      </c>
      <c r="F6" s="254">
        <v>6471</v>
      </c>
    </row>
    <row r="7" spans="1:22">
      <c r="A7">
        <v>7204</v>
      </c>
      <c r="B7" t="s">
        <v>6</v>
      </c>
      <c r="C7" s="254">
        <v>174</v>
      </c>
      <c r="D7" s="254">
        <v>9544</v>
      </c>
      <c r="E7" s="254">
        <v>46</v>
      </c>
      <c r="F7" s="254">
        <v>11269</v>
      </c>
    </row>
    <row r="8" spans="1:22">
      <c r="A8">
        <v>3122</v>
      </c>
      <c r="B8" t="s">
        <v>1406</v>
      </c>
      <c r="C8" s="254">
        <v>15</v>
      </c>
      <c r="D8" s="254">
        <v>790</v>
      </c>
      <c r="E8" s="254">
        <v>0</v>
      </c>
      <c r="F8" s="254">
        <v>0</v>
      </c>
    </row>
    <row r="9" spans="1:22">
      <c r="A9">
        <v>8210</v>
      </c>
      <c r="B9" t="s">
        <v>8</v>
      </c>
      <c r="C9" s="254">
        <v>183</v>
      </c>
      <c r="D9" s="254">
        <v>6486</v>
      </c>
      <c r="E9" s="254">
        <v>58</v>
      </c>
      <c r="F9" s="254">
        <v>4979</v>
      </c>
    </row>
    <row r="10" spans="1:22">
      <c r="A10">
        <v>3111</v>
      </c>
      <c r="B10" t="s">
        <v>10</v>
      </c>
      <c r="C10" s="254">
        <v>82</v>
      </c>
      <c r="D10" s="254">
        <v>5623</v>
      </c>
      <c r="E10" s="254">
        <v>7</v>
      </c>
      <c r="F10" s="254">
        <v>507</v>
      </c>
    </row>
    <row r="11" spans="1:22">
      <c r="A11">
        <v>8214</v>
      </c>
      <c r="B11" t="s">
        <v>12</v>
      </c>
      <c r="C11" s="254">
        <v>239</v>
      </c>
      <c r="D11" s="254">
        <v>15474</v>
      </c>
      <c r="E11" s="254">
        <v>13</v>
      </c>
      <c r="F11" s="254">
        <v>1657</v>
      </c>
    </row>
    <row r="12" spans="1:22">
      <c r="A12">
        <v>9310</v>
      </c>
      <c r="B12" t="s">
        <v>54</v>
      </c>
      <c r="C12" s="254">
        <v>162</v>
      </c>
      <c r="D12" s="254">
        <v>9327</v>
      </c>
      <c r="E12" s="254">
        <v>22</v>
      </c>
      <c r="F12" s="254">
        <v>4176</v>
      </c>
    </row>
    <row r="13" spans="1:22">
      <c r="A13">
        <v>9111</v>
      </c>
      <c r="B13" t="s">
        <v>15</v>
      </c>
      <c r="C13" s="254">
        <v>145</v>
      </c>
      <c r="D13" s="254">
        <v>6684</v>
      </c>
      <c r="E13" s="254">
        <v>52</v>
      </c>
      <c r="F13" s="254">
        <v>14195</v>
      </c>
    </row>
    <row r="14" spans="1:22">
      <c r="A14">
        <v>5203</v>
      </c>
      <c r="B14" t="s">
        <v>17</v>
      </c>
      <c r="C14" s="254">
        <v>119</v>
      </c>
      <c r="D14" s="254">
        <v>6048</v>
      </c>
      <c r="E14" s="254">
        <v>32</v>
      </c>
      <c r="F14" s="254">
        <v>3428</v>
      </c>
    </row>
    <row r="15" spans="1:22">
      <c r="A15">
        <v>9307</v>
      </c>
      <c r="B15" t="s">
        <v>19</v>
      </c>
      <c r="C15" s="254">
        <v>267</v>
      </c>
      <c r="D15" s="254">
        <v>12779</v>
      </c>
      <c r="E15" s="254">
        <v>41</v>
      </c>
      <c r="F15" s="254">
        <v>3684</v>
      </c>
    </row>
    <row r="16" spans="1:22">
      <c r="A16">
        <v>5312</v>
      </c>
      <c r="B16" t="s">
        <v>21</v>
      </c>
      <c r="C16" s="254">
        <v>100</v>
      </c>
      <c r="D16" s="254">
        <v>4359</v>
      </c>
      <c r="E16" s="254">
        <v>21</v>
      </c>
      <c r="F16" s="254">
        <v>2003</v>
      </c>
    </row>
    <row r="17" spans="1:6">
      <c r="A17">
        <v>2307</v>
      </c>
      <c r="B17" t="s">
        <v>23</v>
      </c>
      <c r="C17" s="254">
        <v>89</v>
      </c>
      <c r="D17" s="254">
        <v>3948</v>
      </c>
      <c r="E17" s="254">
        <v>19</v>
      </c>
      <c r="F17" s="254">
        <v>1758</v>
      </c>
    </row>
    <row r="18" spans="1:6">
      <c r="A18">
        <v>4205</v>
      </c>
      <c r="B18" t="s">
        <v>25</v>
      </c>
      <c r="C18" s="254">
        <v>111</v>
      </c>
      <c r="D18" s="254">
        <v>6761</v>
      </c>
      <c r="E18" s="254">
        <v>6</v>
      </c>
      <c r="F18" s="254">
        <v>1065</v>
      </c>
    </row>
    <row r="19" spans="1:6">
      <c r="A19">
        <v>9315</v>
      </c>
      <c r="B19" t="s">
        <v>55</v>
      </c>
      <c r="C19" s="254">
        <v>137</v>
      </c>
      <c r="D19" s="254">
        <v>4544</v>
      </c>
      <c r="E19" s="254">
        <v>74</v>
      </c>
      <c r="F19" s="254">
        <v>11177</v>
      </c>
    </row>
    <row r="20" spans="1:6">
      <c r="A20">
        <v>61</v>
      </c>
      <c r="B20" t="s">
        <v>27</v>
      </c>
      <c r="C20" s="254">
        <v>171</v>
      </c>
      <c r="D20" s="254">
        <v>9207</v>
      </c>
      <c r="E20" s="254">
        <v>41</v>
      </c>
      <c r="F20" s="254">
        <v>2746</v>
      </c>
    </row>
    <row r="21" spans="1:6">
      <c r="A21">
        <v>2</v>
      </c>
      <c r="B21" t="s">
        <v>29</v>
      </c>
      <c r="C21" s="254">
        <v>305</v>
      </c>
      <c r="D21" s="254">
        <v>17888</v>
      </c>
      <c r="E21" s="254">
        <v>29</v>
      </c>
      <c r="F21" s="254">
        <v>3848</v>
      </c>
    </row>
    <row r="22" spans="1:6">
      <c r="A22">
        <v>3</v>
      </c>
      <c r="B22" t="s">
        <v>59</v>
      </c>
      <c r="C22" s="254">
        <v>231</v>
      </c>
      <c r="D22" s="254">
        <v>12691</v>
      </c>
      <c r="E22" s="254">
        <v>32</v>
      </c>
      <c r="F22" s="254">
        <v>4751</v>
      </c>
    </row>
    <row r="23" spans="1:6">
      <c r="A23">
        <v>4</v>
      </c>
      <c r="B23" t="s">
        <v>32</v>
      </c>
      <c r="C23" s="254">
        <v>148</v>
      </c>
      <c r="D23" s="254">
        <v>8754</v>
      </c>
      <c r="E23" s="254">
        <v>25</v>
      </c>
      <c r="F23" s="254">
        <v>1655</v>
      </c>
    </row>
    <row r="24" spans="1:6">
      <c r="A24">
        <v>5</v>
      </c>
      <c r="B24" t="s">
        <v>34</v>
      </c>
      <c r="C24" s="254">
        <v>100</v>
      </c>
      <c r="D24" s="254">
        <v>6782</v>
      </c>
      <c r="E24" s="254">
        <v>5</v>
      </c>
      <c r="F24" s="254">
        <v>410</v>
      </c>
    </row>
    <row r="25" spans="1:6">
      <c r="A25">
        <v>6</v>
      </c>
      <c r="B25" t="s">
        <v>61</v>
      </c>
      <c r="C25" s="254">
        <v>167</v>
      </c>
      <c r="D25" s="254">
        <v>9389</v>
      </c>
      <c r="E25" s="254">
        <v>56</v>
      </c>
      <c r="F25" s="254">
        <v>13562</v>
      </c>
    </row>
    <row r="26" spans="1:6">
      <c r="A26">
        <v>7</v>
      </c>
      <c r="B26" t="s">
        <v>37</v>
      </c>
      <c r="C26" s="254">
        <v>459</v>
      </c>
      <c r="D26" s="254">
        <v>22601</v>
      </c>
      <c r="E26" s="254">
        <v>58</v>
      </c>
      <c r="F26" s="254">
        <v>6366</v>
      </c>
    </row>
    <row r="27" spans="1:6">
      <c r="A27">
        <v>8</v>
      </c>
      <c r="B27" t="s">
        <v>39</v>
      </c>
      <c r="C27" s="254">
        <v>107</v>
      </c>
      <c r="D27" s="254">
        <v>5752</v>
      </c>
      <c r="E27" s="254">
        <v>15</v>
      </c>
      <c r="F27" s="254">
        <v>1205</v>
      </c>
    </row>
    <row r="28" spans="1:6">
      <c r="A28">
        <v>9</v>
      </c>
      <c r="B28" t="s">
        <v>41</v>
      </c>
      <c r="C28" s="254">
        <v>172</v>
      </c>
      <c r="D28" s="254">
        <v>8626</v>
      </c>
      <c r="E28" s="254">
        <v>19</v>
      </c>
      <c r="F28" s="254">
        <v>2184</v>
      </c>
    </row>
    <row r="29" spans="1:6">
      <c r="A29">
        <v>10</v>
      </c>
      <c r="B29" t="s">
        <v>43</v>
      </c>
      <c r="C29" s="254">
        <v>87</v>
      </c>
      <c r="D29" s="254">
        <v>4117</v>
      </c>
      <c r="E29" s="254">
        <v>21</v>
      </c>
      <c r="F29" s="254">
        <v>1541</v>
      </c>
    </row>
    <row r="30" spans="1:6">
      <c r="A30">
        <v>11</v>
      </c>
      <c r="B30" t="s">
        <v>45</v>
      </c>
      <c r="C30" s="254">
        <v>90</v>
      </c>
      <c r="D30" s="254">
        <v>4127</v>
      </c>
      <c r="E30" s="254">
        <v>12</v>
      </c>
      <c r="F30" s="254">
        <v>910</v>
      </c>
    </row>
    <row r="31" spans="1:6">
      <c r="A31">
        <v>12</v>
      </c>
      <c r="B31" t="s">
        <v>47</v>
      </c>
      <c r="C31" s="254">
        <v>63</v>
      </c>
      <c r="D31" s="254">
        <v>3060</v>
      </c>
      <c r="E31" s="254">
        <v>10</v>
      </c>
      <c r="F31" s="254">
        <v>933</v>
      </c>
    </row>
    <row r="32" spans="1:6">
      <c r="A32">
        <v>13</v>
      </c>
      <c r="B32" t="s">
        <v>63</v>
      </c>
      <c r="C32" s="254">
        <v>103</v>
      </c>
      <c r="D32" s="254">
        <v>4102</v>
      </c>
      <c r="E32" s="254">
        <v>68</v>
      </c>
      <c r="F32" s="254">
        <v>10370</v>
      </c>
    </row>
    <row r="33" spans="1:6">
      <c r="A33">
        <v>14</v>
      </c>
      <c r="B33" t="s">
        <v>64</v>
      </c>
      <c r="C33" s="254">
        <v>23</v>
      </c>
      <c r="D33" s="254">
        <v>1198</v>
      </c>
      <c r="E33" s="254">
        <v>8</v>
      </c>
      <c r="F33" s="254">
        <v>1026</v>
      </c>
    </row>
    <row r="34" spans="1:6">
      <c r="A34">
        <v>15</v>
      </c>
      <c r="B34" t="s">
        <v>49</v>
      </c>
      <c r="C34" s="254">
        <v>106</v>
      </c>
      <c r="D34" s="254">
        <v>5383</v>
      </c>
      <c r="E34" s="254">
        <v>27</v>
      </c>
      <c r="F34" s="254">
        <v>5751</v>
      </c>
    </row>
    <row r="35" spans="1:6">
      <c r="A35">
        <v>16</v>
      </c>
      <c r="B35" t="s">
        <v>65</v>
      </c>
      <c r="C35" s="254">
        <v>157</v>
      </c>
      <c r="D35" s="254">
        <v>5745</v>
      </c>
      <c r="E35" s="254">
        <v>47</v>
      </c>
      <c r="F35" s="254">
        <v>5313</v>
      </c>
    </row>
    <row r="36" spans="1:6">
      <c r="A36">
        <v>6</v>
      </c>
      <c r="B36" t="s">
        <v>465</v>
      </c>
      <c r="C36" s="254">
        <v>539</v>
      </c>
      <c r="D36" s="254">
        <v>25121</v>
      </c>
      <c r="E36" s="254">
        <v>67</v>
      </c>
      <c r="F36" s="254">
        <v>6801</v>
      </c>
    </row>
    <row r="37" spans="1:6">
      <c r="A37">
        <v>13</v>
      </c>
      <c r="B37" t="s">
        <v>466</v>
      </c>
      <c r="C37" s="254">
        <v>376</v>
      </c>
      <c r="D37" s="254">
        <v>16652</v>
      </c>
      <c r="E37" s="254">
        <v>65</v>
      </c>
      <c r="F37" s="254">
        <v>9386</v>
      </c>
    </row>
    <row r="38" spans="1:6">
      <c r="A38">
        <v>31</v>
      </c>
      <c r="B38" t="s">
        <v>467</v>
      </c>
      <c r="C38" s="254">
        <v>182</v>
      </c>
      <c r="D38" s="254">
        <v>9514</v>
      </c>
      <c r="E38" s="254">
        <v>36</v>
      </c>
      <c r="F38" s="254">
        <v>2928</v>
      </c>
    </row>
    <row r="39" spans="1:6">
      <c r="A39">
        <v>33</v>
      </c>
      <c r="B39" t="s">
        <v>116</v>
      </c>
      <c r="C39" s="254">
        <v>232</v>
      </c>
      <c r="D39" s="254">
        <v>11371</v>
      </c>
      <c r="E39" s="254">
        <v>129</v>
      </c>
      <c r="F39" s="254">
        <v>32911</v>
      </c>
    </row>
    <row r="40" spans="1:6">
      <c r="A40">
        <v>34</v>
      </c>
      <c r="B40" t="s">
        <v>468</v>
      </c>
      <c r="C40" s="254">
        <v>236</v>
      </c>
      <c r="D40" s="254">
        <v>9531</v>
      </c>
      <c r="E40" s="254">
        <v>207</v>
      </c>
      <c r="F40" s="254">
        <v>45115</v>
      </c>
    </row>
    <row r="41" spans="1:6">
      <c r="A41">
        <v>35</v>
      </c>
      <c r="B41" t="s">
        <v>469</v>
      </c>
      <c r="C41" s="254">
        <v>218</v>
      </c>
      <c r="D41" s="254">
        <v>8315</v>
      </c>
      <c r="E41" s="254">
        <v>56</v>
      </c>
      <c r="F41" s="254">
        <v>7295</v>
      </c>
    </row>
    <row r="42" spans="1:6">
      <c r="A42">
        <v>38</v>
      </c>
      <c r="B42" t="s">
        <v>470</v>
      </c>
      <c r="C42" s="254">
        <v>235</v>
      </c>
      <c r="D42" s="254">
        <v>8436</v>
      </c>
      <c r="E42" s="254">
        <v>69</v>
      </c>
      <c r="F42" s="254">
        <v>6508</v>
      </c>
    </row>
    <row r="43" spans="1:6">
      <c r="A43">
        <v>44</v>
      </c>
      <c r="B43" t="s">
        <v>471</v>
      </c>
      <c r="C43" s="254">
        <v>211</v>
      </c>
      <c r="D43" s="254">
        <v>9471</v>
      </c>
      <c r="E43" s="254">
        <v>129</v>
      </c>
      <c r="F43" s="254">
        <v>19047</v>
      </c>
    </row>
    <row r="44" spans="1:6">
      <c r="A44">
        <v>59</v>
      </c>
      <c r="B44" t="s">
        <v>472</v>
      </c>
      <c r="C44" s="254">
        <v>189</v>
      </c>
      <c r="D44" s="254">
        <v>10873</v>
      </c>
      <c r="E44" s="254">
        <v>94</v>
      </c>
      <c r="F44" s="254">
        <v>9914</v>
      </c>
    </row>
    <row r="45" spans="1:6">
      <c r="A45">
        <v>62</v>
      </c>
      <c r="B45" t="s">
        <v>478</v>
      </c>
      <c r="C45" s="254">
        <v>174</v>
      </c>
      <c r="D45" s="254">
        <v>6922</v>
      </c>
      <c r="E45" s="254">
        <v>156</v>
      </c>
      <c r="F45" s="254">
        <v>20260</v>
      </c>
    </row>
    <row r="46" spans="1:6">
      <c r="A46">
        <v>67</v>
      </c>
      <c r="B46" t="s">
        <v>473</v>
      </c>
      <c r="C46" s="254">
        <v>241</v>
      </c>
      <c r="D46" s="254">
        <v>10355</v>
      </c>
      <c r="E46" s="254">
        <v>33</v>
      </c>
      <c r="F46" s="254">
        <v>4097</v>
      </c>
    </row>
    <row r="47" spans="1:6">
      <c r="A47">
        <v>69</v>
      </c>
      <c r="B47" t="s">
        <v>474</v>
      </c>
      <c r="C47" s="254">
        <v>254</v>
      </c>
      <c r="D47" s="254">
        <v>15873</v>
      </c>
      <c r="E47" s="254">
        <v>16</v>
      </c>
      <c r="F47" s="254">
        <v>1759</v>
      </c>
    </row>
    <row r="48" spans="1:6">
      <c r="A48">
        <v>76</v>
      </c>
      <c r="B48" t="s">
        <v>475</v>
      </c>
      <c r="C48" s="254">
        <v>169</v>
      </c>
      <c r="D48" s="254">
        <v>6763</v>
      </c>
      <c r="E48" s="254">
        <v>60</v>
      </c>
      <c r="F48" s="254">
        <v>5877</v>
      </c>
    </row>
    <row r="49" spans="1:28">
      <c r="A49">
        <v>83</v>
      </c>
      <c r="B49" t="s">
        <v>476</v>
      </c>
      <c r="C49" s="254">
        <v>346</v>
      </c>
      <c r="D49" s="254">
        <v>11235</v>
      </c>
      <c r="E49" s="254">
        <v>211</v>
      </c>
      <c r="F49" s="254">
        <v>40530</v>
      </c>
      <c r="U49" s="166"/>
    </row>
    <row r="50" spans="1:28">
      <c r="A50">
        <v>84</v>
      </c>
      <c r="B50" t="s">
        <v>477</v>
      </c>
      <c r="C50" s="254">
        <v>193</v>
      </c>
      <c r="D50" s="254">
        <v>6551</v>
      </c>
      <c r="E50" s="254">
        <v>70</v>
      </c>
      <c r="F50" s="254">
        <v>7683</v>
      </c>
    </row>
    <row r="51" spans="1:28">
      <c r="A51">
        <v>72</v>
      </c>
      <c r="B51" t="s">
        <v>74</v>
      </c>
      <c r="C51" s="254">
        <v>841</v>
      </c>
      <c r="D51" s="254">
        <v>28687</v>
      </c>
      <c r="E51" s="254">
        <v>599</v>
      </c>
      <c r="F51" s="254">
        <v>102524</v>
      </c>
      <c r="G51" s="291"/>
    </row>
    <row r="52" spans="1:28">
      <c r="A52">
        <v>243300316</v>
      </c>
      <c r="B52" t="s">
        <v>680</v>
      </c>
      <c r="C52" s="254">
        <v>128</v>
      </c>
      <c r="D52" s="254">
        <v>8173</v>
      </c>
      <c r="E52" s="254">
        <v>2</v>
      </c>
      <c r="F52" s="254">
        <v>381</v>
      </c>
    </row>
    <row r="53" spans="1:28" s="240" customFormat="1">
      <c r="B53" s="240" t="s">
        <v>1479</v>
      </c>
      <c r="C53" s="254">
        <v>13704</v>
      </c>
      <c r="D53" s="254">
        <v>563258</v>
      </c>
      <c r="E53" s="254">
        <v>6138</v>
      </c>
      <c r="F53" s="254">
        <v>809566</v>
      </c>
      <c r="U53"/>
      <c r="V53"/>
      <c r="W53"/>
      <c r="X53"/>
      <c r="Y53"/>
      <c r="Z53"/>
      <c r="AA53"/>
      <c r="AB53"/>
    </row>
    <row r="54" spans="1:28">
      <c r="A54" s="62">
        <v>2016</v>
      </c>
      <c r="B54" s="166" t="s">
        <v>850</v>
      </c>
      <c r="C54" s="254">
        <v>98</v>
      </c>
      <c r="D54" s="254">
        <v>69566</v>
      </c>
      <c r="E54" s="254">
        <v>190</v>
      </c>
      <c r="F54" s="254">
        <v>88196</v>
      </c>
      <c r="G54" s="763">
        <v>1017650</v>
      </c>
      <c r="H54" s="764">
        <v>1031985</v>
      </c>
      <c r="I54" s="765">
        <f>(G54-H54)/H54</f>
        <v>-1.3890705775762244E-2</v>
      </c>
      <c r="J54" s="254">
        <v>0.45230000495910644</v>
      </c>
      <c r="K54" s="758">
        <v>268121</v>
      </c>
      <c r="L54" s="766">
        <f>K54/G54</f>
        <v>0.26347074141404214</v>
      </c>
      <c r="M54" s="759">
        <v>275356</v>
      </c>
      <c r="N54" s="766">
        <f>(K54-M54)/M54</f>
        <v>-2.6275076628074202E-2</v>
      </c>
      <c r="O54" s="254">
        <v>3073677</v>
      </c>
      <c r="P54" s="254">
        <v>3061049</v>
      </c>
      <c r="Q54" s="765">
        <f>(O54-P54)/P54</f>
        <v>4.1253831611320173E-3</v>
      </c>
      <c r="R54" s="254">
        <v>0.36040000915527343</v>
      </c>
      <c r="S54" s="758">
        <v>1193787</v>
      </c>
      <c r="T54" s="765">
        <f>S54/O54</f>
        <v>0.38839051728597379</v>
      </c>
      <c r="U54" s="254">
        <v>1299995</v>
      </c>
      <c r="V54" s="765">
        <f>(S54-U54)/U54</f>
        <v>-8.1698775764522169E-2</v>
      </c>
    </row>
    <row r="55" spans="1:28">
      <c r="A55" s="62">
        <v>2016</v>
      </c>
      <c r="B55" t="s">
        <v>851</v>
      </c>
      <c r="C55" s="254">
        <v>32</v>
      </c>
      <c r="D55" s="254">
        <v>20053</v>
      </c>
      <c r="E55" s="254">
        <v>113</v>
      </c>
      <c r="F55" s="254">
        <v>58861</v>
      </c>
      <c r="G55" s="763">
        <v>474822</v>
      </c>
      <c r="H55" s="764">
        <v>487737</v>
      </c>
      <c r="I55" s="765">
        <f t="shared" ref="I55:I76" si="0">(G55-H55)/H55</f>
        <v>-2.6479434613326445E-2</v>
      </c>
      <c r="J55" s="254">
        <v>0.41952500343322752</v>
      </c>
      <c r="K55" s="758">
        <v>144165</v>
      </c>
      <c r="L55" s="766">
        <f t="shared" ref="L55:L76" si="1">K55/G55</f>
        <v>0.30361904039829662</v>
      </c>
      <c r="M55" s="759">
        <v>146678</v>
      </c>
      <c r="N55" s="766">
        <f t="shared" ref="N55:N76" si="2">(K55-M55)/M55</f>
        <v>-1.7132767013458051E-2</v>
      </c>
      <c r="O55" s="254">
        <v>2114501</v>
      </c>
      <c r="P55" s="254">
        <v>2143377</v>
      </c>
      <c r="Q55" s="765">
        <f t="shared" ref="Q55:Q76" si="3">(O55-P55)/P55</f>
        <v>-1.3472198311356331E-2</v>
      </c>
      <c r="R55" s="254">
        <v>0.36959999084472656</v>
      </c>
      <c r="S55" s="758">
        <v>816987</v>
      </c>
      <c r="T55" s="765">
        <f t="shared" ref="T55:T76" si="4">S55/O55</f>
        <v>0.38637342805702152</v>
      </c>
      <c r="U55" s="254">
        <v>926304</v>
      </c>
      <c r="V55" s="765">
        <f t="shared" ref="V55:V76" si="5">(S55-U55)/U55</f>
        <v>-0.11801417245310394</v>
      </c>
    </row>
    <row r="56" spans="1:28">
      <c r="A56" s="62">
        <v>2016</v>
      </c>
      <c r="B56" t="s">
        <v>852</v>
      </c>
      <c r="C56" s="254">
        <v>66</v>
      </c>
      <c r="D56" s="254">
        <v>49513</v>
      </c>
      <c r="E56" s="254">
        <v>76</v>
      </c>
      <c r="F56" s="254">
        <v>29335</v>
      </c>
      <c r="G56" s="763">
        <v>542826</v>
      </c>
      <c r="H56" s="764">
        <v>544248</v>
      </c>
      <c r="I56" s="765">
        <f t="shared" si="0"/>
        <v>-2.612779468183622E-3</v>
      </c>
      <c r="J56" s="254">
        <v>0.46835833867390952</v>
      </c>
      <c r="K56" s="758">
        <v>123956</v>
      </c>
      <c r="L56" s="766">
        <f t="shared" si="1"/>
        <v>0.22835310025680419</v>
      </c>
      <c r="M56" s="759">
        <v>128678</v>
      </c>
      <c r="N56" s="766">
        <f t="shared" si="2"/>
        <v>-3.6696249553148166E-2</v>
      </c>
      <c r="O56" s="254">
        <v>959176</v>
      </c>
      <c r="P56" s="254">
        <v>917672</v>
      </c>
      <c r="Q56" s="765">
        <f t="shared" si="3"/>
        <v>4.5227488688768969E-2</v>
      </c>
      <c r="R56" s="254">
        <v>0.34330001831054685</v>
      </c>
      <c r="S56" s="758">
        <v>376800</v>
      </c>
      <c r="T56" s="765">
        <f t="shared" si="4"/>
        <v>0.39283718525067352</v>
      </c>
      <c r="U56" s="254">
        <v>373691</v>
      </c>
      <c r="V56" s="765">
        <f t="shared" si="5"/>
        <v>8.3197079940378546E-3</v>
      </c>
    </row>
    <row r="57" spans="1:28">
      <c r="A57" s="62">
        <v>2016</v>
      </c>
      <c r="B57" s="166" t="s">
        <v>116</v>
      </c>
      <c r="C57" s="254">
        <v>206</v>
      </c>
      <c r="D57" s="254">
        <v>319477</v>
      </c>
      <c r="E57" s="254">
        <v>122</v>
      </c>
      <c r="F57" s="254">
        <v>119801</v>
      </c>
      <c r="G57" s="763">
        <v>4288600</v>
      </c>
      <c r="H57" s="764">
        <v>4089902</v>
      </c>
      <c r="I57" s="765">
        <f t="shared" si="0"/>
        <v>4.8582582174340611E-2</v>
      </c>
      <c r="J57" s="254">
        <v>0.62894166628519688</v>
      </c>
      <c r="K57" s="758">
        <v>929258</v>
      </c>
      <c r="L57" s="766">
        <f t="shared" si="1"/>
        <v>0.21668096814811361</v>
      </c>
      <c r="M57" s="759">
        <v>861936</v>
      </c>
      <c r="N57" s="766">
        <f t="shared" si="2"/>
        <v>7.8105567002654488E-2</v>
      </c>
      <c r="O57" s="254">
        <v>4518867</v>
      </c>
      <c r="P57" s="254">
        <v>4013794</v>
      </c>
      <c r="Q57" s="765">
        <f t="shared" si="3"/>
        <v>0.12583431038065232</v>
      </c>
      <c r="R57" s="254">
        <v>0.39009998321533201</v>
      </c>
      <c r="S57" s="758">
        <v>1441446</v>
      </c>
      <c r="T57" s="765">
        <f t="shared" si="4"/>
        <v>0.31898394000088959</v>
      </c>
      <c r="U57" s="254">
        <v>1455991</v>
      </c>
      <c r="V57" s="765">
        <f t="shared" si="5"/>
        <v>-9.9897595520851441E-3</v>
      </c>
    </row>
    <row r="58" spans="1:28">
      <c r="A58" s="62">
        <v>2016</v>
      </c>
      <c r="B58" t="s">
        <v>853</v>
      </c>
      <c r="C58" s="254">
        <v>3</v>
      </c>
      <c r="D58" s="254">
        <v>1196</v>
      </c>
      <c r="E58" s="254">
        <v>61</v>
      </c>
      <c r="F58" s="254">
        <v>75803</v>
      </c>
      <c r="G58" s="763">
        <v>117318</v>
      </c>
      <c r="H58" s="764">
        <v>104388</v>
      </c>
      <c r="I58" s="765">
        <f t="shared" si="0"/>
        <v>0.12386481204736177</v>
      </c>
      <c r="J58" s="254">
        <v>0.43371666272481285</v>
      </c>
      <c r="K58" s="758" t="s">
        <v>1245</v>
      </c>
      <c r="L58" s="766" t="s">
        <v>1245</v>
      </c>
      <c r="M58" s="759" t="s">
        <v>1245</v>
      </c>
      <c r="N58" s="766" t="s">
        <v>1245</v>
      </c>
      <c r="O58" s="767">
        <v>2707742</v>
      </c>
      <c r="P58" s="254">
        <v>2427212</v>
      </c>
      <c r="Q58" s="765">
        <f t="shared" si="3"/>
        <v>0.11557704889395734</v>
      </c>
      <c r="R58" s="767">
        <v>0.36909999847412112</v>
      </c>
      <c r="S58" s="758">
        <v>1033231</v>
      </c>
      <c r="T58" s="765">
        <f t="shared" si="4"/>
        <v>0.38158399138470356</v>
      </c>
      <c r="U58" s="768">
        <v>1036394</v>
      </c>
      <c r="V58" s="765">
        <f t="shared" si="5"/>
        <v>-3.0519281277197668E-3</v>
      </c>
    </row>
    <row r="59" spans="1:28">
      <c r="A59" s="62">
        <v>2016</v>
      </c>
      <c r="B59" t="s">
        <v>854</v>
      </c>
      <c r="C59" s="254">
        <v>28</v>
      </c>
      <c r="D59" s="254">
        <v>29983</v>
      </c>
      <c r="E59" s="254">
        <v>37</v>
      </c>
      <c r="F59" s="254">
        <v>34436</v>
      </c>
      <c r="G59" s="763">
        <v>532966</v>
      </c>
      <c r="H59" s="764">
        <v>498927</v>
      </c>
      <c r="I59" s="765">
        <f t="shared" si="0"/>
        <v>6.8224409582965037E-2</v>
      </c>
      <c r="J59" s="767">
        <v>0.544308336575826</v>
      </c>
      <c r="K59" s="758">
        <v>83566</v>
      </c>
      <c r="L59" s="766">
        <f t="shared" si="1"/>
        <v>0.15679424203420106</v>
      </c>
      <c r="M59" s="759">
        <v>76084</v>
      </c>
      <c r="N59" s="766">
        <f t="shared" si="2"/>
        <v>9.8338678302928348E-2</v>
      </c>
      <c r="O59" s="254">
        <v>1445223</v>
      </c>
      <c r="P59" s="254">
        <v>1238734</v>
      </c>
      <c r="Q59" s="765">
        <f t="shared" si="3"/>
        <v>0.16669357586051567</v>
      </c>
      <c r="R59" s="254">
        <v>0.42749999999999999</v>
      </c>
      <c r="S59" s="758">
        <v>298824</v>
      </c>
      <c r="T59" s="765">
        <f t="shared" si="4"/>
        <v>0.20676670659130114</v>
      </c>
      <c r="U59" s="254">
        <v>305580</v>
      </c>
      <c r="V59" s="765">
        <f t="shared" si="5"/>
        <v>-2.2108776752405263E-2</v>
      </c>
    </row>
    <row r="60" spans="1:28">
      <c r="A60" s="62">
        <v>2016</v>
      </c>
      <c r="B60" t="s">
        <v>1290</v>
      </c>
      <c r="C60" s="254">
        <v>76</v>
      </c>
      <c r="D60" s="254">
        <v>131078</v>
      </c>
      <c r="E60" s="254" t="s">
        <v>1245</v>
      </c>
      <c r="F60" s="254" t="s">
        <v>1245</v>
      </c>
      <c r="G60" s="763">
        <v>1590654</v>
      </c>
      <c r="H60" s="764">
        <v>1499083</v>
      </c>
      <c r="I60" s="765">
        <f t="shared" si="0"/>
        <v>6.108467643219221E-2</v>
      </c>
      <c r="J60" s="254">
        <v>0.63983333587646485</v>
      </c>
      <c r="K60" s="758">
        <v>248922</v>
      </c>
      <c r="L60" s="766">
        <f t="shared" si="1"/>
        <v>0.15649034925257158</v>
      </c>
      <c r="M60" s="759">
        <v>212604</v>
      </c>
      <c r="N60" s="766">
        <f t="shared" si="2"/>
        <v>0.17082463170965739</v>
      </c>
      <c r="O60" s="769" t="s">
        <v>1245</v>
      </c>
      <c r="P60" s="769" t="s">
        <v>1245</v>
      </c>
      <c r="Q60" s="769" t="s">
        <v>1245</v>
      </c>
      <c r="R60" s="769" t="s">
        <v>1245</v>
      </c>
      <c r="S60" s="770" t="s">
        <v>1245</v>
      </c>
      <c r="T60" s="769" t="s">
        <v>1245</v>
      </c>
      <c r="U60" s="769"/>
      <c r="V60" s="769" t="s">
        <v>1245</v>
      </c>
    </row>
    <row r="61" spans="1:28">
      <c r="A61" s="62">
        <v>2016</v>
      </c>
      <c r="B61" t="s">
        <v>2</v>
      </c>
      <c r="C61" s="254">
        <v>62</v>
      </c>
      <c r="D61" s="254">
        <v>130524</v>
      </c>
      <c r="E61" s="254" t="s">
        <v>1245</v>
      </c>
      <c r="F61" s="254" t="s">
        <v>1245</v>
      </c>
      <c r="G61" s="763">
        <v>1706737</v>
      </c>
      <c r="H61" s="764">
        <v>1635057</v>
      </c>
      <c r="I61" s="765">
        <f t="shared" si="0"/>
        <v>4.3839450245465449E-2</v>
      </c>
      <c r="J61" s="254">
        <v>0.69805833180745436</v>
      </c>
      <c r="K61" s="758">
        <v>504885</v>
      </c>
      <c r="L61" s="766">
        <f t="shared" si="1"/>
        <v>0.29581886371479615</v>
      </c>
      <c r="M61" s="759">
        <v>482449</v>
      </c>
      <c r="N61" s="766">
        <f t="shared" si="2"/>
        <v>4.6504397355989963E-2</v>
      </c>
      <c r="O61" s="769" t="s">
        <v>1245</v>
      </c>
      <c r="P61" s="769" t="s">
        <v>1245</v>
      </c>
      <c r="Q61" s="769" t="s">
        <v>1245</v>
      </c>
      <c r="R61" s="769" t="s">
        <v>1245</v>
      </c>
      <c r="S61" s="770" t="s">
        <v>1245</v>
      </c>
      <c r="T61" s="769" t="s">
        <v>1245</v>
      </c>
      <c r="U61" s="769"/>
      <c r="V61" s="769" t="s">
        <v>1245</v>
      </c>
    </row>
    <row r="62" spans="1:28">
      <c r="A62" s="62">
        <v>2016</v>
      </c>
      <c r="B62" t="s">
        <v>856</v>
      </c>
      <c r="C62" s="254">
        <v>37</v>
      </c>
      <c r="D62" s="254">
        <v>26696</v>
      </c>
      <c r="E62" s="254">
        <v>24</v>
      </c>
      <c r="F62" s="254">
        <v>9562</v>
      </c>
      <c r="G62" s="763">
        <v>340929</v>
      </c>
      <c r="H62" s="764">
        <v>352448</v>
      </c>
      <c r="I62" s="765">
        <f t="shared" si="0"/>
        <v>-3.2682835482113676E-2</v>
      </c>
      <c r="J62" s="254">
        <v>0.48598333040873209</v>
      </c>
      <c r="K62" s="758">
        <v>76145</v>
      </c>
      <c r="L62" s="766">
        <f t="shared" si="1"/>
        <v>0.22334562328226698</v>
      </c>
      <c r="M62" s="759">
        <v>75256</v>
      </c>
      <c r="N62" s="766">
        <f t="shared" si="2"/>
        <v>1.1813011587115977E-2</v>
      </c>
      <c r="O62" s="254">
        <v>365902</v>
      </c>
      <c r="P62" s="254">
        <v>347847</v>
      </c>
      <c r="Q62" s="765">
        <f t="shared" si="3"/>
        <v>5.1905004211621773E-2</v>
      </c>
      <c r="R62" s="254">
        <v>0.40919998168945315</v>
      </c>
      <c r="S62" s="758">
        <v>109391</v>
      </c>
      <c r="T62" s="765">
        <f t="shared" si="4"/>
        <v>0.29896256374657693</v>
      </c>
      <c r="U62" s="768">
        <v>114016</v>
      </c>
      <c r="V62" s="765">
        <f t="shared" si="5"/>
        <v>-4.0564482177939939E-2</v>
      </c>
    </row>
    <row r="63" spans="1:28">
      <c r="A63" s="62">
        <v>2016</v>
      </c>
      <c r="B63" s="166" t="s">
        <v>857</v>
      </c>
      <c r="C63" s="254">
        <v>90</v>
      </c>
      <c r="D63" s="254">
        <v>69744</v>
      </c>
      <c r="E63" s="254">
        <v>125</v>
      </c>
      <c r="F63" s="254">
        <v>131825</v>
      </c>
      <c r="G63" s="763">
        <v>1145072</v>
      </c>
      <c r="H63" s="764">
        <v>1113044</v>
      </c>
      <c r="I63" s="765">
        <f t="shared" si="0"/>
        <v>2.8775142761651832E-2</v>
      </c>
      <c r="J63" s="254">
        <v>0.46632500171661379</v>
      </c>
      <c r="K63" s="758">
        <v>119176</v>
      </c>
      <c r="L63" s="766">
        <f t="shared" si="1"/>
        <v>0.10407729819609597</v>
      </c>
      <c r="M63" s="759">
        <v>124477</v>
      </c>
      <c r="N63" s="766">
        <f t="shared" si="2"/>
        <v>-4.2586180579544816E-2</v>
      </c>
      <c r="O63" s="254">
        <v>5721532</v>
      </c>
      <c r="P63" s="254">
        <v>5545692</v>
      </c>
      <c r="Q63" s="765">
        <f t="shared" si="3"/>
        <v>3.1707494754486906E-2</v>
      </c>
      <c r="R63" s="254">
        <v>0.42090000152587892</v>
      </c>
      <c r="S63" s="758">
        <v>1607550</v>
      </c>
      <c r="T63" s="765">
        <f t="shared" si="4"/>
        <v>0.28096495833633367</v>
      </c>
      <c r="U63" s="768">
        <v>1546056</v>
      </c>
      <c r="V63" s="765">
        <f t="shared" si="5"/>
        <v>3.9774755894999923E-2</v>
      </c>
    </row>
    <row r="64" spans="1:28">
      <c r="A64" s="62">
        <v>2016</v>
      </c>
      <c r="B64" t="s">
        <v>858</v>
      </c>
      <c r="C64" s="254">
        <v>35</v>
      </c>
      <c r="D64" s="254">
        <v>22442</v>
      </c>
      <c r="E64" s="254">
        <v>97</v>
      </c>
      <c r="F64" s="254">
        <v>120048</v>
      </c>
      <c r="G64" s="763">
        <v>420793</v>
      </c>
      <c r="H64" s="764">
        <v>413165</v>
      </c>
      <c r="I64" s="765">
        <f t="shared" si="0"/>
        <v>1.8462357653721877E-2</v>
      </c>
      <c r="J64" s="254">
        <v>0.43292500019073488</v>
      </c>
      <c r="K64" s="758">
        <v>75663</v>
      </c>
      <c r="L64" s="766">
        <f t="shared" si="1"/>
        <v>0.17981050064996329</v>
      </c>
      <c r="M64" s="759">
        <v>73125</v>
      </c>
      <c r="N64" s="766">
        <f t="shared" si="2"/>
        <v>3.4707692307692307E-2</v>
      </c>
      <c r="O64" s="254">
        <v>5295501</v>
      </c>
      <c r="P64" s="254">
        <v>5100789</v>
      </c>
      <c r="Q64" s="765">
        <f t="shared" si="3"/>
        <v>3.8172917954457632E-2</v>
      </c>
      <c r="R64" s="254">
        <v>0.42090000152587892</v>
      </c>
      <c r="S64" s="758">
        <v>1571951</v>
      </c>
      <c r="T64" s="765">
        <f t="shared" si="4"/>
        <v>0.29684651178424853</v>
      </c>
      <c r="U64" s="254">
        <v>1505348</v>
      </c>
      <c r="V64" s="765">
        <f t="shared" si="5"/>
        <v>4.4244254484677295E-2</v>
      </c>
    </row>
    <row r="65" spans="1:23">
      <c r="A65" s="62">
        <v>2016</v>
      </c>
      <c r="B65" t="s">
        <v>859</v>
      </c>
      <c r="C65" s="254">
        <v>23</v>
      </c>
      <c r="D65" s="254">
        <v>25275</v>
      </c>
      <c r="E65" s="254" t="s">
        <v>1245</v>
      </c>
      <c r="F65" s="254" t="s">
        <v>1245</v>
      </c>
      <c r="G65" s="763">
        <v>500286</v>
      </c>
      <c r="H65" s="764">
        <v>474658</v>
      </c>
      <c r="I65" s="765">
        <f t="shared" si="0"/>
        <v>5.3992558852900406E-2</v>
      </c>
      <c r="J65" s="254">
        <v>0.49701666673024497</v>
      </c>
      <c r="K65" s="758">
        <v>17942</v>
      </c>
      <c r="L65" s="766">
        <f t="shared" si="1"/>
        <v>3.586348608595883E-2</v>
      </c>
      <c r="M65" s="759">
        <v>18204</v>
      </c>
      <c r="N65" s="766">
        <f t="shared" si="2"/>
        <v>-1.4392441221709514E-2</v>
      </c>
      <c r="O65" s="769" t="s">
        <v>1245</v>
      </c>
      <c r="P65" s="769" t="s">
        <v>1245</v>
      </c>
      <c r="Q65" s="769" t="s">
        <v>1245</v>
      </c>
      <c r="R65" s="769" t="s">
        <v>1245</v>
      </c>
      <c r="S65" s="770" t="s">
        <v>1245</v>
      </c>
      <c r="T65" s="769" t="s">
        <v>1245</v>
      </c>
      <c r="U65" s="769"/>
      <c r="V65" s="769" t="s">
        <v>1245</v>
      </c>
      <c r="W65" s="351"/>
    </row>
    <row r="66" spans="1:23">
      <c r="A66" s="62">
        <v>2016</v>
      </c>
      <c r="B66" t="s">
        <v>860</v>
      </c>
      <c r="C66" s="254">
        <v>32</v>
      </c>
      <c r="D66" s="254">
        <v>22027</v>
      </c>
      <c r="E66" s="254">
        <v>29</v>
      </c>
      <c r="F66" s="254">
        <v>11777</v>
      </c>
      <c r="G66" s="763">
        <v>223994</v>
      </c>
      <c r="H66" s="764">
        <v>225222</v>
      </c>
      <c r="I66" s="765">
        <f t="shared" si="0"/>
        <v>-5.4523980783404815E-3</v>
      </c>
      <c r="J66" s="254">
        <v>0.44492499510447181</v>
      </c>
      <c r="K66" s="758">
        <v>25569</v>
      </c>
      <c r="L66" s="766">
        <f t="shared" si="1"/>
        <v>0.11415037902800967</v>
      </c>
      <c r="M66" s="759">
        <v>33148</v>
      </c>
      <c r="N66" s="766">
        <f t="shared" si="2"/>
        <v>-0.22864124532400146</v>
      </c>
      <c r="O66" s="254">
        <v>426031</v>
      </c>
      <c r="P66" s="254">
        <v>444902</v>
      </c>
      <c r="Q66" s="765">
        <f t="shared" si="3"/>
        <v>-4.2416082642919115E-2</v>
      </c>
      <c r="R66" s="254">
        <v>0.42130001068115236</v>
      </c>
      <c r="S66" s="758">
        <v>35599</v>
      </c>
      <c r="T66" s="765">
        <f t="shared" si="4"/>
        <v>8.3559647067936366E-2</v>
      </c>
      <c r="U66" s="254">
        <v>40706</v>
      </c>
      <c r="V66" s="765">
        <f t="shared" si="5"/>
        <v>-0.12546062005601141</v>
      </c>
    </row>
    <row r="67" spans="1:23">
      <c r="A67" s="62">
        <v>2016</v>
      </c>
      <c r="B67" s="166" t="s">
        <v>861</v>
      </c>
      <c r="C67" s="254">
        <v>48</v>
      </c>
      <c r="D67" s="254">
        <v>37978</v>
      </c>
      <c r="E67" s="254">
        <v>28</v>
      </c>
      <c r="F67" s="254">
        <v>9735</v>
      </c>
      <c r="G67" s="763">
        <v>399906</v>
      </c>
      <c r="H67" s="764">
        <v>394157</v>
      </c>
      <c r="I67" s="765">
        <f t="shared" si="0"/>
        <v>1.4585558546467524E-2</v>
      </c>
      <c r="J67" s="254">
        <v>0.51128333727518716</v>
      </c>
      <c r="K67" s="758">
        <v>43886</v>
      </c>
      <c r="L67" s="766">
        <f t="shared" si="1"/>
        <v>0.10974078908543508</v>
      </c>
      <c r="M67" s="759">
        <v>43490</v>
      </c>
      <c r="N67" s="766">
        <f t="shared" si="2"/>
        <v>9.1055415037939753E-3</v>
      </c>
      <c r="O67" s="254">
        <v>305098</v>
      </c>
      <c r="P67" s="254">
        <v>279267</v>
      </c>
      <c r="Q67" s="765">
        <f t="shared" si="3"/>
        <v>9.249571198888519E-2</v>
      </c>
      <c r="R67" s="254">
        <v>0.29569999694824217</v>
      </c>
      <c r="S67" s="758">
        <v>101410</v>
      </c>
      <c r="T67" s="765">
        <f t="shared" si="4"/>
        <v>0.33238500416259692</v>
      </c>
      <c r="U67" s="768">
        <v>105243</v>
      </c>
      <c r="V67" s="765">
        <f t="shared" si="5"/>
        <v>-3.6420474520870744E-2</v>
      </c>
    </row>
    <row r="68" spans="1:23">
      <c r="A68" s="62">
        <v>2016</v>
      </c>
      <c r="B68" s="166" t="s">
        <v>862</v>
      </c>
      <c r="C68" s="254">
        <v>227</v>
      </c>
      <c r="D68" s="254">
        <v>215663</v>
      </c>
      <c r="E68" s="254">
        <v>94</v>
      </c>
      <c r="F68" s="254">
        <v>48856</v>
      </c>
      <c r="G68" s="763">
        <v>2775284</v>
      </c>
      <c r="H68" s="764">
        <v>2683639</v>
      </c>
      <c r="I68" s="765">
        <f t="shared" si="0"/>
        <v>3.4149526072620048E-2</v>
      </c>
      <c r="J68" s="254">
        <v>0.5418833255767822</v>
      </c>
      <c r="K68" s="758">
        <v>505459</v>
      </c>
      <c r="L68" s="766">
        <f t="shared" si="1"/>
        <v>0.18212874790471895</v>
      </c>
      <c r="M68" s="759">
        <v>484135</v>
      </c>
      <c r="N68" s="766">
        <f t="shared" si="2"/>
        <v>4.4045565802926873E-2</v>
      </c>
      <c r="O68" s="254">
        <v>1989639</v>
      </c>
      <c r="P68" s="254">
        <v>1949418</v>
      </c>
      <c r="Q68" s="765">
        <f t="shared" si="3"/>
        <v>2.0632311797674999E-2</v>
      </c>
      <c r="R68" s="254">
        <v>0.39959999084472658</v>
      </c>
      <c r="S68" s="758">
        <v>474662</v>
      </c>
      <c r="T68" s="765">
        <f t="shared" si="4"/>
        <v>0.23856689580371113</v>
      </c>
      <c r="U68" s="254">
        <v>441756</v>
      </c>
      <c r="V68" s="765">
        <f t="shared" si="5"/>
        <v>7.4489084471970946E-2</v>
      </c>
    </row>
    <row r="69" spans="1:23">
      <c r="A69" s="62">
        <v>2016</v>
      </c>
      <c r="B69" t="s">
        <v>863</v>
      </c>
      <c r="C69" s="254">
        <v>121</v>
      </c>
      <c r="D69" s="254">
        <v>131396</v>
      </c>
      <c r="E69" s="254">
        <v>50</v>
      </c>
      <c r="F69" s="254">
        <v>35058</v>
      </c>
      <c r="G69" s="763">
        <v>1926713</v>
      </c>
      <c r="H69" s="764">
        <v>1833878</v>
      </c>
      <c r="I69" s="765">
        <f t="shared" si="0"/>
        <v>5.0622233321954896E-2</v>
      </c>
      <c r="J69" s="254">
        <v>0.5965500068664551</v>
      </c>
      <c r="K69" s="758">
        <v>380405</v>
      </c>
      <c r="L69" s="766">
        <f t="shared" si="1"/>
        <v>0.19743729346301186</v>
      </c>
      <c r="M69" s="759">
        <v>362263</v>
      </c>
      <c r="N69" s="766">
        <f t="shared" si="2"/>
        <v>5.0079638273850764E-2</v>
      </c>
      <c r="O69" s="254">
        <v>1467302</v>
      </c>
      <c r="P69" s="254">
        <v>1442888</v>
      </c>
      <c r="Q69" s="765">
        <f t="shared" si="3"/>
        <v>1.6920232200974713E-2</v>
      </c>
      <c r="R69" s="254">
        <v>0.42220001220703124</v>
      </c>
      <c r="S69" s="758">
        <v>418172</v>
      </c>
      <c r="T69" s="765">
        <f t="shared" si="4"/>
        <v>0.28499381858676676</v>
      </c>
      <c r="U69" s="254">
        <v>367374</v>
      </c>
      <c r="V69" s="765">
        <f t="shared" si="5"/>
        <v>0.13827325831441528</v>
      </c>
    </row>
    <row r="70" spans="1:23">
      <c r="A70" s="62">
        <v>2016</v>
      </c>
      <c r="B70" t="s">
        <v>864</v>
      </c>
      <c r="C70" s="254">
        <v>28</v>
      </c>
      <c r="D70" s="254">
        <v>14734</v>
      </c>
      <c r="E70" s="254">
        <v>19</v>
      </c>
      <c r="F70" s="254">
        <v>7114</v>
      </c>
      <c r="G70" s="763">
        <v>182286</v>
      </c>
      <c r="H70" s="764">
        <v>187104</v>
      </c>
      <c r="I70" s="765">
        <f t="shared" si="0"/>
        <v>-2.5750384812724476E-2</v>
      </c>
      <c r="J70" s="254">
        <v>0.42217500368754068</v>
      </c>
      <c r="K70" s="758">
        <v>25397</v>
      </c>
      <c r="L70" s="766">
        <f t="shared" si="1"/>
        <v>0.13932501673194869</v>
      </c>
      <c r="M70" s="759">
        <v>26814</v>
      </c>
      <c r="N70" s="766">
        <f t="shared" si="2"/>
        <v>-5.2845528455284556E-2</v>
      </c>
      <c r="O70" s="254">
        <v>298869</v>
      </c>
      <c r="P70" s="254">
        <v>264552</v>
      </c>
      <c r="Q70" s="765">
        <f t="shared" si="3"/>
        <v>0.12971740905379661</v>
      </c>
      <c r="R70" s="254">
        <v>0.3856999969482422</v>
      </c>
      <c r="S70" s="758">
        <v>23658</v>
      </c>
      <c r="T70" s="765">
        <f t="shared" si="4"/>
        <v>7.915842727081096E-2</v>
      </c>
      <c r="U70" s="254">
        <v>26648</v>
      </c>
      <c r="V70" s="765">
        <f t="shared" si="5"/>
        <v>-0.11220354247973581</v>
      </c>
    </row>
    <row r="71" spans="1:23">
      <c r="A71" s="62">
        <v>2016</v>
      </c>
      <c r="B71" t="s">
        <v>865</v>
      </c>
      <c r="C71" s="254">
        <v>32</v>
      </c>
      <c r="D71" s="254">
        <v>12291</v>
      </c>
      <c r="E71" s="254">
        <v>27</v>
      </c>
      <c r="F71" s="254">
        <v>7029</v>
      </c>
      <c r="G71" s="763">
        <v>212310</v>
      </c>
      <c r="H71" s="764">
        <v>201902</v>
      </c>
      <c r="I71" s="765">
        <f t="shared" si="0"/>
        <v>5.1549761765609055E-2</v>
      </c>
      <c r="J71" s="254">
        <v>0.42278333504994714</v>
      </c>
      <c r="K71" s="758">
        <v>31062</v>
      </c>
      <c r="L71" s="766">
        <f t="shared" si="1"/>
        <v>0.14630493146813622</v>
      </c>
      <c r="M71" s="759">
        <v>26551</v>
      </c>
      <c r="N71" s="766">
        <f t="shared" si="2"/>
        <v>0.16989943881586381</v>
      </c>
      <c r="O71" s="254">
        <v>270172</v>
      </c>
      <c r="P71" s="254">
        <v>260726</v>
      </c>
      <c r="Q71" s="765">
        <f t="shared" si="3"/>
        <v>3.6229605025965957E-2</v>
      </c>
      <c r="R71" s="254">
        <v>0.34650001525878904</v>
      </c>
      <c r="S71" s="758">
        <v>29851</v>
      </c>
      <c r="T71" s="765">
        <f t="shared" si="4"/>
        <v>0.11048887375449713</v>
      </c>
      <c r="U71" s="254">
        <v>32598</v>
      </c>
      <c r="V71" s="765">
        <f t="shared" si="5"/>
        <v>-8.4268973556659924E-2</v>
      </c>
    </row>
    <row r="72" spans="1:23">
      <c r="A72" s="62">
        <v>2016</v>
      </c>
      <c r="B72" s="166" t="s">
        <v>74</v>
      </c>
      <c r="C72" s="254">
        <v>669</v>
      </c>
      <c r="D72" s="254">
        <v>712428</v>
      </c>
      <c r="E72" s="254">
        <v>560</v>
      </c>
      <c r="F72" s="254">
        <v>398413</v>
      </c>
      <c r="G72" s="763">
        <v>9626509</v>
      </c>
      <c r="H72" s="764">
        <v>9312725</v>
      </c>
      <c r="I72" s="765">
        <f t="shared" si="0"/>
        <v>3.3694112088566985E-2</v>
      </c>
      <c r="J72" s="254">
        <v>0.55540000279744473</v>
      </c>
      <c r="K72" s="758">
        <v>1865897</v>
      </c>
      <c r="L72" s="766">
        <f t="shared" si="1"/>
        <v>0.19382904020554076</v>
      </c>
      <c r="M72" s="759">
        <v>1789396</v>
      </c>
      <c r="N72" s="766">
        <f t="shared" si="2"/>
        <v>4.2752414781300506E-2</v>
      </c>
      <c r="O72" s="254">
        <v>15608813</v>
      </c>
      <c r="P72" s="254">
        <v>14849218</v>
      </c>
      <c r="Q72" s="765">
        <f t="shared" si="3"/>
        <v>5.1153872210644359E-2</v>
      </c>
      <c r="R72" s="254">
        <v>0.39250000000000002</v>
      </c>
      <c r="S72" s="758">
        <v>4818855</v>
      </c>
      <c r="T72" s="765">
        <f t="shared" si="4"/>
        <v>0.30872655082740758</v>
      </c>
      <c r="U72" s="254">
        <v>4849040</v>
      </c>
      <c r="V72" s="765">
        <f t="shared" si="5"/>
        <v>-6.2249434939699406E-3</v>
      </c>
    </row>
    <row r="73" spans="1:23">
      <c r="A73" s="62">
        <v>2016</v>
      </c>
      <c r="B73" t="s">
        <v>1241</v>
      </c>
      <c r="C73" s="254">
        <v>187</v>
      </c>
      <c r="D73" s="254">
        <v>185017</v>
      </c>
      <c r="E73" s="254">
        <v>245</v>
      </c>
      <c r="F73" s="254">
        <v>265345</v>
      </c>
      <c r="G73" s="763">
        <v>2997787</v>
      </c>
      <c r="H73" s="764">
        <v>2850355</v>
      </c>
      <c r="I73" s="765">
        <f t="shared" si="0"/>
        <v>5.1724083491354586E-2</v>
      </c>
      <c r="J73" s="254">
        <v>0.55289999643961585</v>
      </c>
      <c r="K73" s="758">
        <v>555378</v>
      </c>
      <c r="L73" s="766">
        <f t="shared" si="1"/>
        <v>0.18526266209040201</v>
      </c>
      <c r="M73" s="759">
        <v>527018</v>
      </c>
      <c r="N73" s="766">
        <f t="shared" si="2"/>
        <v>5.3812203757746417E-2</v>
      </c>
      <c r="O73" s="254">
        <v>10915769</v>
      </c>
      <c r="P73" s="254">
        <v>10209625</v>
      </c>
      <c r="Q73" s="765">
        <f t="shared" si="3"/>
        <v>6.916453836453347E-2</v>
      </c>
      <c r="R73" s="254">
        <v>0.40770000457763672</v>
      </c>
      <c r="S73" s="758">
        <v>3322178</v>
      </c>
      <c r="T73" s="765">
        <f t="shared" si="4"/>
        <v>0.30434667498002205</v>
      </c>
      <c r="U73" s="254">
        <v>3214698</v>
      </c>
      <c r="V73" s="765">
        <f t="shared" si="5"/>
        <v>3.343393376298489E-2</v>
      </c>
    </row>
    <row r="74" spans="1:23">
      <c r="A74" s="62">
        <v>2016</v>
      </c>
      <c r="B74" t="s">
        <v>1242</v>
      </c>
      <c r="C74" s="254">
        <v>482</v>
      </c>
      <c r="D74" s="254">
        <v>527411</v>
      </c>
      <c r="E74" s="254">
        <v>315</v>
      </c>
      <c r="F74" s="254">
        <v>133068</v>
      </c>
      <c r="G74" s="763">
        <v>6628724</v>
      </c>
      <c r="H74" s="764">
        <v>6462367</v>
      </c>
      <c r="I74" s="765">
        <f t="shared" si="0"/>
        <v>2.5742425337341564E-2</v>
      </c>
      <c r="J74" s="254">
        <v>0.55529999732971191</v>
      </c>
      <c r="K74" s="758">
        <v>1310519</v>
      </c>
      <c r="L74" s="766">
        <f t="shared" si="1"/>
        <v>0.19770305717963216</v>
      </c>
      <c r="M74" s="759">
        <v>1262376</v>
      </c>
      <c r="N74" s="766">
        <f t="shared" si="2"/>
        <v>3.8136815021831846E-2</v>
      </c>
      <c r="O74" s="254">
        <v>4693045</v>
      </c>
      <c r="P74" s="254">
        <v>4639594</v>
      </c>
      <c r="Q74" s="765">
        <f t="shared" si="3"/>
        <v>1.1520620123226299E-2</v>
      </c>
      <c r="R74" s="254">
        <v>0.36380001068115236</v>
      </c>
      <c r="S74" s="758">
        <v>1496677</v>
      </c>
      <c r="T74" s="765">
        <f t="shared" si="4"/>
        <v>0.31891383952210134</v>
      </c>
      <c r="U74" s="254">
        <v>1634341</v>
      </c>
      <c r="V74" s="765">
        <f t="shared" si="5"/>
        <v>-8.4232115574411945E-2</v>
      </c>
    </row>
    <row r="75" spans="1:23">
      <c r="A75" s="62">
        <v>2016</v>
      </c>
      <c r="B75" t="s">
        <v>1243</v>
      </c>
      <c r="C75" s="761">
        <v>78</v>
      </c>
      <c r="D75" s="762">
        <v>71070</v>
      </c>
      <c r="E75" s="254">
        <v>27</v>
      </c>
      <c r="F75" s="254">
        <v>6684</v>
      </c>
      <c r="G75" s="771">
        <v>628128</v>
      </c>
      <c r="H75" s="758">
        <v>629724</v>
      </c>
      <c r="I75" s="765">
        <f t="shared" si="0"/>
        <v>-2.5344436610324522E-3</v>
      </c>
      <c r="J75" s="254">
        <v>0.46205000559488929</v>
      </c>
      <c r="K75" s="758">
        <v>92440</v>
      </c>
      <c r="L75" s="766">
        <f t="shared" si="1"/>
        <v>0.14716745631463651</v>
      </c>
      <c r="M75" s="759">
        <v>91404</v>
      </c>
      <c r="N75" s="766">
        <f t="shared" si="2"/>
        <v>1.1334296092074744E-2</v>
      </c>
      <c r="O75" s="254">
        <v>223468</v>
      </c>
      <c r="P75" s="254">
        <v>241977</v>
      </c>
      <c r="Q75" s="765">
        <f t="shared" si="3"/>
        <v>-7.6490740855535852E-2</v>
      </c>
      <c r="R75" s="254">
        <v>0.31850000381469729</v>
      </c>
      <c r="S75" s="758">
        <v>32832</v>
      </c>
      <c r="T75" s="765">
        <f t="shared" si="4"/>
        <v>0.14692036443696638</v>
      </c>
      <c r="U75" s="254">
        <v>47734</v>
      </c>
      <c r="V75" s="765">
        <f t="shared" si="5"/>
        <v>-0.31218837725730086</v>
      </c>
    </row>
    <row r="76" spans="1:23">
      <c r="A76" s="62">
        <v>2016</v>
      </c>
      <c r="B76" t="s">
        <v>1244</v>
      </c>
      <c r="C76" s="761">
        <v>149</v>
      </c>
      <c r="D76" s="762">
        <v>144593</v>
      </c>
      <c r="E76" s="254">
        <v>69</v>
      </c>
      <c r="F76" s="254">
        <v>42172</v>
      </c>
      <c r="G76" s="771">
        <v>2147154</v>
      </c>
      <c r="H76" s="758">
        <v>2053916</v>
      </c>
      <c r="I76" s="765">
        <f t="shared" si="0"/>
        <v>4.5395235248179573E-2</v>
      </c>
      <c r="J76" s="254">
        <v>0.57652500470479329</v>
      </c>
      <c r="K76" s="758">
        <v>413017</v>
      </c>
      <c r="L76" s="766">
        <f t="shared" si="1"/>
        <v>0.19235555530716475</v>
      </c>
      <c r="M76" s="759">
        <v>392731</v>
      </c>
      <c r="N76" s="766">
        <f t="shared" si="2"/>
        <v>5.1653676435015318E-2</v>
      </c>
      <c r="O76" s="254">
        <v>1766171</v>
      </c>
      <c r="P76" s="254">
        <v>1707441</v>
      </c>
      <c r="Q76" s="765">
        <f t="shared" si="3"/>
        <v>3.4396503305238656E-2</v>
      </c>
      <c r="R76" s="254">
        <v>0.41520000457763673</v>
      </c>
      <c r="S76" s="758">
        <v>441830</v>
      </c>
      <c r="T76" s="765">
        <f t="shared" si="4"/>
        <v>0.25016263997087484</v>
      </c>
      <c r="U76" s="254">
        <v>394022</v>
      </c>
      <c r="V76" s="765">
        <f t="shared" si="5"/>
        <v>0.12133332656552172</v>
      </c>
    </row>
    <row r="77" spans="1:23">
      <c r="F77" s="286"/>
    </row>
    <row r="78" spans="1:23" s="285" customFormat="1">
      <c r="A78" s="285" t="s">
        <v>1240</v>
      </c>
    </row>
    <row r="79" spans="1:23" s="288" customFormat="1">
      <c r="A79" s="682" t="s">
        <v>1250</v>
      </c>
    </row>
    <row r="80" spans="1:23">
      <c r="A80" s="290" t="s">
        <v>826</v>
      </c>
      <c r="B80" s="291"/>
      <c r="C80" s="291"/>
      <c r="D80" s="291"/>
      <c r="E80" s="291"/>
      <c r="F80" s="291"/>
      <c r="H80" s="287" t="s">
        <v>1262</v>
      </c>
      <c r="W80" t="s">
        <v>1272</v>
      </c>
    </row>
    <row r="81" spans="1:40">
      <c r="A81" s="292" t="s">
        <v>827</v>
      </c>
      <c r="B81" s="293"/>
      <c r="C81" s="293"/>
      <c r="D81" s="291"/>
      <c r="E81" s="293"/>
      <c r="F81" s="291"/>
      <c r="G81" s="179"/>
      <c r="I81">
        <v>2012</v>
      </c>
      <c r="J81">
        <v>2013</v>
      </c>
      <c r="K81">
        <v>2014</v>
      </c>
      <c r="L81">
        <v>2015</v>
      </c>
      <c r="M81" s="254">
        <v>2016</v>
      </c>
      <c r="P81">
        <v>2012</v>
      </c>
      <c r="Q81">
        <v>2013</v>
      </c>
      <c r="R81">
        <v>2014</v>
      </c>
      <c r="S81">
        <v>2015</v>
      </c>
      <c r="T81">
        <v>2016</v>
      </c>
      <c r="X81">
        <v>2012</v>
      </c>
      <c r="Y81">
        <v>2013</v>
      </c>
      <c r="Z81">
        <v>2014</v>
      </c>
      <c r="AA81">
        <v>2015</v>
      </c>
      <c r="AB81" s="254">
        <v>2016</v>
      </c>
      <c r="AE81">
        <v>2012</v>
      </c>
      <c r="AF81">
        <v>2013</v>
      </c>
      <c r="AG81">
        <v>2014</v>
      </c>
      <c r="AH81">
        <v>2015</v>
      </c>
      <c r="AI81" s="254">
        <v>2016</v>
      </c>
    </row>
    <row r="82" spans="1:40" ht="45">
      <c r="A82" s="291"/>
      <c r="B82" s="293"/>
      <c r="C82" s="293" t="s">
        <v>828</v>
      </c>
      <c r="D82" s="293" t="s">
        <v>830</v>
      </c>
      <c r="E82" s="293" t="s">
        <v>829</v>
      </c>
      <c r="F82" s="293" t="s">
        <v>830</v>
      </c>
      <c r="G82" s="179"/>
      <c r="H82" t="s">
        <v>1251</v>
      </c>
      <c r="I82" t="s">
        <v>1261</v>
      </c>
      <c r="J82" t="s">
        <v>1260</v>
      </c>
      <c r="K82" t="s">
        <v>1259</v>
      </c>
      <c r="L82" t="s">
        <v>1258</v>
      </c>
      <c r="M82" s="254" t="s">
        <v>1257</v>
      </c>
      <c r="O82" t="s">
        <v>1251</v>
      </c>
      <c r="P82" t="s">
        <v>1261</v>
      </c>
      <c r="Q82" t="s">
        <v>1260</v>
      </c>
      <c r="R82" t="s">
        <v>1259</v>
      </c>
      <c r="S82" t="s">
        <v>1258</v>
      </c>
      <c r="T82" t="s">
        <v>1257</v>
      </c>
      <c r="W82" t="s">
        <v>1251</v>
      </c>
      <c r="X82" s="59" t="s">
        <v>1256</v>
      </c>
      <c r="Y82" s="59" t="s">
        <v>1255</v>
      </c>
      <c r="Z82" s="59" t="s">
        <v>1254</v>
      </c>
      <c r="AA82" s="59" t="s">
        <v>1253</v>
      </c>
      <c r="AB82" s="757" t="s">
        <v>1252</v>
      </c>
      <c r="AD82" t="s">
        <v>1251</v>
      </c>
      <c r="AE82" s="59" t="s">
        <v>1256</v>
      </c>
      <c r="AF82" s="59" t="s">
        <v>1255</v>
      </c>
      <c r="AG82" s="59" t="s">
        <v>1254</v>
      </c>
      <c r="AH82" s="59" t="s">
        <v>1253</v>
      </c>
      <c r="AI82" s="757" t="s">
        <v>1252</v>
      </c>
      <c r="AN82" s="59"/>
    </row>
    <row r="83" spans="1:40">
      <c r="A83" s="294" t="s">
        <v>486</v>
      </c>
      <c r="B83" s="294" t="s">
        <v>465</v>
      </c>
      <c r="C83" s="295">
        <v>8682000</v>
      </c>
      <c r="D83" s="295">
        <v>4786</v>
      </c>
      <c r="E83" s="295">
        <v>1043</v>
      </c>
      <c r="F83" s="295">
        <v>390</v>
      </c>
      <c r="G83" s="180"/>
      <c r="H83" t="s">
        <v>786</v>
      </c>
      <c r="I83" s="16">
        <v>6351.2300000000005</v>
      </c>
      <c r="J83" s="16">
        <v>6513.7799999999988</v>
      </c>
      <c r="K83" s="16">
        <v>6681.4499999999989</v>
      </c>
      <c r="L83" s="16">
        <v>6735.0499999999993</v>
      </c>
      <c r="M83" s="758">
        <v>6843.7700000000013</v>
      </c>
      <c r="N83" s="16"/>
      <c r="O83" t="s">
        <v>786</v>
      </c>
      <c r="P83" s="16">
        <v>100</v>
      </c>
      <c r="Q83" s="298">
        <f>(J83/$I83)*100</f>
        <v>102.5593467722</v>
      </c>
      <c r="R83" s="298">
        <f>(K83/$I83)*100</f>
        <v>105.19930785060529</v>
      </c>
      <c r="S83" s="298">
        <f>(L83/$I83)*100</f>
        <v>106.04323886869156</v>
      </c>
      <c r="T83" s="298">
        <f>(M83/$I83)*100</f>
        <v>107.75503327701878</v>
      </c>
      <c r="W83" t="s">
        <v>786</v>
      </c>
      <c r="X83" s="16">
        <v>2400</v>
      </c>
      <c r="Y83" s="16">
        <v>2690.6299999999997</v>
      </c>
      <c r="Z83" s="16">
        <v>2778.54</v>
      </c>
      <c r="AA83" s="16">
        <v>2756</v>
      </c>
      <c r="AB83" s="758">
        <v>2775.2999999999997</v>
      </c>
      <c r="AD83" t="s">
        <v>786</v>
      </c>
      <c r="AE83" s="16">
        <v>100</v>
      </c>
      <c r="AF83" s="298">
        <f>(Y83/$X83)*100</f>
        <v>112.10958333333332</v>
      </c>
      <c r="AG83" s="298">
        <f>(Z83/$X83)*100</f>
        <v>115.77249999999999</v>
      </c>
      <c r="AH83" s="298">
        <f>(AA83/$X83)*100</f>
        <v>114.83333333333334</v>
      </c>
      <c r="AI83" s="759">
        <f>(AB83/$X83)*100</f>
        <v>115.63749999999999</v>
      </c>
    </row>
    <row r="84" spans="1:40">
      <c r="A84" s="294" t="s">
        <v>487</v>
      </c>
      <c r="B84" s="294" t="s">
        <v>466</v>
      </c>
      <c r="C84" s="295">
        <v>5629000</v>
      </c>
      <c r="D84" s="295">
        <v>1714</v>
      </c>
      <c r="E84" s="295">
        <v>1693</v>
      </c>
      <c r="F84" s="295">
        <v>619</v>
      </c>
      <c r="G84" s="180"/>
      <c r="H84" t="s">
        <v>74</v>
      </c>
      <c r="I84" s="16">
        <v>8802.86</v>
      </c>
      <c r="J84" s="16">
        <v>8951.2500000000018</v>
      </c>
      <c r="K84" s="16">
        <v>8838.9499999999971</v>
      </c>
      <c r="L84" s="16">
        <v>9311.4</v>
      </c>
      <c r="M84" s="758">
        <v>9626.51</v>
      </c>
      <c r="N84" s="16"/>
      <c r="O84" t="s">
        <v>74</v>
      </c>
      <c r="P84" s="16">
        <v>100</v>
      </c>
      <c r="Q84" s="298">
        <f t="shared" ref="Q84:Q94" si="6">(J84/$I84)*100</f>
        <v>101.6857021468023</v>
      </c>
      <c r="R84" s="298">
        <f t="shared" ref="R84:R94" si="7">(K84/$I84)*100</f>
        <v>100.40998039273596</v>
      </c>
      <c r="S84" s="298">
        <f t="shared" ref="S84:S94" si="8">(L84/$I84)*100</f>
        <v>105.77698611587596</v>
      </c>
      <c r="T84" s="298">
        <f t="shared" ref="T84:T94" si="9">(M84/$I84)*100</f>
        <v>109.35661818999733</v>
      </c>
      <c r="W84" t="s">
        <v>74</v>
      </c>
      <c r="X84" s="16">
        <v>1431.1499999999999</v>
      </c>
      <c r="Y84" s="16">
        <v>1495.22</v>
      </c>
      <c r="Z84" s="16">
        <v>1659.3100000000002</v>
      </c>
      <c r="AA84" s="16">
        <v>1663</v>
      </c>
      <c r="AB84" s="758">
        <v>1865.8999999999999</v>
      </c>
      <c r="AD84" t="s">
        <v>74</v>
      </c>
      <c r="AE84" s="16">
        <v>100</v>
      </c>
      <c r="AF84" s="298">
        <f t="shared" ref="AF84:AF94" si="10">(Y84/$X84)*100</f>
        <v>104.47681934108934</v>
      </c>
      <c r="AG84" s="298">
        <f t="shared" ref="AG84:AG94" si="11">(Z84/$X84)*100</f>
        <v>115.94242392481573</v>
      </c>
      <c r="AH84" s="298">
        <f t="shared" ref="AH84:AH94" si="12">(AA84/$X84)*100</f>
        <v>116.20025853334732</v>
      </c>
      <c r="AI84" s="759">
        <f t="shared" ref="AI84:AI94" si="13">(AB84/$X84)*100</f>
        <v>130.37766830870279</v>
      </c>
    </row>
    <row r="85" spans="1:40">
      <c r="A85" s="294" t="s">
        <v>488</v>
      </c>
      <c r="B85" s="294" t="s">
        <v>467</v>
      </c>
      <c r="C85" s="295">
        <v>2766000</v>
      </c>
      <c r="D85" s="295">
        <v>704</v>
      </c>
      <c r="E85" s="295">
        <v>267</v>
      </c>
      <c r="F85" s="295">
        <v>62</v>
      </c>
      <c r="G85" s="180"/>
      <c r="H85" t="s">
        <v>788</v>
      </c>
      <c r="I85" s="16">
        <v>7168.869999999999</v>
      </c>
      <c r="J85" s="16">
        <v>7135.7299999999977</v>
      </c>
      <c r="K85" s="16">
        <v>7134.7000000000007</v>
      </c>
      <c r="L85" s="16">
        <v>7500.53</v>
      </c>
      <c r="M85" s="758">
        <v>7655.1</v>
      </c>
      <c r="N85" s="16"/>
      <c r="O85" t="s">
        <v>788</v>
      </c>
      <c r="P85" s="16">
        <v>100</v>
      </c>
      <c r="Q85" s="298">
        <f t="shared" si="6"/>
        <v>99.537723518490338</v>
      </c>
      <c r="R85" s="298">
        <f t="shared" si="7"/>
        <v>99.523355842692112</v>
      </c>
      <c r="S85" s="298">
        <f t="shared" si="8"/>
        <v>104.62639160704548</v>
      </c>
      <c r="T85" s="298">
        <f t="shared" si="9"/>
        <v>106.78251942077345</v>
      </c>
      <c r="W85" t="s">
        <v>788</v>
      </c>
      <c r="X85" s="16">
        <v>1045.4100000000001</v>
      </c>
      <c r="Y85" s="16">
        <v>1072.3799999999999</v>
      </c>
      <c r="Z85" s="16">
        <v>1156.3300000000002</v>
      </c>
      <c r="AA85" s="16">
        <v>1244</v>
      </c>
      <c r="AB85" s="758">
        <v>1130.49</v>
      </c>
      <c r="AD85" t="s">
        <v>788</v>
      </c>
      <c r="AE85" s="16">
        <v>100</v>
      </c>
      <c r="AF85" s="298">
        <f t="shared" si="10"/>
        <v>102.57984905443796</v>
      </c>
      <c r="AG85" s="298">
        <f t="shared" si="11"/>
        <v>110.61019121684316</v>
      </c>
      <c r="AH85" s="298">
        <f t="shared" si="12"/>
        <v>118.99637462813632</v>
      </c>
      <c r="AI85" s="759">
        <f t="shared" si="13"/>
        <v>108.13843372456739</v>
      </c>
    </row>
    <row r="86" spans="1:40">
      <c r="A86" s="294" t="s">
        <v>71</v>
      </c>
      <c r="B86" s="294" t="s">
        <v>116</v>
      </c>
      <c r="C86" s="295">
        <v>3770000</v>
      </c>
      <c r="D86" s="295">
        <v>722</v>
      </c>
      <c r="E86" s="295">
        <v>4014</v>
      </c>
      <c r="F86" s="295">
        <v>1456</v>
      </c>
      <c r="G86" s="180"/>
      <c r="H86" t="s">
        <v>1087</v>
      </c>
      <c r="I86" s="16">
        <v>2921.56</v>
      </c>
      <c r="J86" s="16">
        <v>2893.77</v>
      </c>
      <c r="K86" s="16">
        <v>2911.87</v>
      </c>
      <c r="L86" s="16">
        <v>2839.7499999999995</v>
      </c>
      <c r="M86" s="758">
        <v>2916.63</v>
      </c>
      <c r="N86" s="16"/>
      <c r="O86" t="s">
        <v>1087</v>
      </c>
      <c r="P86" s="16">
        <v>100</v>
      </c>
      <c r="Q86" s="298">
        <f t="shared" si="6"/>
        <v>99.048795848793119</v>
      </c>
      <c r="R86" s="298">
        <f t="shared" si="7"/>
        <v>99.668327879625949</v>
      </c>
      <c r="S86" s="298">
        <f t="shared" si="8"/>
        <v>97.199783677213532</v>
      </c>
      <c r="T86" s="298">
        <f t="shared" si="9"/>
        <v>99.831254535248291</v>
      </c>
      <c r="W86" t="s">
        <v>1087</v>
      </c>
      <c r="X86" s="16">
        <v>608.2600000000001</v>
      </c>
      <c r="Y86" s="16">
        <v>590.11</v>
      </c>
      <c r="Z86" s="16">
        <v>602.2399999999999</v>
      </c>
      <c r="AA86" s="16">
        <v>727</v>
      </c>
      <c r="AB86" s="758">
        <v>601.37</v>
      </c>
      <c r="AD86" t="s">
        <v>1087</v>
      </c>
      <c r="AE86" s="16">
        <v>100</v>
      </c>
      <c r="AF86" s="298">
        <f t="shared" si="10"/>
        <v>97.016078650577043</v>
      </c>
      <c r="AG86" s="298">
        <f t="shared" si="11"/>
        <v>99.010291651596333</v>
      </c>
      <c r="AH86" s="298">
        <f t="shared" si="12"/>
        <v>119.52125735705124</v>
      </c>
      <c r="AI86" s="759">
        <f t="shared" si="13"/>
        <v>98.867260710880203</v>
      </c>
    </row>
    <row r="87" spans="1:40">
      <c r="A87" s="294" t="s">
        <v>489</v>
      </c>
      <c r="B87" s="294" t="s">
        <v>468</v>
      </c>
      <c r="C87" s="295">
        <v>3167000</v>
      </c>
      <c r="D87" s="295">
        <v>587</v>
      </c>
      <c r="E87" s="295">
        <v>8004</v>
      </c>
      <c r="F87" s="295">
        <v>2481</v>
      </c>
      <c r="G87" s="180"/>
      <c r="H87" t="s">
        <v>520</v>
      </c>
      <c r="I87" s="16">
        <v>7649.15</v>
      </c>
      <c r="J87" s="16">
        <v>7562.1400000000012</v>
      </c>
      <c r="K87" s="16">
        <v>7369.4</v>
      </c>
      <c r="L87" s="16">
        <v>7504.38</v>
      </c>
      <c r="M87" s="758">
        <v>7642.16</v>
      </c>
      <c r="N87" s="16"/>
      <c r="O87" t="s">
        <v>520</v>
      </c>
      <c r="P87" s="16">
        <v>100</v>
      </c>
      <c r="Q87" s="298">
        <f t="shared" si="6"/>
        <v>98.862487988861531</v>
      </c>
      <c r="R87" s="298">
        <f t="shared" si="7"/>
        <v>96.342730891667699</v>
      </c>
      <c r="S87" s="298">
        <f t="shared" si="8"/>
        <v>98.107371407280553</v>
      </c>
      <c r="T87" s="298">
        <f t="shared" si="9"/>
        <v>99.908617297346765</v>
      </c>
      <c r="W87" t="s">
        <v>520</v>
      </c>
      <c r="X87" s="16">
        <v>1460.99</v>
      </c>
      <c r="Y87" s="16">
        <v>1588.4</v>
      </c>
      <c r="Z87" s="16">
        <v>1508.3400000000001</v>
      </c>
      <c r="AA87" s="16">
        <v>1559</v>
      </c>
      <c r="AB87" s="758">
        <v>1603.9</v>
      </c>
      <c r="AD87" t="s">
        <v>520</v>
      </c>
      <c r="AE87" s="16">
        <v>100</v>
      </c>
      <c r="AF87" s="298">
        <f t="shared" si="10"/>
        <v>108.72079891032793</v>
      </c>
      <c r="AG87" s="298">
        <f t="shared" si="11"/>
        <v>103.2409530523823</v>
      </c>
      <c r="AH87" s="298">
        <f t="shared" si="12"/>
        <v>106.70846480810955</v>
      </c>
      <c r="AI87" s="759">
        <f t="shared" si="13"/>
        <v>109.78172335197367</v>
      </c>
    </row>
    <row r="88" spans="1:40">
      <c r="A88" s="294" t="s">
        <v>490</v>
      </c>
      <c r="B88" s="294" t="s">
        <v>469</v>
      </c>
      <c r="C88" s="295">
        <v>2709000</v>
      </c>
      <c r="D88" s="295">
        <v>471</v>
      </c>
      <c r="E88" s="295">
        <v>989</v>
      </c>
      <c r="F88" s="295">
        <v>428</v>
      </c>
      <c r="G88" s="180"/>
      <c r="H88" t="s">
        <v>789</v>
      </c>
      <c r="I88" s="16">
        <v>8755.25</v>
      </c>
      <c r="J88" s="16">
        <v>8290.89</v>
      </c>
      <c r="K88" s="16">
        <v>8124.5199999999995</v>
      </c>
      <c r="L88" s="16">
        <v>8195.8100000000013</v>
      </c>
      <c r="M88" s="758">
        <v>8425.9</v>
      </c>
      <c r="N88" s="16"/>
      <c r="O88" t="s">
        <v>789</v>
      </c>
      <c r="P88" s="16">
        <v>100</v>
      </c>
      <c r="Q88" s="298">
        <f t="shared" si="6"/>
        <v>94.696210844921609</v>
      </c>
      <c r="R88" s="298">
        <f t="shared" si="7"/>
        <v>92.795979555124063</v>
      </c>
      <c r="S88" s="298">
        <f t="shared" si="8"/>
        <v>93.6102338596842</v>
      </c>
      <c r="T88" s="298">
        <f t="shared" si="9"/>
        <v>96.238257045772542</v>
      </c>
      <c r="W88" t="s">
        <v>789</v>
      </c>
      <c r="X88" s="16">
        <v>2601.4199999999996</v>
      </c>
      <c r="Y88" s="16">
        <v>2408.85</v>
      </c>
      <c r="Z88" s="16">
        <v>2449.56</v>
      </c>
      <c r="AA88" s="16">
        <v>2443</v>
      </c>
      <c r="AB88" s="758">
        <v>2507.92</v>
      </c>
      <c r="AD88" t="s">
        <v>789</v>
      </c>
      <c r="AE88" s="16">
        <v>100</v>
      </c>
      <c r="AF88" s="298">
        <f t="shared" si="10"/>
        <v>92.59750443988284</v>
      </c>
      <c r="AG88" s="298">
        <f t="shared" si="11"/>
        <v>94.162418986553504</v>
      </c>
      <c r="AH88" s="298">
        <f t="shared" si="12"/>
        <v>93.910249017844123</v>
      </c>
      <c r="AI88" s="759">
        <f t="shared" si="13"/>
        <v>96.405809135010898</v>
      </c>
    </row>
    <row r="89" spans="1:40">
      <c r="A89" s="294" t="s">
        <v>491</v>
      </c>
      <c r="B89" s="294" t="s">
        <v>470</v>
      </c>
      <c r="C89" s="295">
        <v>2338000</v>
      </c>
      <c r="D89" s="295">
        <v>527</v>
      </c>
      <c r="E89" s="295">
        <v>710</v>
      </c>
      <c r="F89" s="295">
        <v>305</v>
      </c>
      <c r="G89" s="180"/>
      <c r="H89" t="s">
        <v>526</v>
      </c>
      <c r="I89" s="16">
        <v>5809.86</v>
      </c>
      <c r="J89" s="16">
        <v>5894.1100000000015</v>
      </c>
      <c r="K89" s="16">
        <v>6129.6500000000005</v>
      </c>
      <c r="L89" s="16">
        <v>6350.7999999999993</v>
      </c>
      <c r="M89" s="758">
        <v>6584.36</v>
      </c>
      <c r="N89" s="16"/>
      <c r="O89" t="s">
        <v>526</v>
      </c>
      <c r="P89" s="16">
        <v>100</v>
      </c>
      <c r="Q89" s="298">
        <f t="shared" si="6"/>
        <v>101.45012100119455</v>
      </c>
      <c r="R89" s="298">
        <f t="shared" si="7"/>
        <v>105.50426344180413</v>
      </c>
      <c r="S89" s="298">
        <f t="shared" si="8"/>
        <v>109.31072349419779</v>
      </c>
      <c r="T89" s="298">
        <f t="shared" si="9"/>
        <v>113.33078593976447</v>
      </c>
      <c r="W89" t="s">
        <v>526</v>
      </c>
      <c r="X89" s="16">
        <v>1474.4699999999998</v>
      </c>
      <c r="Y89" s="16">
        <v>1511.28</v>
      </c>
      <c r="Z89" s="16">
        <v>1689.8</v>
      </c>
      <c r="AA89" s="16">
        <v>1743</v>
      </c>
      <c r="AB89" s="758">
        <v>1818.3899999999999</v>
      </c>
      <c r="AD89" t="s">
        <v>526</v>
      </c>
      <c r="AE89" s="16">
        <v>100</v>
      </c>
      <c r="AF89" s="298">
        <f t="shared" si="10"/>
        <v>102.49649026429837</v>
      </c>
      <c r="AG89" s="298">
        <f t="shared" si="11"/>
        <v>114.60389156781761</v>
      </c>
      <c r="AH89" s="298">
        <f t="shared" si="12"/>
        <v>118.21196769008526</v>
      </c>
      <c r="AI89" s="759">
        <f t="shared" si="13"/>
        <v>123.32499135282508</v>
      </c>
    </row>
    <row r="90" spans="1:40">
      <c r="A90" s="294" t="s">
        <v>492</v>
      </c>
      <c r="B90" s="294" t="s">
        <v>471</v>
      </c>
      <c r="C90" s="295">
        <v>2824000</v>
      </c>
      <c r="D90" s="295">
        <v>291</v>
      </c>
      <c r="E90" s="295">
        <v>2214</v>
      </c>
      <c r="F90" s="295">
        <v>321</v>
      </c>
      <c r="G90" s="180"/>
      <c r="H90" t="s">
        <v>790</v>
      </c>
      <c r="I90" s="16">
        <v>6367.0499999999993</v>
      </c>
      <c r="J90" s="16">
        <v>6324.7100000000009</v>
      </c>
      <c r="K90" s="16">
        <v>6299.6600000000008</v>
      </c>
      <c r="L90" s="16">
        <v>6628.8399999999992</v>
      </c>
      <c r="M90" s="758">
        <v>7057.6799999999994</v>
      </c>
      <c r="N90" s="16"/>
      <c r="O90" t="s">
        <v>790</v>
      </c>
      <c r="P90" s="16">
        <v>100</v>
      </c>
      <c r="Q90" s="298">
        <f t="shared" si="6"/>
        <v>99.335013860422038</v>
      </c>
      <c r="R90" s="298">
        <f t="shared" si="7"/>
        <v>98.941582051342479</v>
      </c>
      <c r="S90" s="298">
        <f t="shared" si="8"/>
        <v>104.11163725744261</v>
      </c>
      <c r="T90" s="298">
        <f t="shared" si="9"/>
        <v>110.84693853511438</v>
      </c>
      <c r="W90" t="s">
        <v>790</v>
      </c>
      <c r="X90" s="16">
        <v>653.43000000000006</v>
      </c>
      <c r="Y90" s="16">
        <v>664.08999999999992</v>
      </c>
      <c r="Z90" s="16">
        <v>644.12000000000012</v>
      </c>
      <c r="AA90" s="16">
        <v>730</v>
      </c>
      <c r="AB90" s="758">
        <v>761.01999999999975</v>
      </c>
      <c r="AD90" t="s">
        <v>790</v>
      </c>
      <c r="AE90" s="16">
        <v>100</v>
      </c>
      <c r="AF90" s="298">
        <f t="shared" si="10"/>
        <v>101.63139127374008</v>
      </c>
      <c r="AG90" s="298">
        <f t="shared" si="11"/>
        <v>98.575210810645373</v>
      </c>
      <c r="AH90" s="298">
        <f t="shared" si="12"/>
        <v>111.718164149182</v>
      </c>
      <c r="AI90" s="759">
        <f t="shared" si="13"/>
        <v>116.46542093261706</v>
      </c>
    </row>
    <row r="91" spans="1:40">
      <c r="A91" s="294" t="s">
        <v>493</v>
      </c>
      <c r="B91" s="294" t="s">
        <v>472</v>
      </c>
      <c r="C91" s="295">
        <v>3656000</v>
      </c>
      <c r="D91" s="295">
        <v>811</v>
      </c>
      <c r="E91" s="295">
        <v>224</v>
      </c>
      <c r="F91" s="295">
        <v>86</v>
      </c>
      <c r="G91" s="180"/>
      <c r="H91" t="s">
        <v>523</v>
      </c>
      <c r="I91" s="16">
        <v>22476.82</v>
      </c>
      <c r="J91" s="16">
        <v>22096.899999999998</v>
      </c>
      <c r="K91" s="16">
        <v>21695.42</v>
      </c>
      <c r="L91" s="16">
        <v>22160.229999999996</v>
      </c>
      <c r="M91" s="758">
        <v>21780.82</v>
      </c>
      <c r="N91" s="16"/>
      <c r="O91" t="s">
        <v>523</v>
      </c>
      <c r="P91" s="16">
        <v>100</v>
      </c>
      <c r="Q91" s="298">
        <f t="shared" si="6"/>
        <v>98.309725308117422</v>
      </c>
      <c r="R91" s="298">
        <f t="shared" si="7"/>
        <v>96.523529574023371</v>
      </c>
      <c r="S91" s="298">
        <f t="shared" si="8"/>
        <v>98.591482247043828</v>
      </c>
      <c r="T91" s="298">
        <f t="shared" si="9"/>
        <v>96.903476559406528</v>
      </c>
      <c r="W91" t="s">
        <v>523</v>
      </c>
      <c r="X91" s="16">
        <v>8676.0400000000009</v>
      </c>
      <c r="Y91" s="16">
        <v>8816.5099999999984</v>
      </c>
      <c r="Z91" s="16">
        <v>8721.5199999999986</v>
      </c>
      <c r="AA91" s="16">
        <v>9025</v>
      </c>
      <c r="AB91" s="758">
        <v>8445.16</v>
      </c>
      <c r="AD91" t="s">
        <v>523</v>
      </c>
      <c r="AE91" s="16">
        <v>100</v>
      </c>
      <c r="AF91" s="298">
        <f t="shared" si="10"/>
        <v>101.61905662030139</v>
      </c>
      <c r="AG91" s="298">
        <f t="shared" si="11"/>
        <v>100.52420228583546</v>
      </c>
      <c r="AH91" s="298">
        <f t="shared" si="12"/>
        <v>104.02211147020989</v>
      </c>
      <c r="AI91" s="759">
        <f t="shared" si="13"/>
        <v>97.338878105679541</v>
      </c>
    </row>
    <row r="92" spans="1:40">
      <c r="A92" s="294" t="s">
        <v>494</v>
      </c>
      <c r="B92" s="294" t="s">
        <v>478</v>
      </c>
      <c r="C92" s="295">
        <v>2474000</v>
      </c>
      <c r="D92" s="295">
        <v>879</v>
      </c>
      <c r="E92" s="295">
        <v>541</v>
      </c>
      <c r="F92" s="295">
        <v>236</v>
      </c>
      <c r="G92" s="180"/>
      <c r="H92" t="s">
        <v>524</v>
      </c>
      <c r="I92" s="16">
        <v>18661.600000000002</v>
      </c>
      <c r="J92" s="16">
        <v>19307.340000000004</v>
      </c>
      <c r="K92" s="16">
        <v>18287.03</v>
      </c>
      <c r="L92" s="16">
        <v>19179.989999999998</v>
      </c>
      <c r="M92" s="758">
        <v>20126.11</v>
      </c>
      <c r="N92" s="16"/>
      <c r="O92" t="s">
        <v>524</v>
      </c>
      <c r="P92" s="16">
        <v>100</v>
      </c>
      <c r="Q92" s="298">
        <f t="shared" si="6"/>
        <v>103.4602606421743</v>
      </c>
      <c r="R92" s="298">
        <f t="shared" si="7"/>
        <v>97.99283019676767</v>
      </c>
      <c r="S92" s="298">
        <f t="shared" si="8"/>
        <v>102.77784327174517</v>
      </c>
      <c r="T92" s="298">
        <f t="shared" si="9"/>
        <v>107.84771938097481</v>
      </c>
      <c r="W92" t="s">
        <v>524</v>
      </c>
      <c r="X92" s="16">
        <v>4720.8100000000004</v>
      </c>
      <c r="Y92" s="16">
        <v>5158.2400000000007</v>
      </c>
      <c r="Z92" s="16">
        <v>4772.0099999999993</v>
      </c>
      <c r="AA92" s="16">
        <v>5328</v>
      </c>
      <c r="AB92" s="758">
        <v>5686.8600000000006</v>
      </c>
      <c r="AD92" t="s">
        <v>524</v>
      </c>
      <c r="AE92" s="16">
        <v>100</v>
      </c>
      <c r="AF92" s="298">
        <f t="shared" si="10"/>
        <v>109.26599460685773</v>
      </c>
      <c r="AG92" s="298">
        <f t="shared" si="11"/>
        <v>101.08455964124798</v>
      </c>
      <c r="AH92" s="298">
        <f t="shared" si="12"/>
        <v>112.86198766737063</v>
      </c>
      <c r="AI92" s="759">
        <f t="shared" si="13"/>
        <v>120.46364924663354</v>
      </c>
    </row>
    <row r="93" spans="1:40">
      <c r="A93" s="294" t="s">
        <v>495</v>
      </c>
      <c r="B93" s="294" t="s">
        <v>473</v>
      </c>
      <c r="C93" s="295">
        <v>3865000</v>
      </c>
      <c r="D93" s="295">
        <v>1601</v>
      </c>
      <c r="E93" s="295">
        <v>374</v>
      </c>
      <c r="F93" s="295">
        <v>182</v>
      </c>
      <c r="G93" s="180"/>
      <c r="M93" s="254"/>
      <c r="P93" s="16"/>
      <c r="Q93" s="298"/>
      <c r="R93" s="298"/>
      <c r="S93" s="298"/>
      <c r="T93" s="298"/>
      <c r="W93" s="16"/>
      <c r="X93" s="16"/>
      <c r="Y93" s="16"/>
      <c r="Z93" s="16"/>
      <c r="AA93" s="16"/>
      <c r="AB93" s="758"/>
      <c r="AC93" s="16"/>
      <c r="AD93" s="16"/>
      <c r="AE93" s="16"/>
      <c r="AF93" s="298"/>
      <c r="AG93" s="298"/>
      <c r="AH93" s="298"/>
      <c r="AI93" s="759"/>
    </row>
    <row r="94" spans="1:40">
      <c r="A94" s="294" t="s">
        <v>496</v>
      </c>
      <c r="B94" s="294" t="s">
        <v>474</v>
      </c>
      <c r="C94" s="295">
        <v>4557000</v>
      </c>
      <c r="D94" s="295">
        <v>955</v>
      </c>
      <c r="E94" s="295">
        <v>188</v>
      </c>
      <c r="F94" s="295">
        <v>78</v>
      </c>
      <c r="G94" s="180"/>
      <c r="H94" t="s">
        <v>1479</v>
      </c>
      <c r="I94" s="16">
        <v>202161.66</v>
      </c>
      <c r="J94" s="16">
        <v>201418.58000000002</v>
      </c>
      <c r="K94" s="16">
        <v>198509.37000000002</v>
      </c>
      <c r="L94" s="16">
        <v>202087.49</v>
      </c>
      <c r="M94" s="760">
        <v>200069.56</v>
      </c>
      <c r="N94" s="16"/>
      <c r="O94" t="s">
        <v>1479</v>
      </c>
      <c r="P94" s="16">
        <v>100</v>
      </c>
      <c r="Q94" s="298">
        <f t="shared" si="6"/>
        <v>99.63243277681832</v>
      </c>
      <c r="R94" s="298">
        <f t="shared" si="7"/>
        <v>98.193381475003733</v>
      </c>
      <c r="S94" s="298">
        <f t="shared" si="8"/>
        <v>99.963311539883478</v>
      </c>
      <c r="T94" s="298">
        <f t="shared" si="9"/>
        <v>98.965135129974698</v>
      </c>
      <c r="W94" t="s">
        <v>832</v>
      </c>
      <c r="X94" s="16">
        <v>70212.510000000009</v>
      </c>
      <c r="Y94" s="16">
        <v>73143.650000000009</v>
      </c>
      <c r="Z94" s="16">
        <v>72941.02</v>
      </c>
      <c r="AA94" s="16">
        <v>73783</v>
      </c>
      <c r="AB94" s="758">
        <v>69547.3</v>
      </c>
      <c r="AC94" s="16"/>
      <c r="AD94" t="s">
        <v>832</v>
      </c>
      <c r="AE94" s="16">
        <v>100</v>
      </c>
      <c r="AF94" s="298">
        <f t="shared" si="10"/>
        <v>104.17466915796058</v>
      </c>
      <c r="AG94" s="298">
        <f t="shared" si="11"/>
        <v>103.88607386347533</v>
      </c>
      <c r="AH94" s="298">
        <f t="shared" si="12"/>
        <v>105.08526187142434</v>
      </c>
      <c r="AI94" s="298">
        <f t="shared" si="13"/>
        <v>99.052576243179445</v>
      </c>
    </row>
    <row r="95" spans="1:40">
      <c r="A95" s="294" t="s">
        <v>497</v>
      </c>
      <c r="B95" s="294" t="s">
        <v>475</v>
      </c>
      <c r="C95" s="295">
        <v>2320000</v>
      </c>
      <c r="D95" s="295">
        <v>502</v>
      </c>
      <c r="E95" s="295">
        <v>492</v>
      </c>
      <c r="F95" s="295">
        <v>223</v>
      </c>
      <c r="G95" s="180"/>
      <c r="H95" s="180"/>
    </row>
    <row r="96" spans="1:40">
      <c r="A96" s="294" t="s">
        <v>498</v>
      </c>
      <c r="B96" s="294" t="s">
        <v>476</v>
      </c>
      <c r="C96" s="295">
        <v>3513000</v>
      </c>
      <c r="D96" s="295">
        <v>1040</v>
      </c>
      <c r="E96" s="295">
        <v>7853</v>
      </c>
      <c r="F96" s="295">
        <v>3032</v>
      </c>
      <c r="G96" s="180"/>
      <c r="H96" s="180"/>
      <c r="R96" s="16"/>
      <c r="S96" s="16"/>
      <c r="T96" s="16"/>
      <c r="U96" s="16"/>
      <c r="V96" s="16"/>
    </row>
    <row r="97" spans="1:10">
      <c r="A97" s="294" t="s">
        <v>499</v>
      </c>
      <c r="B97" s="294" t="s">
        <v>477</v>
      </c>
      <c r="C97" s="295">
        <v>2278000</v>
      </c>
      <c r="D97" s="295">
        <v>875</v>
      </c>
      <c r="E97" s="295">
        <v>1633</v>
      </c>
      <c r="F97" s="295">
        <v>908</v>
      </c>
      <c r="G97" s="180"/>
      <c r="H97" s="180"/>
    </row>
    <row r="98" spans="1:10">
      <c r="A98" s="296" t="s">
        <v>831</v>
      </c>
      <c r="B98" s="296" t="s">
        <v>1479</v>
      </c>
      <c r="C98" s="295">
        <v>198509000</v>
      </c>
      <c r="D98" s="297">
        <v>72941</v>
      </c>
      <c r="E98" s="297">
        <v>109743</v>
      </c>
      <c r="F98" s="297">
        <v>36612</v>
      </c>
      <c r="G98" s="182"/>
      <c r="H98" s="182"/>
    </row>
    <row r="100" spans="1:10" s="202" customFormat="1">
      <c r="A100" s="202" t="s">
        <v>872</v>
      </c>
    </row>
    <row r="101" spans="1:10">
      <c r="A101" s="202" t="s">
        <v>1478</v>
      </c>
      <c r="B101" s="202"/>
      <c r="C101" s="202"/>
      <c r="D101" s="202"/>
    </row>
    <row r="102" spans="1:10">
      <c r="B102" s="181"/>
      <c r="C102" s="181">
        <v>2011</v>
      </c>
      <c r="H102" s="166">
        <v>2011</v>
      </c>
    </row>
    <row r="103" spans="1:10">
      <c r="B103" s="183"/>
      <c r="C103" s="184" t="s">
        <v>833</v>
      </c>
      <c r="E103" t="s">
        <v>842</v>
      </c>
    </row>
    <row r="104" spans="1:10" ht="76.5" customHeight="1">
      <c r="B104" s="185" t="s">
        <v>834</v>
      </c>
      <c r="C104" s="186" t="s">
        <v>835</v>
      </c>
      <c r="D104" s="975" t="s">
        <v>843</v>
      </c>
      <c r="E104" s="976"/>
      <c r="F104" s="200" t="s">
        <v>844</v>
      </c>
      <c r="G104" s="200" t="s">
        <v>845</v>
      </c>
      <c r="H104" s="186" t="s">
        <v>846</v>
      </c>
      <c r="I104" s="186" t="s">
        <v>847</v>
      </c>
      <c r="J104" s="59" t="s">
        <v>870</v>
      </c>
    </row>
    <row r="105" spans="1:10">
      <c r="B105" s="187" t="s">
        <v>786</v>
      </c>
      <c r="C105" s="194">
        <v>2547.1</v>
      </c>
      <c r="E105" s="188">
        <v>4.8</v>
      </c>
      <c r="F105" s="197">
        <v>25.4</v>
      </c>
      <c r="G105" s="197">
        <v>8.6999999999999993</v>
      </c>
      <c r="H105" s="194">
        <v>34.1</v>
      </c>
      <c r="I105" s="194">
        <v>4</v>
      </c>
      <c r="J105">
        <f>RANK(H105,$H$105:$H$114,0)</f>
        <v>9</v>
      </c>
    </row>
    <row r="106" spans="1:10">
      <c r="B106" s="189" t="s">
        <v>74</v>
      </c>
      <c r="C106" s="195">
        <v>7409.2</v>
      </c>
      <c r="E106" s="190">
        <v>8.3000000000000007</v>
      </c>
      <c r="F106" s="198">
        <v>53.8</v>
      </c>
      <c r="G106" s="198">
        <v>11.1</v>
      </c>
      <c r="H106" s="195">
        <v>64.900000000000006</v>
      </c>
      <c r="I106" s="195">
        <v>5</v>
      </c>
      <c r="J106">
        <f t="shared" ref="J106:J114" si="14">RANK(H106,$H$105:$H$114,0)</f>
        <v>3</v>
      </c>
    </row>
    <row r="107" spans="1:10">
      <c r="B107" s="189" t="s">
        <v>1087</v>
      </c>
      <c r="C107" s="378">
        <v>1655.9</v>
      </c>
      <c r="D107" s="300"/>
      <c r="E107" s="377">
        <v>3.3</v>
      </c>
      <c r="F107" s="351">
        <v>15.2</v>
      </c>
      <c r="G107" s="351">
        <v>6.4</v>
      </c>
      <c r="H107" s="351">
        <v>21.6</v>
      </c>
      <c r="I107" s="351">
        <v>3</v>
      </c>
      <c r="J107">
        <f t="shared" si="14"/>
        <v>10</v>
      </c>
    </row>
    <row r="108" spans="1:10">
      <c r="B108" s="189" t="s">
        <v>788</v>
      </c>
      <c r="C108" s="195">
        <v>6614.6</v>
      </c>
      <c r="E108" s="190">
        <v>8.1</v>
      </c>
      <c r="F108" s="198">
        <v>46.3</v>
      </c>
      <c r="G108" s="198">
        <v>10.7</v>
      </c>
      <c r="H108" s="195">
        <v>57</v>
      </c>
      <c r="I108" s="195">
        <v>4</v>
      </c>
      <c r="J108">
        <f t="shared" si="14"/>
        <v>4</v>
      </c>
    </row>
    <row r="109" spans="1:10">
      <c r="B109" s="189" t="s">
        <v>836</v>
      </c>
      <c r="C109" s="195">
        <v>8007.4</v>
      </c>
      <c r="E109" s="190">
        <v>12.7</v>
      </c>
      <c r="F109" s="198">
        <v>48.7</v>
      </c>
      <c r="G109" s="198">
        <v>8.1</v>
      </c>
      <c r="H109" s="195">
        <v>56.7</v>
      </c>
      <c r="I109" s="195">
        <v>6</v>
      </c>
      <c r="J109">
        <f t="shared" si="14"/>
        <v>5</v>
      </c>
    </row>
    <row r="110" spans="1:10">
      <c r="B110" s="189" t="s">
        <v>789</v>
      </c>
      <c r="C110" s="195">
        <v>6017.5</v>
      </c>
      <c r="E110" s="190">
        <v>7.7</v>
      </c>
      <c r="F110" s="198">
        <v>38.700000000000003</v>
      </c>
      <c r="G110" s="198">
        <v>12</v>
      </c>
      <c r="H110" s="195">
        <v>50.8</v>
      </c>
      <c r="I110" s="195">
        <v>4</v>
      </c>
      <c r="J110">
        <f t="shared" si="14"/>
        <v>7</v>
      </c>
    </row>
    <row r="111" spans="1:10">
      <c r="B111" s="189" t="s">
        <v>837</v>
      </c>
      <c r="C111" s="195">
        <v>3726.2</v>
      </c>
      <c r="E111" s="190">
        <v>3.7</v>
      </c>
      <c r="F111" s="198">
        <v>32.200000000000003</v>
      </c>
      <c r="G111" s="198">
        <v>12.5</v>
      </c>
      <c r="H111" s="195">
        <v>44.7</v>
      </c>
      <c r="I111" s="195">
        <v>3</v>
      </c>
      <c r="J111">
        <f t="shared" si="14"/>
        <v>8</v>
      </c>
    </row>
    <row r="112" spans="1:10">
      <c r="B112" s="189" t="s">
        <v>790</v>
      </c>
      <c r="C112" s="195">
        <v>6048.2</v>
      </c>
      <c r="E112" s="190">
        <v>6.1</v>
      </c>
      <c r="F112" s="198">
        <v>40.799999999999997</v>
      </c>
      <c r="G112" s="198">
        <v>12.2</v>
      </c>
      <c r="H112" s="195">
        <v>53</v>
      </c>
      <c r="I112" s="195">
        <v>4</v>
      </c>
      <c r="J112">
        <f t="shared" si="14"/>
        <v>6</v>
      </c>
    </row>
    <row r="113" spans="2:12">
      <c r="B113" s="189" t="s">
        <v>838</v>
      </c>
      <c r="C113" s="195">
        <v>18071.900000000001</v>
      </c>
      <c r="E113" s="190">
        <v>12.9</v>
      </c>
      <c r="F113" s="198">
        <v>116</v>
      </c>
      <c r="G113" s="198">
        <v>24.3</v>
      </c>
      <c r="H113" s="195">
        <v>140.30000000000001</v>
      </c>
      <c r="I113" s="195">
        <v>7</v>
      </c>
      <c r="J113">
        <f t="shared" si="14"/>
        <v>2</v>
      </c>
    </row>
    <row r="114" spans="2:12">
      <c r="B114" s="191" t="s">
        <v>524</v>
      </c>
      <c r="C114" s="196">
        <v>17262.599999999999</v>
      </c>
      <c r="E114" s="192">
        <v>8.9</v>
      </c>
      <c r="F114" s="199">
        <v>118.9</v>
      </c>
      <c r="G114" s="199">
        <v>27.5</v>
      </c>
      <c r="H114" s="196">
        <v>146.5</v>
      </c>
      <c r="I114" s="196">
        <v>5</v>
      </c>
      <c r="J114">
        <f t="shared" si="14"/>
        <v>1</v>
      </c>
    </row>
    <row r="115" spans="2:12" s="240" customFormat="1">
      <c r="B115" s="309" t="s">
        <v>1479</v>
      </c>
      <c r="C115" s="310">
        <v>141242.79999999999</v>
      </c>
      <c r="E115" s="311">
        <v>7.2</v>
      </c>
      <c r="F115" s="201">
        <v>986</v>
      </c>
      <c r="G115" s="201">
        <v>324.5</v>
      </c>
      <c r="H115" s="310">
        <v>1310.4000000000001</v>
      </c>
      <c r="I115" s="310">
        <v>4</v>
      </c>
    </row>
    <row r="116" spans="2:12">
      <c r="B116" s="305"/>
      <c r="C116" s="306">
        <v>2011</v>
      </c>
      <c r="D116" s="166">
        <v>2011</v>
      </c>
      <c r="E116" s="307" t="s">
        <v>1294</v>
      </c>
      <c r="F116" s="308"/>
      <c r="G116" s="308"/>
      <c r="H116" s="306"/>
      <c r="I116" s="306"/>
    </row>
    <row r="117" spans="2:12" ht="60">
      <c r="B117" t="s">
        <v>848</v>
      </c>
      <c r="C117" s="59" t="s">
        <v>1295</v>
      </c>
      <c r="D117" s="59" t="s">
        <v>1231</v>
      </c>
      <c r="E117" s="59" t="s">
        <v>1296</v>
      </c>
      <c r="F117" s="59" t="s">
        <v>849</v>
      </c>
      <c r="I117" s="59"/>
      <c r="J117" s="59"/>
      <c r="K117" s="59"/>
      <c r="L117" s="59"/>
    </row>
    <row r="118" spans="2:12">
      <c r="B118" t="s">
        <v>850</v>
      </c>
      <c r="C118" s="16">
        <v>6147.3085415369396</v>
      </c>
      <c r="D118">
        <v>4.5999999999999996</v>
      </c>
      <c r="E118" s="22">
        <v>4.0205459620529362</v>
      </c>
      <c r="F118" s="16">
        <v>4989</v>
      </c>
    </row>
    <row r="119" spans="2:12">
      <c r="B119" t="s">
        <v>851</v>
      </c>
      <c r="C119" s="16">
        <v>2716</v>
      </c>
      <c r="D119">
        <v>10.9</v>
      </c>
      <c r="E119" s="22">
        <v>5.8</v>
      </c>
      <c r="F119" s="16">
        <v>2253</v>
      </c>
    </row>
    <row r="120" spans="2:12">
      <c r="B120" t="s">
        <v>852</v>
      </c>
      <c r="C120" s="16">
        <v>3431</v>
      </c>
      <c r="D120">
        <v>3.2</v>
      </c>
      <c r="E120" s="22">
        <v>2.6</v>
      </c>
      <c r="F120" s="16">
        <v>2737</v>
      </c>
    </row>
    <row r="121" spans="2:12">
      <c r="B121" t="s">
        <v>116</v>
      </c>
      <c r="C121" s="16">
        <v>22327.037964446699</v>
      </c>
      <c r="D121">
        <v>3.8</v>
      </c>
      <c r="E121" s="22">
        <v>6.7550889755138348</v>
      </c>
      <c r="F121" s="16">
        <v>17333</v>
      </c>
    </row>
    <row r="122" spans="2:12">
      <c r="B122" t="s">
        <v>853</v>
      </c>
      <c r="C122" s="16">
        <v>1986</v>
      </c>
      <c r="D122">
        <v>21.3</v>
      </c>
      <c r="E122" s="22">
        <v>2.8</v>
      </c>
      <c r="F122" s="16">
        <v>1698</v>
      </c>
    </row>
    <row r="123" spans="2:12">
      <c r="B123" t="s">
        <v>854</v>
      </c>
      <c r="C123" s="16">
        <v>3440</v>
      </c>
      <c r="D123">
        <v>10</v>
      </c>
      <c r="E123" s="22">
        <v>7.1</v>
      </c>
      <c r="F123" s="16">
        <v>2855</v>
      </c>
    </row>
    <row r="124" spans="2:12">
      <c r="B124" t="s">
        <v>855</v>
      </c>
      <c r="C124" s="16">
        <v>6190</v>
      </c>
      <c r="D124">
        <v>2.2999999999999998</v>
      </c>
      <c r="E124" s="22">
        <v>11</v>
      </c>
      <c r="F124" s="16">
        <v>4617</v>
      </c>
    </row>
    <row r="125" spans="2:12">
      <c r="B125" t="s">
        <v>2</v>
      </c>
      <c r="C125" s="16">
        <v>7312</v>
      </c>
      <c r="D125">
        <v>4.5</v>
      </c>
      <c r="E125" s="22">
        <v>7.1</v>
      </c>
      <c r="F125" s="16">
        <v>5593</v>
      </c>
    </row>
    <row r="126" spans="2:12">
      <c r="B126" t="s">
        <v>856</v>
      </c>
      <c r="C126" s="16">
        <v>3399</v>
      </c>
      <c r="D126">
        <v>3.1</v>
      </c>
      <c r="E126" s="22">
        <v>1.1000000000000001</v>
      </c>
      <c r="F126" s="16">
        <v>2570</v>
      </c>
    </row>
    <row r="127" spans="2:12">
      <c r="B127" t="s">
        <v>857</v>
      </c>
      <c r="C127" s="16">
        <v>8636.3277878599893</v>
      </c>
      <c r="D127">
        <v>6.6</v>
      </c>
      <c r="E127" s="22">
        <v>6.4245473063843326</v>
      </c>
      <c r="F127" s="16">
        <v>6990</v>
      </c>
    </row>
    <row r="128" spans="2:12">
      <c r="B128" t="s">
        <v>858</v>
      </c>
      <c r="C128" s="16">
        <v>5083</v>
      </c>
      <c r="D128">
        <v>11.8</v>
      </c>
      <c r="E128" s="22">
        <v>9.9</v>
      </c>
      <c r="F128" s="16">
        <v>4222</v>
      </c>
    </row>
    <row r="129" spans="1:6">
      <c r="B129" t="s">
        <v>859</v>
      </c>
      <c r="C129" s="16">
        <v>2020</v>
      </c>
      <c r="D129">
        <v>9.4</v>
      </c>
      <c r="E129" s="22">
        <v>1</v>
      </c>
      <c r="F129" s="16">
        <v>1718</v>
      </c>
    </row>
    <row r="130" spans="1:6">
      <c r="B130" t="s">
        <v>860</v>
      </c>
      <c r="C130" s="16">
        <v>1533</v>
      </c>
      <c r="D130">
        <v>2.2999999999999998</v>
      </c>
      <c r="E130" s="22">
        <v>2.9</v>
      </c>
      <c r="F130" s="16">
        <v>1049</v>
      </c>
    </row>
    <row r="131" spans="1:6">
      <c r="B131" s="193" t="s">
        <v>861</v>
      </c>
      <c r="C131" s="16">
        <v>2966.1421557981098</v>
      </c>
      <c r="D131">
        <v>2.7</v>
      </c>
      <c r="E131" s="22">
        <v>4.5693493292410432</v>
      </c>
      <c r="F131" s="16">
        <v>2275</v>
      </c>
    </row>
    <row r="132" spans="1:6">
      <c r="B132" t="s">
        <v>862</v>
      </c>
      <c r="C132" s="16">
        <v>13741.3464835999</v>
      </c>
      <c r="D132">
        <v>5.5</v>
      </c>
      <c r="E132" s="22">
        <v>7.4616066511256287</v>
      </c>
      <c r="F132" s="16">
        <v>11255</v>
      </c>
    </row>
    <row r="133" spans="1:6">
      <c r="B133" t="s">
        <v>863</v>
      </c>
      <c r="C133" s="16">
        <v>8376</v>
      </c>
      <c r="D133">
        <v>9.8000000000000007</v>
      </c>
      <c r="E133" s="22">
        <v>10.5</v>
      </c>
      <c r="F133" s="16">
        <v>6991</v>
      </c>
    </row>
    <row r="134" spans="1:6">
      <c r="B134" t="s">
        <v>864</v>
      </c>
      <c r="C134" s="16">
        <v>1421</v>
      </c>
      <c r="D134">
        <v>2.6</v>
      </c>
      <c r="E134" s="22">
        <v>9.8000000000000007</v>
      </c>
      <c r="F134" s="16">
        <v>1110</v>
      </c>
    </row>
    <row r="135" spans="1:6">
      <c r="B135" t="s">
        <v>865</v>
      </c>
      <c r="C135" s="16">
        <v>1351</v>
      </c>
      <c r="D135">
        <v>7.4</v>
      </c>
      <c r="E135" s="22">
        <v>-1</v>
      </c>
      <c r="F135" s="16">
        <v>1139</v>
      </c>
    </row>
    <row r="136" spans="1:6">
      <c r="B136" t="s">
        <v>866</v>
      </c>
      <c r="C136" s="16">
        <v>2592</v>
      </c>
      <c r="D136">
        <v>2.8</v>
      </c>
      <c r="E136" s="22">
        <v>1.8</v>
      </c>
      <c r="F136" s="16">
        <v>2015</v>
      </c>
    </row>
    <row r="137" spans="1:6">
      <c r="B137" t="s">
        <v>74</v>
      </c>
      <c r="C137" s="16">
        <v>53818.162933241634</v>
      </c>
      <c r="D137">
        <v>4.5</v>
      </c>
      <c r="E137" s="22">
        <v>6.4384877659750037</v>
      </c>
      <c r="F137" s="16">
        <v>42842</v>
      </c>
    </row>
    <row r="138" spans="1:6">
      <c r="A138" s="62" t="s">
        <v>871</v>
      </c>
      <c r="E138" s="178" t="s">
        <v>839</v>
      </c>
    </row>
    <row r="139" spans="1:6">
      <c r="A139" s="193" t="s">
        <v>867</v>
      </c>
    </row>
    <row r="140" spans="1:6">
      <c r="A140" s="193"/>
      <c r="E140" s="181" t="s">
        <v>840</v>
      </c>
    </row>
    <row r="141" spans="1:6">
      <c r="A141" s="193" t="s">
        <v>868</v>
      </c>
      <c r="E141" t="s">
        <v>841</v>
      </c>
    </row>
    <row r="142" spans="1:6">
      <c r="A142" s="193" t="s">
        <v>869</v>
      </c>
    </row>
    <row r="145" spans="1:27">
      <c r="G145" s="18"/>
      <c r="H145" s="18"/>
      <c r="I145" s="18"/>
      <c r="J145" s="18"/>
    </row>
    <row r="147" spans="1:27" s="302" customFormat="1">
      <c r="G147" s="303" t="s">
        <v>1293</v>
      </c>
    </row>
    <row r="149" spans="1:27" s="59" customFormat="1" ht="75">
      <c r="B149" s="59" t="s">
        <v>1889</v>
      </c>
      <c r="C149" s="59" t="s">
        <v>850</v>
      </c>
      <c r="D149" s="59" t="s">
        <v>851</v>
      </c>
      <c r="E149" s="59" t="s">
        <v>852</v>
      </c>
      <c r="F149" s="59" t="s">
        <v>116</v>
      </c>
      <c r="G149" s="59" t="s">
        <v>853</v>
      </c>
      <c r="H149" s="59" t="s">
        <v>854</v>
      </c>
      <c r="I149" s="59" t="s">
        <v>855</v>
      </c>
      <c r="J149" s="59" t="s">
        <v>2</v>
      </c>
      <c r="K149" s="59" t="s">
        <v>856</v>
      </c>
      <c r="L149" s="59" t="s">
        <v>857</v>
      </c>
      <c r="M149" s="59" t="s">
        <v>858</v>
      </c>
      <c r="N149" s="59" t="s">
        <v>859</v>
      </c>
      <c r="O149" s="59" t="s">
        <v>860</v>
      </c>
      <c r="P149" s="59" t="s">
        <v>861</v>
      </c>
      <c r="Q149" s="59" t="s">
        <v>862</v>
      </c>
      <c r="R149" s="59" t="s">
        <v>863</v>
      </c>
      <c r="S149" s="59" t="s">
        <v>864</v>
      </c>
      <c r="T149" s="59" t="s">
        <v>865</v>
      </c>
      <c r="U149" s="59" t="s">
        <v>74</v>
      </c>
      <c r="V149" s="59" t="s">
        <v>1241</v>
      </c>
      <c r="W149" s="59" t="s">
        <v>1242</v>
      </c>
      <c r="X149" s="59" t="s">
        <v>1243</v>
      </c>
      <c r="Y149" s="59" t="s">
        <v>1244</v>
      </c>
    </row>
    <row r="150" spans="1:27" s="300" customFormat="1">
      <c r="A150" s="299">
        <f>Z150/$Z$161</f>
        <v>7.2851062652230139E-2</v>
      </c>
      <c r="B150" s="300" t="s">
        <v>1277</v>
      </c>
      <c r="C150" s="300">
        <v>22624</v>
      </c>
      <c r="D150" s="300">
        <v>11139</v>
      </c>
      <c r="E150" s="300">
        <v>11486</v>
      </c>
      <c r="F150" s="300">
        <v>72501</v>
      </c>
      <c r="G150" s="300">
        <v>4333</v>
      </c>
      <c r="H150" s="300">
        <v>9125</v>
      </c>
      <c r="I150" s="300">
        <v>19074</v>
      </c>
      <c r="J150" s="300">
        <v>34593</v>
      </c>
      <c r="K150" s="300">
        <v>5354</v>
      </c>
      <c r="L150" s="300">
        <v>14485</v>
      </c>
      <c r="M150" s="300">
        <v>10995</v>
      </c>
      <c r="N150" s="300">
        <v>1425</v>
      </c>
      <c r="O150" s="300">
        <v>2066</v>
      </c>
      <c r="P150" s="300">
        <v>3835</v>
      </c>
      <c r="Q150" s="300">
        <v>39346</v>
      </c>
      <c r="R150" s="300">
        <v>25720</v>
      </c>
      <c r="S150" s="300">
        <v>2888</v>
      </c>
      <c r="T150" s="300" t="s">
        <v>1886</v>
      </c>
      <c r="U150" s="300">
        <v>152795</v>
      </c>
      <c r="V150" s="300">
        <v>50198</v>
      </c>
      <c r="W150" s="300">
        <v>102599</v>
      </c>
      <c r="X150" s="300">
        <v>8927</v>
      </c>
      <c r="Y150" s="300">
        <v>30420</v>
      </c>
      <c r="Z150" s="300">
        <v>589704</v>
      </c>
      <c r="AA150" s="301"/>
    </row>
    <row r="151" spans="1:27" s="300" customFormat="1">
      <c r="A151" s="299">
        <f t="shared" ref="A151:A160" si="15">Z151/$Z$161</f>
        <v>7.6728437491815585E-2</v>
      </c>
      <c r="B151" s="300" t="s">
        <v>1278</v>
      </c>
      <c r="C151" s="300">
        <v>32369</v>
      </c>
      <c r="D151" s="300">
        <v>23222</v>
      </c>
      <c r="E151" s="300">
        <v>9147</v>
      </c>
      <c r="F151" s="300">
        <v>67783</v>
      </c>
      <c r="G151" s="300">
        <v>1933</v>
      </c>
      <c r="H151" s="300">
        <v>8044</v>
      </c>
      <c r="I151" s="300">
        <v>23192</v>
      </c>
      <c r="J151" s="300">
        <v>27318</v>
      </c>
      <c r="K151" s="300">
        <v>7266</v>
      </c>
      <c r="L151" s="300">
        <v>14042</v>
      </c>
      <c r="M151" s="300">
        <v>8864</v>
      </c>
      <c r="N151" s="300">
        <v>2048</v>
      </c>
      <c r="O151" s="300">
        <v>3129</v>
      </c>
      <c r="P151" s="300">
        <v>3974</v>
      </c>
      <c r="Q151" s="300">
        <v>37768</v>
      </c>
      <c r="R151" s="300">
        <v>26534</v>
      </c>
      <c r="S151" s="300">
        <v>3459</v>
      </c>
      <c r="T151" s="300" t="s">
        <v>1886</v>
      </c>
      <c r="U151" s="300">
        <v>155935</v>
      </c>
      <c r="V151" s="300">
        <v>45401</v>
      </c>
      <c r="W151" s="300">
        <v>110534</v>
      </c>
      <c r="X151" s="300">
        <v>7910</v>
      </c>
      <c r="Y151" s="300">
        <v>29859</v>
      </c>
      <c r="Z151" s="300">
        <v>621090</v>
      </c>
      <c r="AA151" s="301"/>
    </row>
    <row r="152" spans="1:27" s="300" customFormat="1">
      <c r="A152" s="299">
        <f t="shared" si="15"/>
        <v>0.17407876212590734</v>
      </c>
      <c r="B152" s="300" t="s">
        <v>1279</v>
      </c>
      <c r="C152" s="300">
        <v>34575</v>
      </c>
      <c r="D152" s="300">
        <v>16287</v>
      </c>
      <c r="E152" s="300">
        <v>18288</v>
      </c>
      <c r="F152" s="300">
        <v>151057</v>
      </c>
      <c r="G152" s="300">
        <v>1695</v>
      </c>
      <c r="H152" s="300">
        <v>13209</v>
      </c>
      <c r="I152" s="300">
        <v>34486</v>
      </c>
      <c r="J152" s="300">
        <v>94079</v>
      </c>
      <c r="K152" s="300">
        <v>7546</v>
      </c>
      <c r="L152" s="300">
        <v>24866</v>
      </c>
      <c r="M152" s="300">
        <v>14911</v>
      </c>
      <c r="N152" s="300">
        <v>4445</v>
      </c>
      <c r="O152" s="300">
        <v>5508</v>
      </c>
      <c r="P152" s="300">
        <v>8355</v>
      </c>
      <c r="Q152" s="300">
        <v>102671</v>
      </c>
      <c r="R152" s="300">
        <v>77050</v>
      </c>
      <c r="S152" s="300">
        <v>5407</v>
      </c>
      <c r="T152" s="300" t="s">
        <v>1886</v>
      </c>
      <c r="U152" s="300">
        <v>321523</v>
      </c>
      <c r="V152" s="300">
        <v>106902</v>
      </c>
      <c r="W152" s="300">
        <v>214622</v>
      </c>
      <c r="X152" s="300">
        <v>18685</v>
      </c>
      <c r="Y152" s="300">
        <v>83986</v>
      </c>
      <c r="Z152" s="300">
        <v>1409107</v>
      </c>
      <c r="AA152" s="301"/>
    </row>
    <row r="153" spans="1:27">
      <c r="A153" s="61">
        <f t="shared" si="15"/>
        <v>3.9691267765433275E-2</v>
      </c>
      <c r="B153" t="s">
        <v>1280</v>
      </c>
      <c r="C153">
        <v>9311</v>
      </c>
      <c r="D153">
        <v>4934</v>
      </c>
      <c r="E153">
        <v>4381</v>
      </c>
      <c r="F153">
        <v>37261</v>
      </c>
      <c r="G153" t="s">
        <v>1886</v>
      </c>
      <c r="H153">
        <v>3762</v>
      </c>
      <c r="I153">
        <v>8941</v>
      </c>
      <c r="J153">
        <v>21825</v>
      </c>
      <c r="K153">
        <v>2287</v>
      </c>
      <c r="L153">
        <v>3937</v>
      </c>
      <c r="M153">
        <v>2337</v>
      </c>
      <c r="N153">
        <v>709</v>
      </c>
      <c r="O153">
        <v>893</v>
      </c>
      <c r="P153">
        <v>2333</v>
      </c>
      <c r="Q153">
        <v>15937</v>
      </c>
      <c r="R153">
        <v>11118</v>
      </c>
      <c r="S153">
        <v>808</v>
      </c>
      <c r="T153" t="s">
        <v>1886</v>
      </c>
      <c r="U153">
        <v>68779</v>
      </c>
      <c r="V153">
        <v>17665</v>
      </c>
      <c r="W153">
        <v>51118</v>
      </c>
      <c r="X153">
        <v>3935</v>
      </c>
      <c r="Y153">
        <v>11999</v>
      </c>
      <c r="Z153">
        <v>321287</v>
      </c>
      <c r="AA153" s="301"/>
    </row>
    <row r="154" spans="1:27">
      <c r="A154" s="61">
        <f t="shared" si="15"/>
        <v>4.0981749431600024E-2</v>
      </c>
      <c r="B154" t="s">
        <v>1281</v>
      </c>
      <c r="C154">
        <v>12384</v>
      </c>
      <c r="D154">
        <v>6434</v>
      </c>
      <c r="E154">
        <v>5950</v>
      </c>
      <c r="F154">
        <v>31566</v>
      </c>
      <c r="G154" t="s">
        <v>1886</v>
      </c>
      <c r="H154">
        <v>2453</v>
      </c>
      <c r="I154">
        <v>10048</v>
      </c>
      <c r="J154">
        <v>15117</v>
      </c>
      <c r="K154">
        <v>3296</v>
      </c>
      <c r="L154">
        <v>8109</v>
      </c>
      <c r="M154">
        <v>3552</v>
      </c>
      <c r="N154">
        <v>1133</v>
      </c>
      <c r="O154">
        <v>3417</v>
      </c>
      <c r="P154">
        <v>2693</v>
      </c>
      <c r="Q154">
        <v>15600</v>
      </c>
      <c r="R154">
        <v>10037</v>
      </c>
      <c r="S154">
        <v>1261</v>
      </c>
      <c r="T154" t="s">
        <v>1886</v>
      </c>
      <c r="U154">
        <v>70350</v>
      </c>
      <c r="V154">
        <v>16694</v>
      </c>
      <c r="W154">
        <v>53654</v>
      </c>
      <c r="X154">
        <v>4299</v>
      </c>
      <c r="Y154">
        <v>11299</v>
      </c>
      <c r="Z154">
        <v>331733</v>
      </c>
      <c r="AA154" s="301"/>
    </row>
    <row r="155" spans="1:27" s="300" customFormat="1">
      <c r="A155" s="299">
        <f t="shared" si="15"/>
        <v>0.19783839997074612</v>
      </c>
      <c r="B155" s="300" t="s">
        <v>1282</v>
      </c>
      <c r="C155" s="300">
        <v>59895</v>
      </c>
      <c r="D155" s="300">
        <v>29081</v>
      </c>
      <c r="E155" s="300">
        <v>30811</v>
      </c>
      <c r="F155" s="300">
        <v>156100</v>
      </c>
      <c r="G155" s="300">
        <v>1894</v>
      </c>
      <c r="H155" s="300">
        <v>15736</v>
      </c>
      <c r="I155" s="300">
        <v>42960</v>
      </c>
      <c r="J155" s="300">
        <v>80573</v>
      </c>
      <c r="K155" s="300">
        <v>14909</v>
      </c>
      <c r="L155" s="300">
        <v>15727</v>
      </c>
      <c r="M155" s="300">
        <v>10026</v>
      </c>
      <c r="N155" s="300">
        <v>2058</v>
      </c>
      <c r="O155" s="300">
        <v>3641</v>
      </c>
      <c r="P155" s="300">
        <v>7350</v>
      </c>
      <c r="Q155" s="300">
        <v>103923</v>
      </c>
      <c r="R155" s="300">
        <v>84907</v>
      </c>
      <c r="S155" s="300">
        <v>3694</v>
      </c>
      <c r="T155" s="300" t="s">
        <v>1886</v>
      </c>
      <c r="U155" s="300">
        <v>342993</v>
      </c>
      <c r="V155" s="300">
        <v>112591</v>
      </c>
      <c r="W155" s="300">
        <v>230402</v>
      </c>
      <c r="X155" s="300">
        <v>14507</v>
      </c>
      <c r="Y155" s="300">
        <v>89416</v>
      </c>
      <c r="Z155" s="300">
        <v>1601433</v>
      </c>
      <c r="AA155" s="301"/>
    </row>
    <row r="156" spans="1:27">
      <c r="A156" s="61">
        <f t="shared" si="15"/>
        <v>5.3559807141801773E-2</v>
      </c>
      <c r="B156" t="s">
        <v>1283</v>
      </c>
      <c r="C156">
        <v>13862</v>
      </c>
      <c r="D156">
        <v>6533</v>
      </c>
      <c r="E156">
        <v>7328</v>
      </c>
      <c r="F156">
        <v>54298</v>
      </c>
      <c r="G156">
        <v>1771</v>
      </c>
      <c r="H156">
        <v>7310</v>
      </c>
      <c r="I156">
        <v>13662</v>
      </c>
      <c r="J156">
        <v>27154</v>
      </c>
      <c r="K156">
        <v>4383</v>
      </c>
      <c r="L156">
        <v>8936</v>
      </c>
      <c r="M156">
        <v>6636</v>
      </c>
      <c r="N156">
        <v>1066</v>
      </c>
      <c r="O156">
        <v>1231</v>
      </c>
      <c r="P156">
        <v>2582</v>
      </c>
      <c r="Q156">
        <v>36700</v>
      </c>
      <c r="R156">
        <v>28737</v>
      </c>
      <c r="S156">
        <v>2230</v>
      </c>
      <c r="T156" t="s">
        <v>1886</v>
      </c>
      <c r="U156">
        <v>116372</v>
      </c>
      <c r="V156">
        <v>44474</v>
      </c>
      <c r="W156">
        <v>71899</v>
      </c>
      <c r="X156">
        <v>5235</v>
      </c>
      <c r="Y156">
        <v>31465</v>
      </c>
      <c r="Z156">
        <v>433548</v>
      </c>
      <c r="AA156" s="301"/>
    </row>
    <row r="157" spans="1:27">
      <c r="A157" s="61">
        <f t="shared" si="15"/>
        <v>0.13090951902564804</v>
      </c>
      <c r="B157" t="s">
        <v>1284</v>
      </c>
      <c r="C157">
        <v>26783</v>
      </c>
      <c r="D157">
        <v>12861</v>
      </c>
      <c r="E157">
        <v>12943</v>
      </c>
      <c r="F157">
        <v>151215</v>
      </c>
      <c r="G157" t="s">
        <v>1887</v>
      </c>
      <c r="H157">
        <v>14343</v>
      </c>
      <c r="I157">
        <v>50478</v>
      </c>
      <c r="J157">
        <v>72620</v>
      </c>
      <c r="K157">
        <v>10056</v>
      </c>
      <c r="L157">
        <v>18050</v>
      </c>
      <c r="M157">
        <v>11383</v>
      </c>
      <c r="N157">
        <v>2733</v>
      </c>
      <c r="O157">
        <v>3424</v>
      </c>
      <c r="P157">
        <v>6168</v>
      </c>
      <c r="Q157">
        <v>88917</v>
      </c>
      <c r="R157">
        <v>71256</v>
      </c>
      <c r="S157">
        <v>2803</v>
      </c>
      <c r="T157" t="s">
        <v>1887</v>
      </c>
      <c r="U157">
        <v>292029</v>
      </c>
      <c r="V157">
        <v>99929</v>
      </c>
      <c r="W157">
        <v>192096</v>
      </c>
      <c r="X157">
        <v>14018</v>
      </c>
      <c r="Y157">
        <v>74900</v>
      </c>
      <c r="Z157">
        <v>1059667</v>
      </c>
      <c r="AA157" s="301"/>
    </row>
    <row r="158" spans="1:27" s="300" customFormat="1">
      <c r="A158" s="299">
        <f t="shared" si="15"/>
        <v>0.12727477351713204</v>
      </c>
      <c r="B158" s="300" t="s">
        <v>1285</v>
      </c>
      <c r="C158" s="300">
        <v>40088</v>
      </c>
      <c r="D158" s="300">
        <v>22472</v>
      </c>
      <c r="E158" s="300">
        <v>17618</v>
      </c>
      <c r="F158" s="300">
        <v>130514</v>
      </c>
      <c r="G158" s="300" t="s">
        <v>1886</v>
      </c>
      <c r="H158" s="300">
        <v>6428</v>
      </c>
      <c r="I158" s="300">
        <v>32099</v>
      </c>
      <c r="J158" s="300">
        <v>76132</v>
      </c>
      <c r="K158" s="300">
        <v>15195</v>
      </c>
      <c r="L158" s="300">
        <v>7249</v>
      </c>
      <c r="M158" s="300">
        <v>4683</v>
      </c>
      <c r="N158" s="300">
        <v>1213</v>
      </c>
      <c r="O158" s="300">
        <v>1352</v>
      </c>
      <c r="P158" s="300">
        <v>4221</v>
      </c>
      <c r="Q158" s="300">
        <v>45927</v>
      </c>
      <c r="R158" s="300">
        <v>32300</v>
      </c>
      <c r="S158" s="300">
        <v>1725</v>
      </c>
      <c r="T158" s="300" t="s">
        <v>1886</v>
      </c>
      <c r="U158" s="300">
        <v>228001</v>
      </c>
      <c r="V158" s="300">
        <v>44070</v>
      </c>
      <c r="W158" s="300">
        <v>183931</v>
      </c>
      <c r="X158" s="300">
        <v>10390</v>
      </c>
      <c r="Y158" s="300">
        <v>35537</v>
      </c>
      <c r="Z158" s="300">
        <v>1030245</v>
      </c>
      <c r="AA158" s="301"/>
    </row>
    <row r="159" spans="1:27">
      <c r="A159" s="61">
        <f t="shared" si="15"/>
        <v>7.4065321152780875E-2</v>
      </c>
      <c r="B159" t="s">
        <v>1286</v>
      </c>
      <c r="C159">
        <v>16718</v>
      </c>
      <c r="D159">
        <v>10640</v>
      </c>
      <c r="E159">
        <v>6078</v>
      </c>
      <c r="F159">
        <v>82530</v>
      </c>
      <c r="G159" t="s">
        <v>1886</v>
      </c>
      <c r="H159">
        <v>2594</v>
      </c>
      <c r="I159">
        <v>16025</v>
      </c>
      <c r="J159">
        <v>58019</v>
      </c>
      <c r="K159">
        <v>5331</v>
      </c>
      <c r="L159">
        <v>4009</v>
      </c>
      <c r="M159">
        <v>2395</v>
      </c>
      <c r="N159">
        <v>858</v>
      </c>
      <c r="O159">
        <v>759</v>
      </c>
      <c r="P159">
        <v>1644</v>
      </c>
      <c r="Q159">
        <v>20524</v>
      </c>
      <c r="R159">
        <v>14856</v>
      </c>
      <c r="S159">
        <v>973</v>
      </c>
      <c r="T159" t="s">
        <v>1886</v>
      </c>
      <c r="U159">
        <v>125428</v>
      </c>
      <c r="V159">
        <v>20406</v>
      </c>
      <c r="W159">
        <v>105022</v>
      </c>
      <c r="X159">
        <v>4117</v>
      </c>
      <c r="Y159">
        <v>16405</v>
      </c>
      <c r="Z159">
        <v>599533</v>
      </c>
      <c r="AA159" s="301"/>
    </row>
    <row r="160" spans="1:27">
      <c r="A160" s="61">
        <f t="shared" si="15"/>
        <v>1.2020899724904789E-2</v>
      </c>
      <c r="B160" t="s">
        <v>1287</v>
      </c>
      <c r="C160">
        <v>1680</v>
      </c>
      <c r="D160">
        <v>556</v>
      </c>
      <c r="E160">
        <v>1112</v>
      </c>
      <c r="F160">
        <v>13471</v>
      </c>
      <c r="G160" t="s">
        <v>1886</v>
      </c>
      <c r="H160">
        <v>554</v>
      </c>
      <c r="I160">
        <v>4568</v>
      </c>
      <c r="J160">
        <v>7790</v>
      </c>
      <c r="K160">
        <v>519</v>
      </c>
      <c r="L160">
        <v>815</v>
      </c>
      <c r="M160">
        <v>407</v>
      </c>
      <c r="N160">
        <v>240</v>
      </c>
      <c r="O160" t="s">
        <v>1886</v>
      </c>
      <c r="P160">
        <v>730</v>
      </c>
      <c r="Q160">
        <v>4797</v>
      </c>
      <c r="R160">
        <v>3116</v>
      </c>
      <c r="S160" t="s">
        <v>1886</v>
      </c>
      <c r="T160" t="s">
        <v>1886</v>
      </c>
      <c r="U160">
        <v>21493</v>
      </c>
      <c r="V160">
        <v>4121</v>
      </c>
      <c r="W160">
        <v>17373</v>
      </c>
      <c r="X160">
        <v>1536</v>
      </c>
      <c r="Y160">
        <v>3262</v>
      </c>
      <c r="Z160">
        <v>97305</v>
      </c>
      <c r="AA160" s="301"/>
    </row>
    <row r="161" spans="2:27">
      <c r="B161" t="s">
        <v>1288</v>
      </c>
      <c r="C161">
        <f>SUM(C150:C160)</f>
        <v>270289</v>
      </c>
      <c r="D161">
        <f t="shared" ref="D161:Z161" si="16">SUM(D150:D160)</f>
        <v>144159</v>
      </c>
      <c r="E161">
        <f t="shared" si="16"/>
        <v>125142</v>
      </c>
      <c r="F161">
        <f t="shared" si="16"/>
        <v>948296</v>
      </c>
      <c r="G161">
        <f t="shared" si="16"/>
        <v>11626</v>
      </c>
      <c r="H161">
        <f t="shared" si="16"/>
        <v>83558</v>
      </c>
      <c r="I161">
        <f t="shared" si="16"/>
        <v>255533</v>
      </c>
      <c r="J161">
        <f t="shared" si="16"/>
        <v>515220</v>
      </c>
      <c r="K161">
        <f t="shared" si="16"/>
        <v>76142</v>
      </c>
      <c r="L161">
        <f t="shared" si="16"/>
        <v>120225</v>
      </c>
      <c r="M161">
        <f t="shared" si="16"/>
        <v>76189</v>
      </c>
      <c r="N161">
        <f t="shared" si="16"/>
        <v>17928</v>
      </c>
      <c r="O161">
        <f t="shared" si="16"/>
        <v>25420</v>
      </c>
      <c r="P161">
        <f t="shared" si="16"/>
        <v>43885</v>
      </c>
      <c r="Q161">
        <f t="shared" si="16"/>
        <v>512110</v>
      </c>
      <c r="R161">
        <f t="shared" si="16"/>
        <v>385631</v>
      </c>
      <c r="S161">
        <f t="shared" si="16"/>
        <v>25248</v>
      </c>
      <c r="T161">
        <f t="shared" si="16"/>
        <v>0</v>
      </c>
      <c r="U161">
        <f t="shared" si="16"/>
        <v>1895698</v>
      </c>
      <c r="V161">
        <f t="shared" si="16"/>
        <v>562451</v>
      </c>
      <c r="W161">
        <f t="shared" si="16"/>
        <v>1333250</v>
      </c>
      <c r="X161">
        <f t="shared" si="16"/>
        <v>93559</v>
      </c>
      <c r="Y161">
        <f t="shared" si="16"/>
        <v>418548</v>
      </c>
      <c r="Z161">
        <f t="shared" si="16"/>
        <v>8094652</v>
      </c>
      <c r="AA161" s="301"/>
    </row>
    <row r="162" spans="2:27">
      <c r="C162" s="61"/>
    </row>
    <row r="164" spans="2:27">
      <c r="B164" t="s">
        <v>1289</v>
      </c>
      <c r="C164" t="s">
        <v>850</v>
      </c>
      <c r="D164" t="s">
        <v>851</v>
      </c>
      <c r="E164" t="s">
        <v>852</v>
      </c>
      <c r="F164" t="s">
        <v>116</v>
      </c>
      <c r="G164" t="s">
        <v>853</v>
      </c>
      <c r="H164" t="s">
        <v>854</v>
      </c>
      <c r="I164" t="s">
        <v>1290</v>
      </c>
      <c r="J164" t="s">
        <v>2</v>
      </c>
      <c r="K164" t="s">
        <v>856</v>
      </c>
      <c r="L164" t="s">
        <v>857</v>
      </c>
      <c r="M164" t="s">
        <v>858</v>
      </c>
      <c r="N164" t="s">
        <v>859</v>
      </c>
      <c r="O164" t="s">
        <v>860</v>
      </c>
      <c r="P164" t="s">
        <v>861</v>
      </c>
      <c r="Q164" t="s">
        <v>862</v>
      </c>
      <c r="R164" t="s">
        <v>863</v>
      </c>
      <c r="S164" t="s">
        <v>864</v>
      </c>
      <c r="T164" t="s">
        <v>865</v>
      </c>
      <c r="U164" t="s">
        <v>74</v>
      </c>
      <c r="V164" t="s">
        <v>1241</v>
      </c>
      <c r="W164" t="s">
        <v>1242</v>
      </c>
      <c r="X164" t="s">
        <v>1243</v>
      </c>
      <c r="Y164" t="s">
        <v>1244</v>
      </c>
    </row>
    <row r="165" spans="2:27">
      <c r="B165" t="s">
        <v>1277</v>
      </c>
      <c r="C165" s="61">
        <f>C150/C$161</f>
        <v>8.3702999382142818E-2</v>
      </c>
      <c r="D165" s="61">
        <f t="shared" ref="D165:Y175" si="17">D150/D$161</f>
        <v>7.7268848979252069E-2</v>
      </c>
      <c r="E165" s="61">
        <f t="shared" si="17"/>
        <v>9.1783733678541174E-2</v>
      </c>
      <c r="F165" s="61">
        <f t="shared" si="17"/>
        <v>7.6453976395555817E-2</v>
      </c>
      <c r="G165" s="61">
        <f t="shared" si="17"/>
        <v>0.3726991226561156</v>
      </c>
      <c r="H165" s="61">
        <f t="shared" si="17"/>
        <v>0.1092055817515977</v>
      </c>
      <c r="I165" s="61">
        <f t="shared" si="17"/>
        <v>7.4643979446881614E-2</v>
      </c>
      <c r="J165" s="61">
        <f t="shared" si="17"/>
        <v>6.7142191685105393E-2</v>
      </c>
      <c r="K165" s="61">
        <f t="shared" si="17"/>
        <v>7.0315988547713482E-2</v>
      </c>
      <c r="L165" s="61">
        <f t="shared" si="17"/>
        <v>0.12048242877937201</v>
      </c>
      <c r="M165" s="61">
        <f t="shared" si="17"/>
        <v>0.14431217104831406</v>
      </c>
      <c r="N165" s="61">
        <f t="shared" si="17"/>
        <v>7.9484605087014729E-2</v>
      </c>
      <c r="O165" s="61">
        <f t="shared" si="17"/>
        <v>8.1274586939417776E-2</v>
      </c>
      <c r="P165" s="61">
        <f t="shared" si="17"/>
        <v>8.7387490030762224E-2</v>
      </c>
      <c r="Q165" s="61">
        <f t="shared" si="17"/>
        <v>7.6831149557712211E-2</v>
      </c>
      <c r="R165" s="61">
        <f t="shared" si="17"/>
        <v>6.6695882851741689E-2</v>
      </c>
      <c r="S165" s="61">
        <f t="shared" si="17"/>
        <v>0.11438529784537389</v>
      </c>
      <c r="T165" s="61"/>
      <c r="U165" s="61">
        <f t="shared" si="17"/>
        <v>8.0600918500731658E-2</v>
      </c>
      <c r="V165" s="61">
        <f t="shared" si="17"/>
        <v>8.9248663439126255E-2</v>
      </c>
      <c r="W165" s="61">
        <f t="shared" si="17"/>
        <v>7.6954059628726798E-2</v>
      </c>
      <c r="X165" s="61">
        <f t="shared" si="17"/>
        <v>9.5415726974422563E-2</v>
      </c>
      <c r="Y165" s="61">
        <f t="shared" si="17"/>
        <v>7.2679836004472601E-2</v>
      </c>
    </row>
    <row r="166" spans="2:27">
      <c r="B166" t="s">
        <v>1278</v>
      </c>
      <c r="C166" s="61">
        <f t="shared" ref="C166:R175" si="18">C151/C$161</f>
        <v>0.1197570008398418</v>
      </c>
      <c r="D166" s="61">
        <f t="shared" si="18"/>
        <v>0.16108602307174716</v>
      </c>
      <c r="E166" s="61">
        <f t="shared" si="18"/>
        <v>7.3092966390180758E-2</v>
      </c>
      <c r="F166" s="61">
        <f t="shared" si="18"/>
        <v>7.1478736597011899E-2</v>
      </c>
      <c r="G166" s="61">
        <f t="shared" si="18"/>
        <v>0.16626526750387063</v>
      </c>
      <c r="H166" s="61">
        <f t="shared" si="18"/>
        <v>9.6268460231216643E-2</v>
      </c>
      <c r="I166" s="61">
        <f t="shared" si="18"/>
        <v>9.0759314843875352E-2</v>
      </c>
      <c r="J166" s="61">
        <f t="shared" si="18"/>
        <v>5.3022010015139162E-2</v>
      </c>
      <c r="K166" s="61">
        <f t="shared" si="18"/>
        <v>9.5426965406740033E-2</v>
      </c>
      <c r="L166" s="61">
        <f t="shared" si="18"/>
        <v>0.11679767103347889</v>
      </c>
      <c r="M166" s="61">
        <f t="shared" si="18"/>
        <v>0.11634225413117379</v>
      </c>
      <c r="N166" s="61">
        <f t="shared" si="18"/>
        <v>0.11423471664435519</v>
      </c>
      <c r="O166" s="61">
        <f t="shared" si="18"/>
        <v>0.12309205350118017</v>
      </c>
      <c r="P166" s="61">
        <f t="shared" si="18"/>
        <v>9.0554859291329615E-2</v>
      </c>
      <c r="Q166" s="61">
        <f t="shared" si="18"/>
        <v>7.3749780320634242E-2</v>
      </c>
      <c r="R166" s="61">
        <f t="shared" si="18"/>
        <v>6.8806709004203506E-2</v>
      </c>
      <c r="S166" s="61">
        <f t="shared" si="17"/>
        <v>0.1370009505703422</v>
      </c>
      <c r="T166" s="61"/>
      <c r="U166" s="61">
        <f t="shared" si="17"/>
        <v>8.2257300477185713E-2</v>
      </c>
      <c r="V166" s="61">
        <f t="shared" si="17"/>
        <v>8.0719920490851652E-2</v>
      </c>
      <c r="W166" s="61">
        <f t="shared" si="17"/>
        <v>8.2905681605100312E-2</v>
      </c>
      <c r="X166" s="61">
        <f t="shared" si="17"/>
        <v>8.4545580863412392E-2</v>
      </c>
      <c r="Y166" s="61">
        <f t="shared" si="17"/>
        <v>7.1339487944035093E-2</v>
      </c>
    </row>
    <row r="167" spans="2:27">
      <c r="B167" t="s">
        <v>1279</v>
      </c>
      <c r="C167" s="61">
        <f t="shared" si="18"/>
        <v>0.12791863523857797</v>
      </c>
      <c r="D167" s="61">
        <f t="shared" si="17"/>
        <v>0.1129794185586748</v>
      </c>
      <c r="E167" s="61">
        <f t="shared" si="17"/>
        <v>0.14613798724648799</v>
      </c>
      <c r="F167" s="61">
        <f t="shared" si="17"/>
        <v>0.1592930899212904</v>
      </c>
      <c r="G167" s="61">
        <f t="shared" si="17"/>
        <v>0.145793910201273</v>
      </c>
      <c r="H167" s="61">
        <f t="shared" si="17"/>
        <v>0.15808181143636754</v>
      </c>
      <c r="I167" s="61">
        <f t="shared" si="17"/>
        <v>0.13495712882484845</v>
      </c>
      <c r="J167" s="61">
        <f t="shared" si="17"/>
        <v>0.18259966616202788</v>
      </c>
      <c r="K167" s="61">
        <f t="shared" si="17"/>
        <v>9.9104305114128863E-2</v>
      </c>
      <c r="L167" s="61">
        <f t="shared" si="17"/>
        <v>0.20682886254938657</v>
      </c>
      <c r="M167" s="61">
        <f t="shared" si="17"/>
        <v>0.19571066689417108</v>
      </c>
      <c r="N167" s="61">
        <f t="shared" si="17"/>
        <v>0.24793618920124944</v>
      </c>
      <c r="O167" s="61">
        <f t="shared" si="17"/>
        <v>0.21667977970102281</v>
      </c>
      <c r="P167" s="61">
        <f t="shared" si="17"/>
        <v>0.19038395807223424</v>
      </c>
      <c r="Q167" s="61">
        <f t="shared" si="17"/>
        <v>0.20048622366288493</v>
      </c>
      <c r="R167" s="61">
        <f t="shared" si="17"/>
        <v>0.19980240177786537</v>
      </c>
      <c r="S167" s="61">
        <f t="shared" si="17"/>
        <v>0.21415557667934093</v>
      </c>
      <c r="T167" s="61"/>
      <c r="U167" s="61">
        <f t="shared" si="17"/>
        <v>0.16960665675650868</v>
      </c>
      <c r="V167" s="61">
        <f t="shared" si="17"/>
        <v>0.19006455673472</v>
      </c>
      <c r="W167" s="61">
        <f t="shared" si="17"/>
        <v>0.16097656103506469</v>
      </c>
      <c r="X167" s="61">
        <f t="shared" si="17"/>
        <v>0.19971354973866759</v>
      </c>
      <c r="Y167" s="61">
        <f t="shared" si="17"/>
        <v>0.2006603782600801</v>
      </c>
    </row>
    <row r="168" spans="2:27">
      <c r="B168" t="s">
        <v>1280</v>
      </c>
      <c r="C168" s="61">
        <f t="shared" si="18"/>
        <v>3.444831273192768E-2</v>
      </c>
      <c r="D168" s="61">
        <f t="shared" si="17"/>
        <v>3.42260975728189E-2</v>
      </c>
      <c r="E168" s="61">
        <f t="shared" si="17"/>
        <v>3.5008230649981618E-2</v>
      </c>
      <c r="F168" s="61">
        <f t="shared" si="17"/>
        <v>3.9292583750221446E-2</v>
      </c>
      <c r="G168" s="61" t="e">
        <f t="shared" si="17"/>
        <v>#VALUE!</v>
      </c>
      <c r="H168" s="61">
        <f t="shared" si="17"/>
        <v>4.5022619019124438E-2</v>
      </c>
      <c r="I168" s="61">
        <f t="shared" si="17"/>
        <v>3.4989609952530594E-2</v>
      </c>
      <c r="J168" s="61">
        <f t="shared" si="17"/>
        <v>4.2360545009898685E-2</v>
      </c>
      <c r="K168" s="61">
        <f t="shared" si="17"/>
        <v>3.003598539570802E-2</v>
      </c>
      <c r="L168" s="61">
        <f t="shared" si="17"/>
        <v>3.2746932834269077E-2</v>
      </c>
      <c r="M168" s="61">
        <f t="shared" si="17"/>
        <v>3.0673719303311503E-2</v>
      </c>
      <c r="N168" s="61">
        <f t="shared" si="17"/>
        <v>3.9547077197679609E-2</v>
      </c>
      <c r="O168" s="61">
        <f t="shared" si="17"/>
        <v>3.5129819040125888E-2</v>
      </c>
      <c r="P168" s="61">
        <f t="shared" si="17"/>
        <v>5.3161672553264212E-2</v>
      </c>
      <c r="Q168" s="61">
        <f t="shared" si="17"/>
        <v>3.1120267130108764E-2</v>
      </c>
      <c r="R168" s="61">
        <f t="shared" si="17"/>
        <v>2.8830669733501714E-2</v>
      </c>
      <c r="S168" s="61">
        <f t="shared" si="17"/>
        <v>3.2002534854245882E-2</v>
      </c>
      <c r="T168" s="61"/>
      <c r="U168" s="61">
        <f t="shared" si="17"/>
        <v>3.6281622916730406E-2</v>
      </c>
      <c r="V168" s="61">
        <f t="shared" si="17"/>
        <v>3.1407180358822367E-2</v>
      </c>
      <c r="W168" s="61">
        <f t="shared" si="17"/>
        <v>3.8340896306019126E-2</v>
      </c>
      <c r="X168" s="61">
        <f t="shared" si="17"/>
        <v>4.2059021579965584E-2</v>
      </c>
      <c r="Y168" s="61">
        <f t="shared" si="17"/>
        <v>2.8668157535097528E-2</v>
      </c>
    </row>
    <row r="169" spans="2:27">
      <c r="B169" t="s">
        <v>1281</v>
      </c>
      <c r="C169" s="61">
        <f t="shared" si="18"/>
        <v>4.5817624838598685E-2</v>
      </c>
      <c r="D169" s="61">
        <f t="shared" si="17"/>
        <v>4.4631275189200813E-2</v>
      </c>
      <c r="E169" s="61">
        <f t="shared" si="17"/>
        <v>4.754598775790702E-2</v>
      </c>
      <c r="F169" s="61">
        <f t="shared" si="17"/>
        <v>3.3287074921754388E-2</v>
      </c>
      <c r="G169" s="61" t="e">
        <f t="shared" si="17"/>
        <v>#VALUE!</v>
      </c>
      <c r="H169" s="61">
        <f t="shared" si="17"/>
        <v>2.9356853921826756E-2</v>
      </c>
      <c r="I169" s="61">
        <f t="shared" si="17"/>
        <v>3.9321731439774903E-2</v>
      </c>
      <c r="J169" s="61">
        <f t="shared" si="17"/>
        <v>2.934086409689065E-2</v>
      </c>
      <c r="K169" s="61">
        <f t="shared" si="17"/>
        <v>4.328754169840561E-2</v>
      </c>
      <c r="L169" s="61">
        <f t="shared" si="17"/>
        <v>6.7448533998752336E-2</v>
      </c>
      <c r="M169" s="61">
        <f t="shared" si="17"/>
        <v>4.6620903280001048E-2</v>
      </c>
      <c r="N169" s="61">
        <f t="shared" si="17"/>
        <v>6.3197233377956269E-2</v>
      </c>
      <c r="O169" s="61">
        <f t="shared" si="17"/>
        <v>0.13442171518489379</v>
      </c>
      <c r="P169" s="61">
        <f t="shared" si="17"/>
        <v>6.136493106984163E-2</v>
      </c>
      <c r="Q169" s="61">
        <f t="shared" si="17"/>
        <v>3.0462205385561696E-2</v>
      </c>
      <c r="R169" s="61">
        <f t="shared" si="17"/>
        <v>2.6027471857812262E-2</v>
      </c>
      <c r="S169" s="61">
        <f t="shared" si="17"/>
        <v>4.9944550063371354E-2</v>
      </c>
      <c r="T169" s="61"/>
      <c r="U169" s="61">
        <f t="shared" si="17"/>
        <v>3.7110341415141017E-2</v>
      </c>
      <c r="V169" s="61">
        <f t="shared" si="17"/>
        <v>2.9680807750364031E-2</v>
      </c>
      <c r="W169" s="61">
        <f t="shared" si="17"/>
        <v>4.0243015188449277E-2</v>
      </c>
      <c r="X169" s="61">
        <f t="shared" si="17"/>
        <v>4.594961468164474E-2</v>
      </c>
      <c r="Y169" s="61">
        <f t="shared" si="17"/>
        <v>2.6995708974836816E-2</v>
      </c>
    </row>
    <row r="170" spans="2:27">
      <c r="B170" t="s">
        <v>1282</v>
      </c>
      <c r="C170" s="61">
        <f t="shared" si="18"/>
        <v>0.22159614338726327</v>
      </c>
      <c r="D170" s="61">
        <f t="shared" si="17"/>
        <v>0.2017286468413349</v>
      </c>
      <c r="E170" s="61">
        <f t="shared" si="17"/>
        <v>0.24620830736283583</v>
      </c>
      <c r="F170" s="61">
        <f t="shared" si="17"/>
        <v>0.16461104971443516</v>
      </c>
      <c r="G170" s="61">
        <f t="shared" si="17"/>
        <v>0.16291071735764664</v>
      </c>
      <c r="H170" s="61">
        <f t="shared" si="17"/>
        <v>0.18832427774719357</v>
      </c>
      <c r="I170" s="61">
        <f t="shared" si="17"/>
        <v>0.16811918617164906</v>
      </c>
      <c r="J170" s="61">
        <f t="shared" si="17"/>
        <v>0.15638562167617717</v>
      </c>
      <c r="K170" s="61">
        <f t="shared" si="17"/>
        <v>0.19580520606235718</v>
      </c>
      <c r="L170" s="61">
        <f t="shared" si="17"/>
        <v>0.13081305884799335</v>
      </c>
      <c r="M170" s="61">
        <f t="shared" si="17"/>
        <v>0.13159379962986784</v>
      </c>
      <c r="N170" s="61">
        <f t="shared" si="17"/>
        <v>0.11479250334672021</v>
      </c>
      <c r="O170" s="61">
        <f t="shared" si="17"/>
        <v>0.14323367427222658</v>
      </c>
      <c r="P170" s="61">
        <f t="shared" si="17"/>
        <v>0.16748319471345563</v>
      </c>
      <c r="Q170" s="61">
        <f t="shared" si="17"/>
        <v>0.2029310109156236</v>
      </c>
      <c r="R170" s="61">
        <f t="shared" si="17"/>
        <v>0.22017680113891258</v>
      </c>
      <c r="S170" s="61">
        <f t="shared" si="17"/>
        <v>0.14630861850443599</v>
      </c>
      <c r="T170" s="61"/>
      <c r="U170" s="61">
        <f t="shared" si="17"/>
        <v>0.18093230039805919</v>
      </c>
      <c r="V170" s="61">
        <f t="shared" si="17"/>
        <v>0.20017921561167107</v>
      </c>
      <c r="W170" s="61">
        <f t="shared" si="17"/>
        <v>0.17281230076879806</v>
      </c>
      <c r="X170" s="61">
        <f t="shared" si="17"/>
        <v>0.15505723661005355</v>
      </c>
      <c r="Y170" s="61">
        <f t="shared" si="17"/>
        <v>0.2136338006632453</v>
      </c>
    </row>
    <row r="171" spans="2:27">
      <c r="B171" t="s">
        <v>1283</v>
      </c>
      <c r="C171" s="61">
        <f t="shared" si="18"/>
        <v>5.1285845890879762E-2</v>
      </c>
      <c r="D171" s="61">
        <f t="shared" si="17"/>
        <v>4.5318016911882017E-2</v>
      </c>
      <c r="E171" s="61">
        <f t="shared" si="17"/>
        <v>5.8557478704192041E-2</v>
      </c>
      <c r="F171" s="61">
        <f t="shared" si="17"/>
        <v>5.7258493128727737E-2</v>
      </c>
      <c r="G171" s="61">
        <f t="shared" si="17"/>
        <v>0.1523309822810941</v>
      </c>
      <c r="H171" s="61">
        <f t="shared" si="17"/>
        <v>8.7484142751142913E-2</v>
      </c>
      <c r="I171" s="61">
        <f t="shared" si="17"/>
        <v>5.3464718842576107E-2</v>
      </c>
      <c r="J171" s="61">
        <f t="shared" si="17"/>
        <v>5.2703699390551612E-2</v>
      </c>
      <c r="K171" s="61">
        <f t="shared" si="17"/>
        <v>5.7563499776732946E-2</v>
      </c>
      <c r="L171" s="61">
        <f t="shared" si="17"/>
        <v>7.4327302973591178E-2</v>
      </c>
      <c r="M171" s="61">
        <f t="shared" si="17"/>
        <v>8.7099187546758716E-2</v>
      </c>
      <c r="N171" s="61">
        <f t="shared" si="17"/>
        <v>5.9460062472110664E-2</v>
      </c>
      <c r="O171" s="61">
        <f t="shared" si="17"/>
        <v>4.8426435877261996E-2</v>
      </c>
      <c r="P171" s="61">
        <f t="shared" si="17"/>
        <v>5.8835593027230258E-2</v>
      </c>
      <c r="Q171" s="61">
        <f t="shared" si="17"/>
        <v>7.1664290875007322E-2</v>
      </c>
      <c r="R171" s="61">
        <f t="shared" si="17"/>
        <v>7.4519424008961929E-2</v>
      </c>
      <c r="S171" s="61">
        <f t="shared" si="17"/>
        <v>8.8323827629911283E-2</v>
      </c>
      <c r="T171" s="61"/>
      <c r="U171" s="61">
        <f t="shared" si="17"/>
        <v>6.13874150840482E-2</v>
      </c>
      <c r="V171" s="61">
        <f t="shared" si="17"/>
        <v>7.9071776919233852E-2</v>
      </c>
      <c r="W171" s="61">
        <f t="shared" si="17"/>
        <v>5.3927620476279768E-2</v>
      </c>
      <c r="X171" s="61">
        <f t="shared" si="17"/>
        <v>5.5953996943105419E-2</v>
      </c>
      <c r="Y171" s="61">
        <f t="shared" si="17"/>
        <v>7.5176562783718953E-2</v>
      </c>
    </row>
    <row r="172" spans="2:27">
      <c r="B172" t="s">
        <v>1284</v>
      </c>
      <c r="C172" s="61">
        <f t="shared" si="18"/>
        <v>9.9090233046849857E-2</v>
      </c>
      <c r="D172" s="61">
        <f t="shared" si="17"/>
        <v>8.9213992882858514E-2</v>
      </c>
      <c r="E172" s="61">
        <f t="shared" si="17"/>
        <v>0.10342650748749421</v>
      </c>
      <c r="F172" s="61">
        <f t="shared" si="17"/>
        <v>0.15945970456481942</v>
      </c>
      <c r="G172" s="61" t="e">
        <f t="shared" si="17"/>
        <v>#VALUE!</v>
      </c>
      <c r="H172" s="61">
        <f t="shared" si="17"/>
        <v>0.17165322291103186</v>
      </c>
      <c r="I172" s="61">
        <f t="shared" si="17"/>
        <v>0.19754004375168766</v>
      </c>
      <c r="J172" s="61">
        <f t="shared" si="17"/>
        <v>0.14094949730212336</v>
      </c>
      <c r="K172" s="61">
        <f t="shared" si="17"/>
        <v>0.13206902891965014</v>
      </c>
      <c r="L172" s="61">
        <f t="shared" si="17"/>
        <v>0.15013516323559992</v>
      </c>
      <c r="M172" s="61">
        <f t="shared" si="17"/>
        <v>0.14940476971741329</v>
      </c>
      <c r="N172" s="61">
        <f t="shared" si="17"/>
        <v>0.15244310575635878</v>
      </c>
      <c r="O172" s="61">
        <f t="shared" si="17"/>
        <v>0.13469708890637294</v>
      </c>
      <c r="P172" s="61">
        <f t="shared" si="17"/>
        <v>0.14054916258402644</v>
      </c>
      <c r="Q172" s="61">
        <f t="shared" si="17"/>
        <v>0.17362871258128137</v>
      </c>
      <c r="R172" s="61">
        <f t="shared" si="17"/>
        <v>0.18477767606857332</v>
      </c>
      <c r="S172" s="61">
        <f t="shared" si="17"/>
        <v>0.11101869455006337</v>
      </c>
      <c r="T172" s="61"/>
      <c r="U172" s="61">
        <f t="shared" si="17"/>
        <v>0.15404827140187941</v>
      </c>
      <c r="V172" s="61">
        <f t="shared" si="17"/>
        <v>0.17766703232814948</v>
      </c>
      <c r="W172" s="61">
        <f t="shared" si="17"/>
        <v>0.14408100506281643</v>
      </c>
      <c r="X172" s="61">
        <f t="shared" si="17"/>
        <v>0.14983058818499556</v>
      </c>
      <c r="Y172" s="61">
        <f t="shared" si="17"/>
        <v>0.17895199594789607</v>
      </c>
    </row>
    <row r="173" spans="2:27">
      <c r="B173" t="s">
        <v>1285</v>
      </c>
      <c r="C173" s="61">
        <f t="shared" si="18"/>
        <v>0.14831532174820286</v>
      </c>
      <c r="D173" s="61">
        <f t="shared" si="17"/>
        <v>0.15588343426355622</v>
      </c>
      <c r="E173" s="61">
        <f t="shared" si="17"/>
        <v>0.1407840692972783</v>
      </c>
      <c r="F173" s="61">
        <f t="shared" si="17"/>
        <v>0.13763002269333627</v>
      </c>
      <c r="G173" s="61" t="e">
        <f t="shared" si="17"/>
        <v>#VALUE!</v>
      </c>
      <c r="H173" s="61">
        <f t="shared" si="17"/>
        <v>7.6928600493070681E-2</v>
      </c>
      <c r="I173" s="61">
        <f t="shared" si="17"/>
        <v>0.12561586957457549</v>
      </c>
      <c r="J173" s="61">
        <f t="shared" si="17"/>
        <v>0.14776600287255928</v>
      </c>
      <c r="K173" s="61">
        <f t="shared" si="17"/>
        <v>0.1995613459063329</v>
      </c>
      <c r="L173" s="61">
        <f t="shared" si="17"/>
        <v>6.0295279683925972E-2</v>
      </c>
      <c r="M173" s="61">
        <f t="shared" si="17"/>
        <v>6.1465565895339219E-2</v>
      </c>
      <c r="N173" s="61">
        <f t="shared" si="17"/>
        <v>6.7659526996876398E-2</v>
      </c>
      <c r="O173" s="61">
        <f t="shared" si="17"/>
        <v>5.3186467348544451E-2</v>
      </c>
      <c r="P173" s="61">
        <f t="shared" si="17"/>
        <v>9.6183206106870228E-2</v>
      </c>
      <c r="Q173" s="61">
        <f t="shared" si="17"/>
        <v>8.9681904278377689E-2</v>
      </c>
      <c r="R173" s="61">
        <f t="shared" si="17"/>
        <v>8.3758826442894896E-2</v>
      </c>
      <c r="S173" s="61">
        <f t="shared" si="17"/>
        <v>6.8322243346007602E-2</v>
      </c>
      <c r="T173" s="61"/>
      <c r="U173" s="61">
        <f t="shared" si="17"/>
        <v>0.12027284936735703</v>
      </c>
      <c r="V173" s="61">
        <f t="shared" si="17"/>
        <v>7.8353492126425242E-2</v>
      </c>
      <c r="W173" s="61">
        <f t="shared" si="17"/>
        <v>0.13795687230451903</v>
      </c>
      <c r="X173" s="61">
        <f t="shared" si="17"/>
        <v>0.11105291847924839</v>
      </c>
      <c r="Y173" s="61">
        <f t="shared" si="17"/>
        <v>8.4905434979978406E-2</v>
      </c>
    </row>
    <row r="174" spans="2:27">
      <c r="B174" t="s">
        <v>1286</v>
      </c>
      <c r="C174" s="61">
        <f t="shared" si="18"/>
        <v>6.1852313634665118E-2</v>
      </c>
      <c r="D174" s="61">
        <f t="shared" si="17"/>
        <v>7.38073932255357E-2</v>
      </c>
      <c r="E174" s="61">
        <f t="shared" si="17"/>
        <v>4.8568825813875435E-2</v>
      </c>
      <c r="F174" s="61">
        <f t="shared" si="17"/>
        <v>8.702978816740764E-2</v>
      </c>
      <c r="G174" s="61" t="e">
        <f t="shared" si="17"/>
        <v>#VALUE!</v>
      </c>
      <c r="H174" s="61">
        <f t="shared" si="17"/>
        <v>3.1044304554919935E-2</v>
      </c>
      <c r="I174" s="61">
        <f t="shared" si="17"/>
        <v>6.2712056759792273E-2</v>
      </c>
      <c r="J174" s="61">
        <f t="shared" si="17"/>
        <v>0.11261014712161795</v>
      </c>
      <c r="K174" s="61">
        <f t="shared" si="17"/>
        <v>7.001392135746369E-2</v>
      </c>
      <c r="L174" s="61">
        <f t="shared" si="17"/>
        <v>3.3345809939696401E-2</v>
      </c>
      <c r="M174" s="61">
        <f t="shared" si="17"/>
        <v>3.1434984052816022E-2</v>
      </c>
      <c r="N174" s="61">
        <f t="shared" si="17"/>
        <v>4.7858099062918338E-2</v>
      </c>
      <c r="O174" s="61">
        <f t="shared" si="17"/>
        <v>2.9858379228953579E-2</v>
      </c>
      <c r="P174" s="61">
        <f t="shared" si="17"/>
        <v>3.7461547225703544E-2</v>
      </c>
      <c r="Q174" s="61">
        <f t="shared" si="17"/>
        <v>4.0077327136747963E-2</v>
      </c>
      <c r="R174" s="61">
        <f t="shared" si="17"/>
        <v>3.8523873858688745E-2</v>
      </c>
      <c r="S174" s="61">
        <f t="shared" si="17"/>
        <v>3.8537705956907475E-2</v>
      </c>
      <c r="T174" s="61"/>
      <c r="U174" s="61">
        <f t="shared" si="17"/>
        <v>6.6164547306585747E-2</v>
      </c>
      <c r="V174" s="61">
        <f t="shared" si="17"/>
        <v>3.6280493767457074E-2</v>
      </c>
      <c r="W174" s="61">
        <f t="shared" si="17"/>
        <v>7.8771423213950878E-2</v>
      </c>
      <c r="X174" s="61">
        <f t="shared" si="17"/>
        <v>4.4004318130805159E-2</v>
      </c>
      <c r="Y174" s="61">
        <f t="shared" si="17"/>
        <v>3.9195026615824233E-2</v>
      </c>
    </row>
    <row r="175" spans="2:27">
      <c r="B175" t="s">
        <v>1287</v>
      </c>
      <c r="C175" s="61">
        <f t="shared" si="18"/>
        <v>6.215569261050209E-3</v>
      </c>
      <c r="D175" s="61">
        <f t="shared" si="17"/>
        <v>3.8568525031388952E-3</v>
      </c>
      <c r="E175" s="61">
        <f t="shared" si="17"/>
        <v>8.8859056112256477E-3</v>
      </c>
      <c r="F175" s="61">
        <f t="shared" si="17"/>
        <v>1.4205480145439821E-2</v>
      </c>
      <c r="G175" s="61" t="e">
        <f t="shared" si="17"/>
        <v>#VALUE!</v>
      </c>
      <c r="H175" s="61">
        <f t="shared" si="17"/>
        <v>6.6301251825079581E-3</v>
      </c>
      <c r="I175" s="61">
        <f t="shared" si="17"/>
        <v>1.7876360391808493E-2</v>
      </c>
      <c r="J175" s="61">
        <f t="shared" si="17"/>
        <v>1.5119754667908854E-2</v>
      </c>
      <c r="K175" s="61">
        <f t="shared" si="17"/>
        <v>6.8162118147671452E-3</v>
      </c>
      <c r="L175" s="61">
        <f t="shared" si="17"/>
        <v>6.77895612393429E-3</v>
      </c>
      <c r="M175" s="61">
        <f t="shared" si="17"/>
        <v>5.3419785008334535E-3</v>
      </c>
      <c r="N175" s="61">
        <f t="shared" si="17"/>
        <v>1.3386880856760375E-2</v>
      </c>
      <c r="O175" s="61" t="e">
        <f t="shared" si="17"/>
        <v>#VALUE!</v>
      </c>
      <c r="P175" s="61">
        <f t="shared" si="17"/>
        <v>1.6634385325281987E-2</v>
      </c>
      <c r="Q175" s="61">
        <f t="shared" si="17"/>
        <v>9.3671281560602209E-3</v>
      </c>
      <c r="R175" s="61">
        <f t="shared" si="17"/>
        <v>8.0802632568439774E-3</v>
      </c>
      <c r="S175" s="61" t="e">
        <f t="shared" si="17"/>
        <v>#VALUE!</v>
      </c>
      <c r="T175" s="61"/>
      <c r="U175" s="61">
        <f t="shared" si="17"/>
        <v>1.1337776375772934E-2</v>
      </c>
      <c r="V175" s="61">
        <f t="shared" si="17"/>
        <v>7.326860473178997E-3</v>
      </c>
      <c r="W175" s="61">
        <f t="shared" si="17"/>
        <v>1.3030564410275643E-2</v>
      </c>
      <c r="X175" s="61">
        <f t="shared" si="17"/>
        <v>1.641744781367907E-2</v>
      </c>
      <c r="Y175" s="61">
        <f t="shared" si="17"/>
        <v>7.7936102908149124E-3</v>
      </c>
    </row>
    <row r="176" spans="2:27">
      <c r="B176" t="s">
        <v>1288</v>
      </c>
      <c r="C176">
        <v>1</v>
      </c>
      <c r="D176">
        <v>1</v>
      </c>
      <c r="E176">
        <v>1</v>
      </c>
      <c r="F176">
        <v>1</v>
      </c>
      <c r="G176">
        <v>1</v>
      </c>
      <c r="H176">
        <v>1</v>
      </c>
      <c r="I176">
        <v>1</v>
      </c>
      <c r="J176">
        <v>1</v>
      </c>
      <c r="K176">
        <v>1</v>
      </c>
      <c r="L176">
        <v>1</v>
      </c>
      <c r="M176">
        <v>1</v>
      </c>
      <c r="N176">
        <v>1</v>
      </c>
      <c r="O176">
        <v>1</v>
      </c>
      <c r="P176">
        <v>1</v>
      </c>
      <c r="Q176">
        <v>1</v>
      </c>
      <c r="R176">
        <v>1</v>
      </c>
      <c r="S176">
        <v>1</v>
      </c>
      <c r="T176">
        <v>1</v>
      </c>
      <c r="U176">
        <v>1</v>
      </c>
      <c r="V176">
        <v>1</v>
      </c>
      <c r="W176">
        <v>1</v>
      </c>
      <c r="X176">
        <v>1</v>
      </c>
      <c r="Y176">
        <v>1</v>
      </c>
    </row>
    <row r="177" spans="1:25" s="59" customFormat="1" ht="60">
      <c r="B177" s="59" t="s">
        <v>1289</v>
      </c>
      <c r="C177" s="59" t="s">
        <v>851</v>
      </c>
      <c r="D177" s="59" t="s">
        <v>852</v>
      </c>
      <c r="E177" s="59" t="s">
        <v>853</v>
      </c>
      <c r="F177" s="59" t="s">
        <v>854</v>
      </c>
      <c r="G177" s="59" t="s">
        <v>2</v>
      </c>
      <c r="H177" s="59" t="s">
        <v>856</v>
      </c>
      <c r="I177" s="59" t="s">
        <v>858</v>
      </c>
      <c r="J177" s="59" t="s">
        <v>859</v>
      </c>
      <c r="K177" s="59" t="s">
        <v>860</v>
      </c>
      <c r="L177" s="59" t="s">
        <v>863</v>
      </c>
      <c r="M177" s="59" t="s">
        <v>864</v>
      </c>
      <c r="N177" s="59" t="s">
        <v>1241</v>
      </c>
      <c r="O177" s="59" t="s">
        <v>1242</v>
      </c>
      <c r="P177" s="59" t="s">
        <v>1243</v>
      </c>
      <c r="Q177" s="59" t="s">
        <v>1244</v>
      </c>
      <c r="R177" s="59" t="s">
        <v>91</v>
      </c>
      <c r="S177" s="59" t="s">
        <v>91</v>
      </c>
    </row>
    <row r="178" spans="1:25" s="300" customFormat="1">
      <c r="A178" s="299">
        <f>S178/$S$186</f>
        <v>7.2851062652230139E-2</v>
      </c>
      <c r="B178" s="300" t="s">
        <v>1277</v>
      </c>
      <c r="C178" s="300">
        <v>11139</v>
      </c>
      <c r="D178" s="300">
        <v>11486</v>
      </c>
      <c r="E178" s="300">
        <v>4333</v>
      </c>
      <c r="F178" s="300">
        <v>9125</v>
      </c>
      <c r="G178" s="300">
        <v>34593</v>
      </c>
      <c r="H178" s="300">
        <v>5354</v>
      </c>
      <c r="I178" s="300">
        <v>10995</v>
      </c>
      <c r="J178" s="300">
        <v>1425</v>
      </c>
      <c r="K178" s="300">
        <v>2066</v>
      </c>
      <c r="L178" s="300">
        <v>25720</v>
      </c>
      <c r="M178" s="300">
        <v>2888</v>
      </c>
      <c r="N178" s="300">
        <v>50198</v>
      </c>
      <c r="O178" s="300">
        <v>102599</v>
      </c>
      <c r="P178" s="300">
        <v>8927</v>
      </c>
      <c r="Q178" s="300">
        <v>30420</v>
      </c>
      <c r="R178" s="300">
        <v>589704</v>
      </c>
      <c r="S178" s="300">
        <v>589704</v>
      </c>
      <c r="T178" s="301"/>
    </row>
    <row r="179" spans="1:25" s="300" customFormat="1">
      <c r="A179" s="299">
        <f t="shared" ref="A179:A185" si="19">S179/$S$186</f>
        <v>7.6728437491815585E-2</v>
      </c>
      <c r="B179" s="300" t="s">
        <v>1278</v>
      </c>
      <c r="C179" s="300">
        <v>23222</v>
      </c>
      <c r="D179" s="300">
        <v>9147</v>
      </c>
      <c r="E179" s="300">
        <v>1933</v>
      </c>
      <c r="F179" s="300">
        <v>8044</v>
      </c>
      <c r="G179" s="300">
        <v>27318</v>
      </c>
      <c r="H179" s="300">
        <v>7266</v>
      </c>
      <c r="I179" s="300">
        <v>8864</v>
      </c>
      <c r="J179" s="300">
        <v>2048</v>
      </c>
      <c r="K179" s="300">
        <v>3129</v>
      </c>
      <c r="L179" s="300">
        <v>26534</v>
      </c>
      <c r="M179" s="300">
        <v>3459</v>
      </c>
      <c r="N179" s="300">
        <v>45401</v>
      </c>
      <c r="O179" s="300">
        <v>110534</v>
      </c>
      <c r="P179" s="300">
        <v>7910</v>
      </c>
      <c r="Q179" s="300">
        <v>29859</v>
      </c>
      <c r="R179" s="300">
        <v>621090</v>
      </c>
      <c r="S179" s="300">
        <v>621090</v>
      </c>
      <c r="T179" s="301"/>
    </row>
    <row r="180" spans="1:25" s="300" customFormat="1">
      <c r="A180" s="299">
        <f t="shared" si="19"/>
        <v>0.17407876212590734</v>
      </c>
      <c r="B180" s="300" t="s">
        <v>1279</v>
      </c>
      <c r="C180" s="300">
        <v>16287</v>
      </c>
      <c r="D180" s="300">
        <v>18288</v>
      </c>
      <c r="E180" s="300">
        <v>1695</v>
      </c>
      <c r="F180" s="300">
        <v>13209</v>
      </c>
      <c r="G180" s="300">
        <v>94079</v>
      </c>
      <c r="H180" s="300">
        <v>7546</v>
      </c>
      <c r="I180" s="300">
        <v>14911</v>
      </c>
      <c r="J180" s="300">
        <v>4445</v>
      </c>
      <c r="K180" s="300">
        <v>5508</v>
      </c>
      <c r="L180" s="300">
        <v>77050</v>
      </c>
      <c r="M180" s="300">
        <v>5407</v>
      </c>
      <c r="N180" s="300">
        <v>106902</v>
      </c>
      <c r="O180" s="300">
        <v>214622</v>
      </c>
      <c r="P180" s="300">
        <v>18685</v>
      </c>
      <c r="Q180" s="300">
        <v>83986</v>
      </c>
      <c r="R180" s="300">
        <v>1409107</v>
      </c>
      <c r="S180" s="300">
        <v>1409107</v>
      </c>
      <c r="T180" s="301"/>
    </row>
    <row r="181" spans="1:25" s="300" customFormat="1">
      <c r="A181" s="299">
        <f t="shared" si="19"/>
        <v>0.19783839997074612</v>
      </c>
      <c r="B181" s="300" t="s">
        <v>1282</v>
      </c>
      <c r="C181" s="300">
        <v>29081</v>
      </c>
      <c r="D181" s="300">
        <v>30811</v>
      </c>
      <c r="E181" s="300">
        <v>1894</v>
      </c>
      <c r="F181" s="300">
        <v>15736</v>
      </c>
      <c r="G181" s="300">
        <v>80573</v>
      </c>
      <c r="H181" s="300">
        <v>14909</v>
      </c>
      <c r="I181" s="300">
        <v>10026</v>
      </c>
      <c r="J181" s="300">
        <v>2058</v>
      </c>
      <c r="K181" s="300">
        <v>3641</v>
      </c>
      <c r="L181" s="300">
        <v>84907</v>
      </c>
      <c r="M181" s="300">
        <v>3694</v>
      </c>
      <c r="N181" s="300">
        <v>112591</v>
      </c>
      <c r="O181" s="300">
        <v>230402</v>
      </c>
      <c r="P181" s="300">
        <v>14507</v>
      </c>
      <c r="Q181" s="300">
        <v>89416</v>
      </c>
      <c r="R181" s="300">
        <v>1601433</v>
      </c>
      <c r="S181" s="300">
        <v>1601433</v>
      </c>
      <c r="T181" s="301"/>
    </row>
    <row r="182" spans="1:25">
      <c r="A182" s="299">
        <f t="shared" si="19"/>
        <v>5.3559807141801773E-2</v>
      </c>
      <c r="B182" t="s">
        <v>1283</v>
      </c>
      <c r="C182">
        <v>6533</v>
      </c>
      <c r="D182">
        <v>7328</v>
      </c>
      <c r="E182">
        <v>1771</v>
      </c>
      <c r="F182">
        <v>7310</v>
      </c>
      <c r="G182">
        <v>27154</v>
      </c>
      <c r="H182">
        <v>4383</v>
      </c>
      <c r="I182">
        <v>6636</v>
      </c>
      <c r="J182">
        <v>1066</v>
      </c>
      <c r="K182">
        <v>1231</v>
      </c>
      <c r="L182">
        <v>28737</v>
      </c>
      <c r="M182">
        <v>2230</v>
      </c>
      <c r="N182">
        <v>44474</v>
      </c>
      <c r="O182">
        <v>71899</v>
      </c>
      <c r="P182">
        <v>5235</v>
      </c>
      <c r="Q182">
        <v>31465</v>
      </c>
      <c r="R182">
        <v>433548</v>
      </c>
      <c r="S182">
        <v>433548</v>
      </c>
      <c r="T182" s="301"/>
    </row>
    <row r="183" spans="1:25">
      <c r="A183" s="299">
        <f t="shared" si="19"/>
        <v>0.21158253622268133</v>
      </c>
      <c r="B183" t="s">
        <v>1284</v>
      </c>
      <c r="C183">
        <v>24229</v>
      </c>
      <c r="D183">
        <v>22086</v>
      </c>
      <c r="E183">
        <v>2612</v>
      </c>
      <c r="F183">
        <v>20558</v>
      </c>
      <c r="G183">
        <v>99227</v>
      </c>
      <c r="H183">
        <v>15639</v>
      </c>
      <c r="I183">
        <v>16746</v>
      </c>
      <c r="J183">
        <v>4575</v>
      </c>
      <c r="K183">
        <v>7734</v>
      </c>
      <c r="L183">
        <v>87187</v>
      </c>
      <c r="M183">
        <v>4872</v>
      </c>
      <c r="N183">
        <v>127216</v>
      </c>
      <c r="O183">
        <v>274140</v>
      </c>
      <c r="P183">
        <v>21134</v>
      </c>
      <c r="Q183">
        <v>92667</v>
      </c>
      <c r="R183">
        <v>1712687</v>
      </c>
      <c r="S183">
        <v>1712687</v>
      </c>
      <c r="T183" s="301"/>
    </row>
    <row r="184" spans="1:25" s="300" customFormat="1">
      <c r="A184" s="299">
        <f t="shared" si="19"/>
        <v>0.12727477351713204</v>
      </c>
      <c r="B184" s="300" t="s">
        <v>1285</v>
      </c>
      <c r="C184" s="300">
        <v>22472</v>
      </c>
      <c r="D184" s="300">
        <v>17618</v>
      </c>
      <c r="E184" s="300">
        <v>684</v>
      </c>
      <c r="F184" s="300">
        <v>6428</v>
      </c>
      <c r="G184" s="300">
        <v>76132</v>
      </c>
      <c r="H184" s="300">
        <v>15195</v>
      </c>
      <c r="I184" s="300">
        <v>4683</v>
      </c>
      <c r="J184" s="300">
        <v>1213</v>
      </c>
      <c r="K184" s="300">
        <v>1352</v>
      </c>
      <c r="L184" s="300">
        <v>32300</v>
      </c>
      <c r="M184" s="300">
        <v>1725</v>
      </c>
      <c r="N184" s="300">
        <v>44070</v>
      </c>
      <c r="O184" s="300">
        <v>183931</v>
      </c>
      <c r="P184" s="300">
        <v>10390</v>
      </c>
      <c r="Q184" s="300">
        <v>35537</v>
      </c>
      <c r="R184" s="300">
        <v>1030245</v>
      </c>
      <c r="S184" s="300">
        <v>1030245</v>
      </c>
      <c r="T184" s="301"/>
    </row>
    <row r="185" spans="1:25">
      <c r="A185" s="299">
        <f t="shared" si="19"/>
        <v>8.6086220877685665E-2</v>
      </c>
      <c r="B185" t="s">
        <v>1286</v>
      </c>
      <c r="C185">
        <v>11196</v>
      </c>
      <c r="D185">
        <v>7190</v>
      </c>
      <c r="E185">
        <v>684</v>
      </c>
      <c r="F185">
        <v>3148</v>
      </c>
      <c r="G185">
        <v>65809</v>
      </c>
      <c r="H185">
        <v>5850</v>
      </c>
      <c r="I185">
        <v>2802</v>
      </c>
      <c r="J185">
        <v>1098</v>
      </c>
      <c r="K185">
        <v>908</v>
      </c>
      <c r="L185">
        <v>17972</v>
      </c>
      <c r="M185">
        <v>1122</v>
      </c>
      <c r="N185">
        <v>24527</v>
      </c>
      <c r="O185">
        <v>122395</v>
      </c>
      <c r="P185">
        <v>5653</v>
      </c>
      <c r="Q185">
        <v>19667</v>
      </c>
      <c r="R185">
        <v>696838</v>
      </c>
      <c r="S185">
        <v>696838</v>
      </c>
      <c r="T185" s="301"/>
    </row>
    <row r="186" spans="1:25">
      <c r="C186">
        <f>SUM(C178:C185)</f>
        <v>144159</v>
      </c>
      <c r="D186">
        <f t="shared" ref="D186:S186" si="20">SUM(D178:D185)</f>
        <v>123954</v>
      </c>
      <c r="E186">
        <f t="shared" si="20"/>
        <v>15606</v>
      </c>
      <c r="F186">
        <f t="shared" si="20"/>
        <v>83558</v>
      </c>
      <c r="G186">
        <f t="shared" si="20"/>
        <v>504885</v>
      </c>
      <c r="H186">
        <f t="shared" si="20"/>
        <v>76142</v>
      </c>
      <c r="I186">
        <f t="shared" si="20"/>
        <v>75663</v>
      </c>
      <c r="J186">
        <f t="shared" si="20"/>
        <v>17928</v>
      </c>
      <c r="K186">
        <f t="shared" si="20"/>
        <v>25569</v>
      </c>
      <c r="L186">
        <f t="shared" si="20"/>
        <v>380407</v>
      </c>
      <c r="M186">
        <f t="shared" si="20"/>
        <v>25397</v>
      </c>
      <c r="N186">
        <f t="shared" ref="N186" si="21">SUM(N178:N185)</f>
        <v>555379</v>
      </c>
      <c r="O186">
        <f t="shared" ref="O186" si="22">SUM(O178:O185)</f>
        <v>1310522</v>
      </c>
      <c r="P186">
        <f t="shared" ref="P186" si="23">SUM(P178:P185)</f>
        <v>92441</v>
      </c>
      <c r="Q186">
        <f t="shared" ref="Q186" si="24">SUM(Q178:Q185)</f>
        <v>413017</v>
      </c>
      <c r="R186">
        <f t="shared" ref="R186" si="25">SUM(R178:R185)</f>
        <v>8094652</v>
      </c>
      <c r="S186">
        <f t="shared" si="20"/>
        <v>8094652</v>
      </c>
    </row>
    <row r="187" spans="1:25" s="59" customFormat="1" ht="60">
      <c r="C187" s="59" t="s">
        <v>851</v>
      </c>
      <c r="D187" s="59" t="s">
        <v>852</v>
      </c>
      <c r="E187" s="59" t="s">
        <v>853</v>
      </c>
      <c r="F187" s="59" t="s">
        <v>854</v>
      </c>
      <c r="G187" s="59" t="s">
        <v>2</v>
      </c>
      <c r="H187" s="59" t="s">
        <v>856</v>
      </c>
      <c r="I187" s="59" t="s">
        <v>858</v>
      </c>
      <c r="J187" s="59" t="s">
        <v>859</v>
      </c>
      <c r="K187" s="59" t="s">
        <v>860</v>
      </c>
      <c r="L187" s="59" t="s">
        <v>863</v>
      </c>
      <c r="M187" s="59" t="s">
        <v>864</v>
      </c>
      <c r="N187" s="59" t="s">
        <v>1241</v>
      </c>
      <c r="O187" s="59" t="s">
        <v>1242</v>
      </c>
      <c r="P187" s="59" t="s">
        <v>1243</v>
      </c>
      <c r="Q187" s="59" t="s">
        <v>1244</v>
      </c>
    </row>
    <row r="188" spans="1:25">
      <c r="B188" s="300" t="s">
        <v>1277</v>
      </c>
      <c r="C188" s="61">
        <f>C178/C$186</f>
        <v>7.7268848979252069E-2</v>
      </c>
      <c r="D188" s="61">
        <f t="shared" ref="D188:M188" si="26">D178/D$186</f>
        <v>9.2663407393065167E-2</v>
      </c>
      <c r="E188" s="61">
        <f t="shared" si="26"/>
        <v>0.27764962194027937</v>
      </c>
      <c r="F188" s="61">
        <f t="shared" si="26"/>
        <v>0.1092055817515977</v>
      </c>
      <c r="G188" s="61">
        <f t="shared" si="26"/>
        <v>6.8516592887489236E-2</v>
      </c>
      <c r="H188" s="61">
        <f t="shared" si="26"/>
        <v>7.0315988547713482E-2</v>
      </c>
      <c r="I188" s="61">
        <f t="shared" si="26"/>
        <v>0.14531541176004123</v>
      </c>
      <c r="J188" s="61">
        <f t="shared" si="26"/>
        <v>7.9484605087014729E-2</v>
      </c>
      <c r="K188" s="61">
        <f t="shared" si="26"/>
        <v>8.0800969924517976E-2</v>
      </c>
      <c r="L188" s="61">
        <f t="shared" si="26"/>
        <v>6.7611794735638414E-2</v>
      </c>
      <c r="M188" s="61">
        <f t="shared" si="26"/>
        <v>0.11371421821474978</v>
      </c>
      <c r="N188" s="61">
        <f t="shared" ref="N188:Q188" si="27">N178/N$186</f>
        <v>9.0385124392531949E-2</v>
      </c>
      <c r="O188" s="61">
        <f t="shared" si="27"/>
        <v>7.8288651392345948E-2</v>
      </c>
      <c r="P188" s="61">
        <f t="shared" si="27"/>
        <v>9.6569703919256608E-2</v>
      </c>
      <c r="Q188" s="61">
        <f t="shared" si="27"/>
        <v>7.3653142606720789E-2</v>
      </c>
      <c r="R188" s="61"/>
      <c r="S188" s="61"/>
      <c r="T188" s="61"/>
      <c r="U188" s="61"/>
      <c r="V188" s="61"/>
      <c r="W188" s="61"/>
      <c r="X188" s="61"/>
      <c r="Y188" s="61"/>
    </row>
    <row r="189" spans="1:25">
      <c r="B189" s="300" t="s">
        <v>1278</v>
      </c>
      <c r="C189" s="61">
        <f t="shared" ref="C189:M189" si="28">C179/C$186</f>
        <v>0.16108602307174716</v>
      </c>
      <c r="D189" s="61">
        <f t="shared" si="28"/>
        <v>7.3793504041821972E-2</v>
      </c>
      <c r="E189" s="61">
        <f t="shared" si="28"/>
        <v>0.12386261694220171</v>
      </c>
      <c r="F189" s="61">
        <f t="shared" si="28"/>
        <v>9.6268460231216643E-2</v>
      </c>
      <c r="G189" s="61">
        <f t="shared" si="28"/>
        <v>5.4107370985471942E-2</v>
      </c>
      <c r="H189" s="61">
        <f t="shared" si="28"/>
        <v>9.5426965406740033E-2</v>
      </c>
      <c r="I189" s="61">
        <f t="shared" si="28"/>
        <v>0.11715105137253347</v>
      </c>
      <c r="J189" s="61">
        <f t="shared" si="28"/>
        <v>0.11423471664435519</v>
      </c>
      <c r="K189" s="61">
        <f t="shared" si="28"/>
        <v>0.12237475067464508</v>
      </c>
      <c r="L189" s="61">
        <f t="shared" si="28"/>
        <v>6.9751608146012029E-2</v>
      </c>
      <c r="M189" s="61">
        <f t="shared" si="28"/>
        <v>0.13619718864432806</v>
      </c>
      <c r="N189" s="61">
        <f t="shared" ref="N189:Q189" si="29">N179/N$186</f>
        <v>8.1747779444307403E-2</v>
      </c>
      <c r="O189" s="61">
        <f t="shared" si="29"/>
        <v>8.4343490609085539E-2</v>
      </c>
      <c r="P189" s="61">
        <f t="shared" si="29"/>
        <v>8.5568092080353958E-2</v>
      </c>
      <c r="Q189" s="61">
        <f t="shared" si="29"/>
        <v>7.2294845006379879E-2</v>
      </c>
      <c r="R189" s="61"/>
      <c r="S189" s="61"/>
      <c r="T189" s="61"/>
      <c r="U189" s="61"/>
      <c r="V189" s="61"/>
      <c r="W189" s="61"/>
      <c r="X189" s="61"/>
      <c r="Y189" s="61"/>
    </row>
    <row r="190" spans="1:25">
      <c r="B190" s="300" t="s">
        <v>1279</v>
      </c>
      <c r="C190" s="61">
        <f t="shared" ref="C190:M190" si="30">C180/C$186</f>
        <v>0.1129794185586748</v>
      </c>
      <c r="D190" s="61">
        <f t="shared" si="30"/>
        <v>0.14753860303015634</v>
      </c>
      <c r="E190" s="61">
        <f t="shared" si="30"/>
        <v>0.10861207227989235</v>
      </c>
      <c r="F190" s="61">
        <f t="shared" si="30"/>
        <v>0.15808181143636754</v>
      </c>
      <c r="G190" s="61">
        <f t="shared" si="30"/>
        <v>0.1863374827931113</v>
      </c>
      <c r="H190" s="61">
        <f t="shared" si="30"/>
        <v>9.9104305114128863E-2</v>
      </c>
      <c r="I190" s="61">
        <f t="shared" si="30"/>
        <v>0.19707122371568667</v>
      </c>
      <c r="J190" s="61">
        <f t="shared" si="30"/>
        <v>0.24793618920124944</v>
      </c>
      <c r="K190" s="61">
        <f t="shared" si="30"/>
        <v>0.21541710665258712</v>
      </c>
      <c r="L190" s="61">
        <f t="shared" si="30"/>
        <v>0.2025462202325404</v>
      </c>
      <c r="M190" s="61">
        <f t="shared" si="30"/>
        <v>0.21289916131826594</v>
      </c>
      <c r="N190" s="61">
        <f t="shared" ref="N190:Q190" si="31">N180/N$186</f>
        <v>0.19248477166043368</v>
      </c>
      <c r="O190" s="61">
        <f t="shared" si="31"/>
        <v>0.16376833048205219</v>
      </c>
      <c r="P190" s="61">
        <f t="shared" si="31"/>
        <v>0.20212892547679059</v>
      </c>
      <c r="Q190" s="61">
        <f t="shared" si="31"/>
        <v>0.20334756196476175</v>
      </c>
      <c r="R190" s="61"/>
      <c r="S190" s="61"/>
      <c r="T190" s="61"/>
      <c r="U190" s="61"/>
      <c r="V190" s="61"/>
      <c r="W190" s="61"/>
      <c r="X190" s="61"/>
      <c r="Y190" s="61"/>
    </row>
    <row r="191" spans="1:25">
      <c r="B191" s="300" t="s">
        <v>1282</v>
      </c>
      <c r="C191" s="61">
        <f t="shared" ref="C191:M191" si="32">C181/C$186</f>
        <v>0.2017286468413349</v>
      </c>
      <c r="D191" s="61">
        <f t="shared" si="32"/>
        <v>0.24856801716765897</v>
      </c>
      <c r="E191" s="61">
        <f t="shared" si="32"/>
        <v>0.12136357811098296</v>
      </c>
      <c r="F191" s="61">
        <f t="shared" si="32"/>
        <v>0.18832427774719357</v>
      </c>
      <c r="G191" s="61">
        <f t="shared" si="32"/>
        <v>0.15958683660635589</v>
      </c>
      <c r="H191" s="61">
        <f t="shared" si="32"/>
        <v>0.19580520606235718</v>
      </c>
      <c r="I191" s="61">
        <f t="shared" si="32"/>
        <v>0.13250862376590936</v>
      </c>
      <c r="J191" s="61">
        <f t="shared" si="32"/>
        <v>0.11479250334672021</v>
      </c>
      <c r="K191" s="61">
        <f t="shared" si="32"/>
        <v>0.14239899878759435</v>
      </c>
      <c r="L191" s="61">
        <f t="shared" si="32"/>
        <v>0.22320041429311238</v>
      </c>
      <c r="M191" s="61">
        <f t="shared" si="32"/>
        <v>0.14545025002953105</v>
      </c>
      <c r="N191" s="61">
        <f t="shared" ref="N191:Q191" si="33">N181/N$186</f>
        <v>0.2027282270305503</v>
      </c>
      <c r="O191" s="61">
        <f t="shared" si="33"/>
        <v>0.1758093339905778</v>
      </c>
      <c r="P191" s="61">
        <f t="shared" si="33"/>
        <v>0.15693252993801451</v>
      </c>
      <c r="Q191" s="61">
        <f t="shared" si="33"/>
        <v>0.2164947205562967</v>
      </c>
      <c r="R191" s="61"/>
      <c r="S191" s="61"/>
      <c r="T191" s="61"/>
      <c r="U191" s="61"/>
      <c r="V191" s="61"/>
      <c r="W191" s="61"/>
      <c r="X191" s="61"/>
      <c r="Y191" s="61"/>
    </row>
    <row r="192" spans="1:25">
      <c r="B192" t="s">
        <v>1283</v>
      </c>
      <c r="C192" s="61">
        <f t="shared" ref="C192:M192" si="34">C182/C$186</f>
        <v>4.5318016911882017E-2</v>
      </c>
      <c r="D192" s="61">
        <f t="shared" si="34"/>
        <v>5.9118705326169384E-2</v>
      </c>
      <c r="E192" s="61">
        <f t="shared" si="34"/>
        <v>0.11348199410483148</v>
      </c>
      <c r="F192" s="61">
        <f t="shared" si="34"/>
        <v>8.7484142751142913E-2</v>
      </c>
      <c r="G192" s="61">
        <f t="shared" si="34"/>
        <v>5.3782544539845704E-2</v>
      </c>
      <c r="H192" s="61">
        <f t="shared" si="34"/>
        <v>5.7563499776732946E-2</v>
      </c>
      <c r="I192" s="61">
        <f t="shared" si="34"/>
        <v>8.7704690535664723E-2</v>
      </c>
      <c r="J192" s="61">
        <f t="shared" si="34"/>
        <v>5.9460062472110664E-2</v>
      </c>
      <c r="K192" s="61">
        <f t="shared" si="34"/>
        <v>4.8144237162188588E-2</v>
      </c>
      <c r="L192" s="61">
        <f t="shared" si="34"/>
        <v>7.554277392371854E-2</v>
      </c>
      <c r="M192" s="61">
        <f t="shared" si="34"/>
        <v>8.7805646336181445E-2</v>
      </c>
      <c r="N192" s="61">
        <f t="shared" ref="N192:Q192" si="35">N182/N$186</f>
        <v>8.0078648994650503E-2</v>
      </c>
      <c r="O192" s="61">
        <f t="shared" si="35"/>
        <v>5.4862871435962156E-2</v>
      </c>
      <c r="P192" s="61">
        <f t="shared" si="35"/>
        <v>5.6630715807920728E-2</v>
      </c>
      <c r="Q192" s="61">
        <f t="shared" si="35"/>
        <v>7.6183304803434243E-2</v>
      </c>
      <c r="R192" s="61"/>
      <c r="S192" s="61"/>
      <c r="T192" s="61"/>
      <c r="U192" s="61"/>
      <c r="V192" s="61"/>
      <c r="W192" s="61"/>
      <c r="X192" s="61"/>
      <c r="Y192" s="61"/>
    </row>
    <row r="193" spans="2:25">
      <c r="B193" t="s">
        <v>1284</v>
      </c>
      <c r="C193" s="61">
        <f t="shared" ref="C193:M193" si="36">C183/C$186</f>
        <v>0.16807136564487823</v>
      </c>
      <c r="D193" s="61">
        <f t="shared" si="36"/>
        <v>0.17817900188779709</v>
      </c>
      <c r="E193" s="61">
        <f t="shared" si="36"/>
        <v>0.16737152377290784</v>
      </c>
      <c r="F193" s="61">
        <f t="shared" si="36"/>
        <v>0.24603269585198306</v>
      </c>
      <c r="G193" s="61">
        <f t="shared" si="36"/>
        <v>0.19653386414728105</v>
      </c>
      <c r="H193" s="61">
        <f t="shared" si="36"/>
        <v>0.20539255601376374</v>
      </c>
      <c r="I193" s="61">
        <f t="shared" si="36"/>
        <v>0.22132350025772174</v>
      </c>
      <c r="J193" s="61">
        <f t="shared" si="36"/>
        <v>0.25518741633199465</v>
      </c>
      <c r="K193" s="61">
        <f t="shared" si="36"/>
        <v>0.30247565411240174</v>
      </c>
      <c r="L193" s="61">
        <f t="shared" si="36"/>
        <v>0.22919399485288125</v>
      </c>
      <c r="M193" s="61">
        <f t="shared" si="36"/>
        <v>0.19183368114344213</v>
      </c>
      <c r="N193" s="61">
        <f t="shared" ref="N193:Q193" si="37">N183/N$186</f>
        <v>0.22906159577513735</v>
      </c>
      <c r="O193" s="61">
        <f t="shared" si="37"/>
        <v>0.2091838214085685</v>
      </c>
      <c r="P193" s="61">
        <f t="shared" si="37"/>
        <v>0.22862149911835658</v>
      </c>
      <c r="Q193" s="61">
        <f t="shared" si="37"/>
        <v>0.22436606725631147</v>
      </c>
      <c r="R193" s="61"/>
      <c r="S193" s="61"/>
      <c r="T193" s="61"/>
      <c r="U193" s="61"/>
      <c r="V193" s="61"/>
      <c r="W193" s="61"/>
      <c r="X193" s="61"/>
      <c r="Y193" s="61"/>
    </row>
    <row r="194" spans="2:25">
      <c r="B194" s="300" t="s">
        <v>1285</v>
      </c>
      <c r="C194" s="61">
        <f t="shared" ref="C194:M194" si="38">C184/C$186</f>
        <v>0.15588343426355622</v>
      </c>
      <c r="D194" s="61">
        <f t="shared" si="38"/>
        <v>0.14213337205737611</v>
      </c>
      <c r="E194" s="61">
        <f t="shared" si="38"/>
        <v>4.3829296424452137E-2</v>
      </c>
      <c r="F194" s="61">
        <f t="shared" si="38"/>
        <v>7.6928600493070681E-2</v>
      </c>
      <c r="G194" s="61">
        <f t="shared" si="38"/>
        <v>0.1507907741366846</v>
      </c>
      <c r="H194" s="61">
        <f t="shared" si="38"/>
        <v>0.1995613459063329</v>
      </c>
      <c r="I194" s="61">
        <f t="shared" si="38"/>
        <v>6.1892867055231754E-2</v>
      </c>
      <c r="J194" s="61">
        <f t="shared" si="38"/>
        <v>6.7659526996876398E-2</v>
      </c>
      <c r="K194" s="61">
        <f t="shared" si="38"/>
        <v>5.2876530173256678E-2</v>
      </c>
      <c r="L194" s="61">
        <f t="shared" si="38"/>
        <v>8.4909057930059123E-2</v>
      </c>
      <c r="M194" s="61">
        <f t="shared" si="38"/>
        <v>6.7921408040319722E-2</v>
      </c>
      <c r="N194" s="61">
        <f t="shared" ref="N194:Q194" si="39">N184/N$186</f>
        <v>7.9351217817022243E-2</v>
      </c>
      <c r="O194" s="61">
        <f t="shared" si="39"/>
        <v>0.14034941801816375</v>
      </c>
      <c r="P194" s="61">
        <f t="shared" si="39"/>
        <v>0.11239601475535747</v>
      </c>
      <c r="Q194" s="61">
        <f t="shared" si="39"/>
        <v>8.6042463143163592E-2</v>
      </c>
      <c r="R194" s="61"/>
      <c r="S194" s="61"/>
      <c r="T194" s="61"/>
      <c r="U194" s="61"/>
      <c r="V194" s="61"/>
      <c r="W194" s="61"/>
      <c r="X194" s="61"/>
      <c r="Y194" s="61"/>
    </row>
    <row r="195" spans="2:25">
      <c r="B195" t="s">
        <v>1291</v>
      </c>
      <c r="C195" s="61">
        <f t="shared" ref="C195:M195" si="40">C185/C$186</f>
        <v>7.7664245728674586E-2</v>
      </c>
      <c r="D195" s="61">
        <f t="shared" si="40"/>
        <v>5.800538909595495E-2</v>
      </c>
      <c r="E195" s="61">
        <f t="shared" si="40"/>
        <v>4.3829296424452137E-2</v>
      </c>
      <c r="F195" s="61">
        <f t="shared" si="40"/>
        <v>3.7674429737427892E-2</v>
      </c>
      <c r="G195" s="61">
        <f t="shared" si="40"/>
        <v>0.13034453390376027</v>
      </c>
      <c r="H195" s="61">
        <f t="shared" si="40"/>
        <v>7.6830133172230836E-2</v>
      </c>
      <c r="I195" s="61">
        <f t="shared" si="40"/>
        <v>3.7032631537211057E-2</v>
      </c>
      <c r="J195" s="61">
        <f t="shared" si="40"/>
        <v>6.1244979919678713E-2</v>
      </c>
      <c r="K195" s="61">
        <f t="shared" si="40"/>
        <v>3.5511752512808477E-2</v>
      </c>
      <c r="L195" s="61">
        <f t="shared" si="40"/>
        <v>4.7244135886037847E-2</v>
      </c>
      <c r="M195" s="61">
        <f t="shared" si="40"/>
        <v>4.4178446273181869E-2</v>
      </c>
      <c r="N195" s="61">
        <f t="shared" ref="N195:Q195" si="41">N185/N$186</f>
        <v>4.4162634885366571E-2</v>
      </c>
      <c r="O195" s="61">
        <f t="shared" si="41"/>
        <v>9.3394082663244116E-2</v>
      </c>
      <c r="P195" s="61">
        <f t="shared" si="41"/>
        <v>6.1152518903949543E-2</v>
      </c>
      <c r="Q195" s="61">
        <f t="shared" si="41"/>
        <v>4.7617894662931551E-2</v>
      </c>
      <c r="R195" s="61"/>
      <c r="S195" s="61"/>
      <c r="T195" s="61"/>
      <c r="U195" s="61"/>
      <c r="V195" s="61"/>
      <c r="W195" s="61"/>
      <c r="X195" s="61"/>
      <c r="Y195" s="61"/>
    </row>
  </sheetData>
  <sortState ref="AL83:AP91">
    <sortCondition ref="AL83:AL91"/>
  </sortState>
  <mergeCells count="1">
    <mergeCell ref="D104:E104"/>
  </mergeCells>
  <hyperlinks>
    <hyperlink ref="G147" r:id="rId1"/>
    <hyperlink ref="A79" display="http://www.bdm.insee.fr/bdm2/affichageSeries?idbank=001711032&amp;idbank=001711033&amp;idbank=001711037&amp;idbank=001711040&amp;idbank=001711042&amp;idbank=001711044&amp;idbank=001711047&amp;idbank=001711048&amp;idbank=001711049&amp;idbank=001711052&amp;idbank=001711053&amp;idbank=001711054&amp;idbank"/>
    <hyperlink ref="C2" r:id="rId2"/>
  </hyperlink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O61"/>
  <sheetViews>
    <sheetView topLeftCell="A45" workbookViewId="0">
      <selection activeCell="A24" sqref="A24:U31"/>
    </sheetView>
  </sheetViews>
  <sheetFormatPr baseColWidth="10" defaultRowHeight="15"/>
  <cols>
    <col min="2" max="2" width="21.42578125" style="128" bestFit="1" customWidth="1"/>
  </cols>
  <sheetData>
    <row r="3" spans="1:41" s="163" customFormat="1">
      <c r="A3" s="87" t="s">
        <v>1852</v>
      </c>
      <c r="B3" s="162"/>
    </row>
    <row r="4" spans="1:41" s="59" customFormat="1" ht="75">
      <c r="A4" s="710" t="s">
        <v>483</v>
      </c>
      <c r="B4" s="735" t="s">
        <v>484</v>
      </c>
      <c r="C4" s="710" t="s">
        <v>1367</v>
      </c>
      <c r="D4" s="710" t="s">
        <v>724</v>
      </c>
      <c r="E4" s="710" t="s">
        <v>692</v>
      </c>
      <c r="F4" s="710" t="s">
        <v>1351</v>
      </c>
      <c r="G4" s="710" t="s">
        <v>1352</v>
      </c>
      <c r="H4" s="710" t="s">
        <v>1353</v>
      </c>
      <c r="I4" s="710" t="s">
        <v>683</v>
      </c>
      <c r="J4" s="710" t="s">
        <v>693</v>
      </c>
      <c r="K4" s="710" t="s">
        <v>694</v>
      </c>
      <c r="L4" s="710" t="s">
        <v>1354</v>
      </c>
      <c r="M4" s="710" t="s">
        <v>1366</v>
      </c>
      <c r="N4" s="710" t="s">
        <v>1355</v>
      </c>
      <c r="O4" s="710" t="s">
        <v>695</v>
      </c>
      <c r="P4" s="710" t="s">
        <v>1356</v>
      </c>
      <c r="Q4" s="710" t="s">
        <v>685</v>
      </c>
      <c r="R4" s="710" t="s">
        <v>1357</v>
      </c>
      <c r="S4" s="710" t="s">
        <v>1358</v>
      </c>
      <c r="T4" s="710" t="s">
        <v>1359</v>
      </c>
      <c r="U4" s="710" t="s">
        <v>510</v>
      </c>
      <c r="V4" s="710" t="s">
        <v>1360</v>
      </c>
      <c r="W4" s="710" t="s">
        <v>688</v>
      </c>
      <c r="X4" s="710" t="s">
        <v>513</v>
      </c>
      <c r="Y4" s="710" t="s">
        <v>696</v>
      </c>
      <c r="Z4" s="710" t="s">
        <v>697</v>
      </c>
      <c r="AA4" s="710" t="s">
        <v>1361</v>
      </c>
      <c r="AB4" s="710" t="s">
        <v>515</v>
      </c>
      <c r="AC4" s="710" t="s">
        <v>516</v>
      </c>
      <c r="AD4" s="710" t="s">
        <v>698</v>
      </c>
      <c r="AE4" s="710" t="s">
        <v>699</v>
      </c>
      <c r="AF4" s="710" t="s">
        <v>700</v>
      </c>
      <c r="AG4" s="710" t="s">
        <v>1362</v>
      </c>
      <c r="AH4" s="736" t="s">
        <v>1522</v>
      </c>
      <c r="AI4" s="710" t="s">
        <v>702</v>
      </c>
      <c r="AJ4" s="710" t="s">
        <v>703</v>
      </c>
      <c r="AK4" s="710" t="s">
        <v>1363</v>
      </c>
      <c r="AL4" s="710" t="s">
        <v>1365</v>
      </c>
      <c r="AM4" s="710" t="s">
        <v>519</v>
      </c>
      <c r="AN4" s="710" t="s">
        <v>1364</v>
      </c>
      <c r="AO4" s="710" t="s">
        <v>704</v>
      </c>
    </row>
    <row r="5" spans="1:41">
      <c r="A5">
        <v>59</v>
      </c>
      <c r="B5" t="s">
        <v>89</v>
      </c>
      <c r="C5">
        <v>160802</v>
      </c>
      <c r="D5">
        <v>5672</v>
      </c>
      <c r="E5">
        <v>261</v>
      </c>
      <c r="F5">
        <v>5722</v>
      </c>
      <c r="G5">
        <v>187</v>
      </c>
      <c r="H5">
        <v>1225</v>
      </c>
      <c r="I5">
        <v>0</v>
      </c>
      <c r="J5">
        <v>1436</v>
      </c>
      <c r="K5">
        <v>982</v>
      </c>
      <c r="L5">
        <v>2681</v>
      </c>
      <c r="M5">
        <v>1213</v>
      </c>
      <c r="N5">
        <v>40</v>
      </c>
      <c r="O5">
        <v>147</v>
      </c>
      <c r="P5">
        <v>188</v>
      </c>
      <c r="Q5">
        <v>512</v>
      </c>
      <c r="R5">
        <v>1465</v>
      </c>
      <c r="S5">
        <v>964</v>
      </c>
      <c r="T5">
        <v>1355</v>
      </c>
      <c r="U5">
        <v>12237</v>
      </c>
      <c r="V5">
        <v>26954</v>
      </c>
      <c r="W5">
        <v>10681</v>
      </c>
      <c r="X5">
        <v>7181</v>
      </c>
      <c r="Y5">
        <v>583</v>
      </c>
      <c r="Z5">
        <v>657</v>
      </c>
      <c r="AA5">
        <v>420</v>
      </c>
      <c r="AB5">
        <v>4258</v>
      </c>
      <c r="AC5">
        <v>1609</v>
      </c>
      <c r="AD5">
        <v>4523</v>
      </c>
      <c r="AE5">
        <v>711</v>
      </c>
      <c r="AF5">
        <v>871</v>
      </c>
      <c r="AG5">
        <v>6346</v>
      </c>
      <c r="AH5">
        <v>17587</v>
      </c>
      <c r="AI5">
        <v>14380</v>
      </c>
      <c r="AJ5">
        <v>11818</v>
      </c>
      <c r="AK5">
        <v>10158</v>
      </c>
      <c r="AL5">
        <v>1628</v>
      </c>
      <c r="AM5">
        <v>4150</v>
      </c>
      <c r="AN5">
        <v>0</v>
      </c>
      <c r="AO5">
        <v>0</v>
      </c>
    </row>
    <row r="6" spans="1:41" s="59" customFormat="1">
      <c r="A6" s="59">
        <v>7204</v>
      </c>
      <c r="B6" t="s">
        <v>6</v>
      </c>
      <c r="C6">
        <v>471169</v>
      </c>
      <c r="D6">
        <v>10547</v>
      </c>
      <c r="E6">
        <v>282</v>
      </c>
      <c r="F6">
        <v>7124</v>
      </c>
      <c r="G6">
        <v>318</v>
      </c>
      <c r="H6">
        <v>3349</v>
      </c>
      <c r="I6">
        <v>0</v>
      </c>
      <c r="J6">
        <v>2374</v>
      </c>
      <c r="K6">
        <v>1333</v>
      </c>
      <c r="L6">
        <v>1911</v>
      </c>
      <c r="M6">
        <v>3431</v>
      </c>
      <c r="N6">
        <v>2918</v>
      </c>
      <c r="O6">
        <v>1345</v>
      </c>
      <c r="P6">
        <v>1903</v>
      </c>
      <c r="Q6">
        <v>8515</v>
      </c>
      <c r="R6">
        <v>5367</v>
      </c>
      <c r="S6">
        <v>5196</v>
      </c>
      <c r="T6">
        <v>4476</v>
      </c>
      <c r="U6">
        <v>29995</v>
      </c>
      <c r="V6">
        <v>63237</v>
      </c>
      <c r="W6">
        <v>31263</v>
      </c>
      <c r="X6">
        <v>18825</v>
      </c>
      <c r="Y6">
        <v>3216</v>
      </c>
      <c r="Z6">
        <v>4517</v>
      </c>
      <c r="AA6">
        <v>9298</v>
      </c>
      <c r="AB6">
        <v>19351</v>
      </c>
      <c r="AC6">
        <v>5388</v>
      </c>
      <c r="AD6">
        <v>18934</v>
      </c>
      <c r="AE6">
        <v>5154</v>
      </c>
      <c r="AF6">
        <v>3737</v>
      </c>
      <c r="AG6">
        <v>27583</v>
      </c>
      <c r="AH6">
        <v>49747</v>
      </c>
      <c r="AI6">
        <v>39287</v>
      </c>
      <c r="AJ6">
        <v>34248</v>
      </c>
      <c r="AK6">
        <v>32005</v>
      </c>
      <c r="AL6">
        <v>5819</v>
      </c>
      <c r="AM6">
        <v>9143</v>
      </c>
      <c r="AN6">
        <v>0</v>
      </c>
      <c r="AO6">
        <v>33</v>
      </c>
    </row>
    <row r="7" spans="1:41">
      <c r="A7">
        <v>3122</v>
      </c>
      <c r="B7" t="s">
        <v>1649</v>
      </c>
      <c r="C7">
        <v>96489</v>
      </c>
      <c r="D7">
        <v>86</v>
      </c>
      <c r="E7">
        <v>38</v>
      </c>
      <c r="F7">
        <v>2167</v>
      </c>
      <c r="G7">
        <v>188</v>
      </c>
      <c r="H7">
        <v>557</v>
      </c>
      <c r="I7">
        <v>5</v>
      </c>
      <c r="J7">
        <v>804</v>
      </c>
      <c r="K7">
        <v>30</v>
      </c>
      <c r="L7">
        <v>1395</v>
      </c>
      <c r="M7">
        <v>809</v>
      </c>
      <c r="N7">
        <v>67</v>
      </c>
      <c r="O7">
        <v>327</v>
      </c>
      <c r="P7">
        <v>377</v>
      </c>
      <c r="Q7">
        <v>1168</v>
      </c>
      <c r="R7">
        <v>823</v>
      </c>
      <c r="S7">
        <v>175</v>
      </c>
      <c r="T7">
        <v>1688</v>
      </c>
      <c r="U7">
        <v>7744</v>
      </c>
      <c r="V7">
        <v>14493</v>
      </c>
      <c r="W7">
        <v>8510</v>
      </c>
      <c r="X7">
        <v>3424</v>
      </c>
      <c r="Y7">
        <v>113</v>
      </c>
      <c r="Z7">
        <v>573</v>
      </c>
      <c r="AA7">
        <v>469</v>
      </c>
      <c r="AB7">
        <v>1713</v>
      </c>
      <c r="AC7">
        <v>812</v>
      </c>
      <c r="AD7">
        <v>2154</v>
      </c>
      <c r="AE7">
        <v>23</v>
      </c>
      <c r="AF7">
        <v>646</v>
      </c>
      <c r="AG7">
        <v>7225</v>
      </c>
      <c r="AH7">
        <v>10723</v>
      </c>
      <c r="AI7">
        <v>9158</v>
      </c>
      <c r="AJ7">
        <v>8583</v>
      </c>
      <c r="AK7">
        <v>6846</v>
      </c>
      <c r="AL7">
        <v>848</v>
      </c>
      <c r="AM7">
        <v>1728</v>
      </c>
      <c r="AN7">
        <v>0</v>
      </c>
      <c r="AO7">
        <v>0</v>
      </c>
    </row>
    <row r="8" spans="1:41">
      <c r="A8">
        <v>8210</v>
      </c>
      <c r="B8" t="s">
        <v>8</v>
      </c>
      <c r="C8">
        <v>302022</v>
      </c>
      <c r="D8">
        <v>1123</v>
      </c>
      <c r="E8">
        <v>251</v>
      </c>
      <c r="F8">
        <v>3263</v>
      </c>
      <c r="G8">
        <v>723</v>
      </c>
      <c r="H8">
        <v>3438</v>
      </c>
      <c r="I8">
        <v>137</v>
      </c>
      <c r="J8">
        <v>1606</v>
      </c>
      <c r="K8">
        <v>142</v>
      </c>
      <c r="L8">
        <v>2499</v>
      </c>
      <c r="M8">
        <v>6459</v>
      </c>
      <c r="N8">
        <v>10811</v>
      </c>
      <c r="O8">
        <v>7078</v>
      </c>
      <c r="P8">
        <v>6510</v>
      </c>
      <c r="Q8">
        <v>209</v>
      </c>
      <c r="R8">
        <v>6149</v>
      </c>
      <c r="S8">
        <v>3336</v>
      </c>
      <c r="T8">
        <v>1554</v>
      </c>
      <c r="U8">
        <v>17316</v>
      </c>
      <c r="V8">
        <v>33963</v>
      </c>
      <c r="W8">
        <v>12964</v>
      </c>
      <c r="X8">
        <v>11461</v>
      </c>
      <c r="Y8">
        <v>2386</v>
      </c>
      <c r="Z8">
        <v>1540</v>
      </c>
      <c r="AA8">
        <v>7973</v>
      </c>
      <c r="AB8">
        <v>8157</v>
      </c>
      <c r="AC8">
        <v>2905</v>
      </c>
      <c r="AD8">
        <v>12360</v>
      </c>
      <c r="AE8">
        <v>11104</v>
      </c>
      <c r="AF8">
        <v>1506</v>
      </c>
      <c r="AG8">
        <v>13028</v>
      </c>
      <c r="AH8">
        <v>29968</v>
      </c>
      <c r="AI8">
        <v>28825</v>
      </c>
      <c r="AJ8">
        <v>19179</v>
      </c>
      <c r="AK8">
        <v>22685</v>
      </c>
      <c r="AL8">
        <v>3369</v>
      </c>
      <c r="AM8">
        <v>6039</v>
      </c>
      <c r="AN8">
        <v>0</v>
      </c>
      <c r="AO8">
        <v>6</v>
      </c>
    </row>
    <row r="9" spans="1:41">
      <c r="A9">
        <v>3111</v>
      </c>
      <c r="B9" t="s">
        <v>10</v>
      </c>
      <c r="C9">
        <v>372660</v>
      </c>
      <c r="D9">
        <v>1407</v>
      </c>
      <c r="E9">
        <v>94</v>
      </c>
      <c r="F9">
        <v>4984</v>
      </c>
      <c r="G9">
        <v>1364</v>
      </c>
      <c r="H9">
        <v>2634</v>
      </c>
      <c r="I9">
        <v>108</v>
      </c>
      <c r="J9">
        <v>1478</v>
      </c>
      <c r="K9">
        <v>1558</v>
      </c>
      <c r="L9">
        <v>1568</v>
      </c>
      <c r="M9">
        <v>1765</v>
      </c>
      <c r="N9">
        <v>538</v>
      </c>
      <c r="O9">
        <v>641</v>
      </c>
      <c r="P9">
        <v>2021</v>
      </c>
      <c r="Q9">
        <v>478</v>
      </c>
      <c r="R9">
        <v>3445</v>
      </c>
      <c r="S9">
        <v>3295</v>
      </c>
      <c r="T9">
        <v>2031</v>
      </c>
      <c r="U9">
        <v>19345</v>
      </c>
      <c r="V9">
        <v>51185</v>
      </c>
      <c r="W9">
        <v>23047</v>
      </c>
      <c r="X9">
        <v>12868</v>
      </c>
      <c r="Y9">
        <v>1734</v>
      </c>
      <c r="Z9">
        <v>2728</v>
      </c>
      <c r="AA9">
        <v>12230</v>
      </c>
      <c r="AB9">
        <v>19373</v>
      </c>
      <c r="AC9">
        <v>3793</v>
      </c>
      <c r="AD9">
        <v>19715</v>
      </c>
      <c r="AE9">
        <v>1998</v>
      </c>
      <c r="AF9">
        <v>3096</v>
      </c>
      <c r="AG9">
        <v>22924</v>
      </c>
      <c r="AH9">
        <v>48133</v>
      </c>
      <c r="AI9">
        <v>35154</v>
      </c>
      <c r="AJ9">
        <v>32481</v>
      </c>
      <c r="AK9">
        <v>22505</v>
      </c>
      <c r="AL9">
        <v>3787</v>
      </c>
      <c r="AM9">
        <v>7126</v>
      </c>
      <c r="AN9">
        <v>0</v>
      </c>
      <c r="AO9">
        <v>29</v>
      </c>
    </row>
    <row r="10" spans="1:41">
      <c r="A10" s="59">
        <v>8214</v>
      </c>
      <c r="B10" t="s">
        <v>12</v>
      </c>
      <c r="C10">
        <v>779917</v>
      </c>
      <c r="D10">
        <v>1362</v>
      </c>
      <c r="E10">
        <v>266</v>
      </c>
      <c r="F10">
        <v>8899</v>
      </c>
      <c r="G10">
        <v>4677</v>
      </c>
      <c r="H10">
        <v>4188</v>
      </c>
      <c r="I10">
        <v>1009</v>
      </c>
      <c r="J10">
        <v>9546</v>
      </c>
      <c r="K10">
        <v>9451</v>
      </c>
      <c r="L10">
        <v>6340</v>
      </c>
      <c r="M10">
        <v>12293</v>
      </c>
      <c r="N10">
        <v>2358</v>
      </c>
      <c r="O10">
        <v>6218</v>
      </c>
      <c r="P10">
        <v>10281</v>
      </c>
      <c r="Q10">
        <v>9257</v>
      </c>
      <c r="R10">
        <v>13521</v>
      </c>
      <c r="S10">
        <v>8416</v>
      </c>
      <c r="T10">
        <v>5438</v>
      </c>
      <c r="U10">
        <v>47201</v>
      </c>
      <c r="V10">
        <v>101422</v>
      </c>
      <c r="W10">
        <v>51598</v>
      </c>
      <c r="X10">
        <v>31032</v>
      </c>
      <c r="Y10">
        <v>6187</v>
      </c>
      <c r="Z10">
        <v>5374</v>
      </c>
      <c r="AA10">
        <v>23463</v>
      </c>
      <c r="AB10">
        <v>29704</v>
      </c>
      <c r="AC10">
        <v>9249</v>
      </c>
      <c r="AD10">
        <v>45589</v>
      </c>
      <c r="AE10">
        <v>7813</v>
      </c>
      <c r="AF10">
        <v>8060</v>
      </c>
      <c r="AG10">
        <v>49772</v>
      </c>
      <c r="AH10">
        <v>68698</v>
      </c>
      <c r="AI10">
        <v>66013</v>
      </c>
      <c r="AJ10">
        <v>47789</v>
      </c>
      <c r="AK10">
        <v>41921</v>
      </c>
      <c r="AL10">
        <v>9108</v>
      </c>
      <c r="AM10">
        <v>15806</v>
      </c>
      <c r="AN10">
        <v>0</v>
      </c>
      <c r="AO10">
        <v>598</v>
      </c>
    </row>
    <row r="11" spans="1:41">
      <c r="A11">
        <v>9310</v>
      </c>
      <c r="B11" t="s">
        <v>54</v>
      </c>
      <c r="C11">
        <v>472723</v>
      </c>
      <c r="D11">
        <v>765</v>
      </c>
      <c r="E11">
        <v>256</v>
      </c>
      <c r="F11">
        <v>6343</v>
      </c>
      <c r="G11">
        <v>624</v>
      </c>
      <c r="H11">
        <v>1932</v>
      </c>
      <c r="I11">
        <v>536</v>
      </c>
      <c r="J11">
        <v>2134</v>
      </c>
      <c r="K11">
        <v>509</v>
      </c>
      <c r="L11">
        <v>2486</v>
      </c>
      <c r="M11">
        <v>2233</v>
      </c>
      <c r="N11">
        <v>1713</v>
      </c>
      <c r="O11">
        <v>372</v>
      </c>
      <c r="P11">
        <v>1481</v>
      </c>
      <c r="Q11">
        <v>10063</v>
      </c>
      <c r="R11">
        <v>5261</v>
      </c>
      <c r="S11">
        <v>4904</v>
      </c>
      <c r="T11">
        <v>4088</v>
      </c>
      <c r="U11">
        <v>24665</v>
      </c>
      <c r="V11">
        <v>60374</v>
      </c>
      <c r="W11">
        <v>39305</v>
      </c>
      <c r="X11">
        <v>20418</v>
      </c>
      <c r="Y11">
        <v>2454</v>
      </c>
      <c r="Z11">
        <v>2956</v>
      </c>
      <c r="AA11">
        <v>4993</v>
      </c>
      <c r="AB11">
        <v>16831</v>
      </c>
      <c r="AC11">
        <v>6150</v>
      </c>
      <c r="AD11">
        <v>18846</v>
      </c>
      <c r="AE11">
        <v>4986</v>
      </c>
      <c r="AF11">
        <v>3324</v>
      </c>
      <c r="AG11">
        <v>32990</v>
      </c>
      <c r="AH11">
        <v>59819</v>
      </c>
      <c r="AI11">
        <v>41488</v>
      </c>
      <c r="AJ11">
        <v>39728</v>
      </c>
      <c r="AK11">
        <v>30043</v>
      </c>
      <c r="AL11">
        <v>6213</v>
      </c>
      <c r="AM11">
        <v>11273</v>
      </c>
      <c r="AN11">
        <v>0</v>
      </c>
      <c r="AO11">
        <v>167</v>
      </c>
    </row>
    <row r="12" spans="1:41">
      <c r="A12">
        <v>9111</v>
      </c>
      <c r="B12" t="s">
        <v>15</v>
      </c>
      <c r="C12">
        <v>240913</v>
      </c>
      <c r="D12">
        <v>1627</v>
      </c>
      <c r="E12">
        <v>360</v>
      </c>
      <c r="F12">
        <v>2282</v>
      </c>
      <c r="G12">
        <v>152</v>
      </c>
      <c r="H12">
        <v>1047</v>
      </c>
      <c r="I12">
        <v>0</v>
      </c>
      <c r="J12">
        <v>273</v>
      </c>
      <c r="K12">
        <v>285</v>
      </c>
      <c r="L12">
        <v>497</v>
      </c>
      <c r="M12">
        <v>1152</v>
      </c>
      <c r="N12">
        <v>1339</v>
      </c>
      <c r="O12">
        <v>474</v>
      </c>
      <c r="P12">
        <v>413</v>
      </c>
      <c r="Q12">
        <v>149</v>
      </c>
      <c r="R12">
        <v>1990</v>
      </c>
      <c r="S12">
        <v>1723</v>
      </c>
      <c r="T12">
        <v>2210</v>
      </c>
      <c r="U12">
        <v>13488</v>
      </c>
      <c r="V12">
        <v>33792</v>
      </c>
      <c r="W12">
        <v>11323</v>
      </c>
      <c r="X12">
        <v>11940</v>
      </c>
      <c r="Y12">
        <v>2267</v>
      </c>
      <c r="Z12">
        <v>2402</v>
      </c>
      <c r="AA12">
        <v>5958</v>
      </c>
      <c r="AB12">
        <v>7954</v>
      </c>
      <c r="AC12">
        <v>3146</v>
      </c>
      <c r="AD12">
        <v>8529</v>
      </c>
      <c r="AE12">
        <v>6513</v>
      </c>
      <c r="AF12">
        <v>2080</v>
      </c>
      <c r="AG12">
        <v>13277</v>
      </c>
      <c r="AH12">
        <v>36591</v>
      </c>
      <c r="AI12">
        <v>23554</v>
      </c>
      <c r="AJ12">
        <v>15721</v>
      </c>
      <c r="AK12">
        <v>16076</v>
      </c>
      <c r="AL12">
        <v>3537</v>
      </c>
      <c r="AM12">
        <v>6716</v>
      </c>
      <c r="AN12">
        <v>0</v>
      </c>
      <c r="AO12">
        <v>76</v>
      </c>
    </row>
    <row r="13" spans="1:41">
      <c r="A13">
        <v>5203</v>
      </c>
      <c r="B13" t="s">
        <v>17</v>
      </c>
      <c r="C13">
        <v>411846</v>
      </c>
      <c r="D13">
        <v>4384</v>
      </c>
      <c r="E13">
        <v>373</v>
      </c>
      <c r="F13">
        <v>11400</v>
      </c>
      <c r="G13">
        <v>1239</v>
      </c>
      <c r="H13">
        <v>3767</v>
      </c>
      <c r="I13">
        <v>179</v>
      </c>
      <c r="J13">
        <v>614</v>
      </c>
      <c r="K13">
        <v>135</v>
      </c>
      <c r="L13">
        <v>4071</v>
      </c>
      <c r="M13">
        <v>7539</v>
      </c>
      <c r="N13">
        <v>2219</v>
      </c>
      <c r="O13">
        <v>796</v>
      </c>
      <c r="P13">
        <v>3898</v>
      </c>
      <c r="Q13">
        <v>4899</v>
      </c>
      <c r="R13">
        <v>6296</v>
      </c>
      <c r="S13">
        <v>4179</v>
      </c>
      <c r="T13">
        <v>2960</v>
      </c>
      <c r="U13">
        <v>28608</v>
      </c>
      <c r="V13">
        <v>55321</v>
      </c>
      <c r="W13">
        <v>25256</v>
      </c>
      <c r="X13">
        <v>12388</v>
      </c>
      <c r="Y13">
        <v>2891</v>
      </c>
      <c r="Z13">
        <v>3688</v>
      </c>
      <c r="AA13">
        <v>15217</v>
      </c>
      <c r="AB13">
        <v>18222</v>
      </c>
      <c r="AC13">
        <v>3645</v>
      </c>
      <c r="AD13">
        <v>19888</v>
      </c>
      <c r="AE13">
        <v>2761</v>
      </c>
      <c r="AF13">
        <v>3644</v>
      </c>
      <c r="AG13">
        <v>24185</v>
      </c>
      <c r="AH13">
        <v>39494</v>
      </c>
      <c r="AI13">
        <v>33614</v>
      </c>
      <c r="AJ13">
        <v>23844</v>
      </c>
      <c r="AK13">
        <v>26112</v>
      </c>
      <c r="AL13">
        <v>5542</v>
      </c>
      <c r="AM13">
        <v>8567</v>
      </c>
      <c r="AN13">
        <v>0</v>
      </c>
      <c r="AO13">
        <v>11</v>
      </c>
    </row>
    <row r="14" spans="1:41">
      <c r="A14">
        <v>9307</v>
      </c>
      <c r="B14" t="s">
        <v>19</v>
      </c>
      <c r="C14">
        <v>211325</v>
      </c>
      <c r="D14">
        <v>485</v>
      </c>
      <c r="E14">
        <v>152</v>
      </c>
      <c r="F14">
        <v>2401</v>
      </c>
      <c r="G14">
        <v>390</v>
      </c>
      <c r="H14">
        <v>578</v>
      </c>
      <c r="I14">
        <v>0</v>
      </c>
      <c r="J14">
        <v>1622</v>
      </c>
      <c r="K14">
        <v>1931</v>
      </c>
      <c r="L14">
        <v>599</v>
      </c>
      <c r="M14">
        <v>673</v>
      </c>
      <c r="N14">
        <v>300</v>
      </c>
      <c r="O14">
        <v>606</v>
      </c>
      <c r="P14">
        <v>606</v>
      </c>
      <c r="Q14">
        <v>78</v>
      </c>
      <c r="R14">
        <v>1873</v>
      </c>
      <c r="S14">
        <v>1320</v>
      </c>
      <c r="T14">
        <v>1965</v>
      </c>
      <c r="U14">
        <v>13372</v>
      </c>
      <c r="V14">
        <v>30012</v>
      </c>
      <c r="W14">
        <v>13081</v>
      </c>
      <c r="X14">
        <v>15018</v>
      </c>
      <c r="Y14">
        <v>1052</v>
      </c>
      <c r="Z14">
        <v>982</v>
      </c>
      <c r="AA14">
        <v>1422</v>
      </c>
      <c r="AB14">
        <v>6706</v>
      </c>
      <c r="AC14">
        <v>3407</v>
      </c>
      <c r="AD14">
        <v>6137</v>
      </c>
      <c r="AE14">
        <v>781</v>
      </c>
      <c r="AF14">
        <v>1713</v>
      </c>
      <c r="AG14">
        <v>13978</v>
      </c>
      <c r="AH14">
        <v>30514</v>
      </c>
      <c r="AI14">
        <v>18041</v>
      </c>
      <c r="AJ14">
        <v>17620</v>
      </c>
      <c r="AK14">
        <v>13035</v>
      </c>
      <c r="AL14">
        <v>2797</v>
      </c>
      <c r="AM14">
        <v>6063</v>
      </c>
      <c r="AN14">
        <v>0</v>
      </c>
      <c r="AO14">
        <v>15</v>
      </c>
    </row>
    <row r="15" spans="1:41">
      <c r="A15">
        <v>5312</v>
      </c>
      <c r="B15" t="s">
        <v>21</v>
      </c>
      <c r="C15">
        <v>297991</v>
      </c>
      <c r="D15">
        <v>2922</v>
      </c>
      <c r="E15">
        <v>312</v>
      </c>
      <c r="F15">
        <v>13155</v>
      </c>
      <c r="G15">
        <v>230</v>
      </c>
      <c r="H15">
        <v>2669</v>
      </c>
      <c r="I15">
        <v>0</v>
      </c>
      <c r="J15">
        <v>585</v>
      </c>
      <c r="K15">
        <v>129</v>
      </c>
      <c r="L15">
        <v>3289</v>
      </c>
      <c r="M15">
        <v>1775</v>
      </c>
      <c r="N15">
        <v>1691</v>
      </c>
      <c r="O15">
        <v>481</v>
      </c>
      <c r="P15">
        <v>3489</v>
      </c>
      <c r="Q15">
        <v>5651</v>
      </c>
      <c r="R15">
        <v>2388</v>
      </c>
      <c r="S15">
        <v>1529</v>
      </c>
      <c r="T15">
        <v>1943</v>
      </c>
      <c r="U15">
        <v>19374</v>
      </c>
      <c r="V15">
        <v>36586</v>
      </c>
      <c r="W15">
        <v>20188</v>
      </c>
      <c r="X15">
        <v>8935</v>
      </c>
      <c r="Y15">
        <v>2381</v>
      </c>
      <c r="Z15">
        <v>5009</v>
      </c>
      <c r="AA15">
        <v>9073</v>
      </c>
      <c r="AB15">
        <v>10336</v>
      </c>
      <c r="AC15">
        <v>2374</v>
      </c>
      <c r="AD15">
        <v>12129</v>
      </c>
      <c r="AE15">
        <v>3030</v>
      </c>
      <c r="AF15">
        <v>2537</v>
      </c>
      <c r="AG15">
        <v>14647</v>
      </c>
      <c r="AH15">
        <v>29711</v>
      </c>
      <c r="AI15">
        <v>30380</v>
      </c>
      <c r="AJ15">
        <v>19134</v>
      </c>
      <c r="AK15">
        <v>20180</v>
      </c>
      <c r="AL15">
        <v>3136</v>
      </c>
      <c r="AM15">
        <v>6599</v>
      </c>
      <c r="AN15">
        <v>0</v>
      </c>
      <c r="AO15">
        <v>14</v>
      </c>
    </row>
    <row r="16" spans="1:41">
      <c r="A16">
        <v>2307</v>
      </c>
      <c r="B16" t="s">
        <v>23</v>
      </c>
      <c r="C16">
        <v>286100</v>
      </c>
      <c r="D16">
        <v>1689</v>
      </c>
      <c r="E16">
        <v>235</v>
      </c>
      <c r="F16">
        <v>5736</v>
      </c>
      <c r="G16">
        <v>485</v>
      </c>
      <c r="H16">
        <v>2835</v>
      </c>
      <c r="I16">
        <v>243</v>
      </c>
      <c r="J16">
        <v>2760</v>
      </c>
      <c r="K16">
        <v>5561</v>
      </c>
      <c r="L16">
        <v>3479</v>
      </c>
      <c r="M16">
        <v>5020</v>
      </c>
      <c r="N16">
        <v>972</v>
      </c>
      <c r="O16">
        <v>2191</v>
      </c>
      <c r="P16">
        <v>2021</v>
      </c>
      <c r="Q16">
        <v>5921</v>
      </c>
      <c r="R16">
        <v>3721</v>
      </c>
      <c r="S16">
        <v>2073</v>
      </c>
      <c r="T16">
        <v>2598</v>
      </c>
      <c r="U16">
        <v>19847</v>
      </c>
      <c r="V16">
        <v>34780</v>
      </c>
      <c r="W16">
        <v>19859</v>
      </c>
      <c r="X16">
        <v>8529</v>
      </c>
      <c r="Y16">
        <v>895</v>
      </c>
      <c r="Z16">
        <v>1634</v>
      </c>
      <c r="AA16">
        <v>1963</v>
      </c>
      <c r="AB16">
        <v>10580</v>
      </c>
      <c r="AC16">
        <v>3372</v>
      </c>
      <c r="AD16">
        <v>9480</v>
      </c>
      <c r="AE16">
        <v>323</v>
      </c>
      <c r="AF16">
        <v>1542</v>
      </c>
      <c r="AG16">
        <v>14742</v>
      </c>
      <c r="AH16">
        <v>32773</v>
      </c>
      <c r="AI16">
        <v>26265</v>
      </c>
      <c r="AJ16">
        <v>20314</v>
      </c>
      <c r="AK16">
        <v>22454</v>
      </c>
      <c r="AL16">
        <v>3493</v>
      </c>
      <c r="AM16">
        <v>5715</v>
      </c>
      <c r="AN16">
        <v>0</v>
      </c>
      <c r="AO16">
        <v>0</v>
      </c>
    </row>
    <row r="17" spans="1:41">
      <c r="A17">
        <v>4205</v>
      </c>
      <c r="B17" t="s">
        <v>25</v>
      </c>
      <c r="C17">
        <v>259247</v>
      </c>
      <c r="D17">
        <v>820</v>
      </c>
      <c r="E17">
        <v>99</v>
      </c>
      <c r="F17">
        <v>6755</v>
      </c>
      <c r="G17">
        <v>256</v>
      </c>
      <c r="H17">
        <v>1844</v>
      </c>
      <c r="I17">
        <v>17</v>
      </c>
      <c r="J17">
        <v>810</v>
      </c>
      <c r="K17">
        <v>2598</v>
      </c>
      <c r="L17">
        <v>1017</v>
      </c>
      <c r="M17">
        <v>1532</v>
      </c>
      <c r="N17">
        <v>861</v>
      </c>
      <c r="O17">
        <v>2106</v>
      </c>
      <c r="P17">
        <v>1492</v>
      </c>
      <c r="Q17">
        <v>1380</v>
      </c>
      <c r="R17">
        <v>2716</v>
      </c>
      <c r="S17">
        <v>1816</v>
      </c>
      <c r="T17">
        <v>2171</v>
      </c>
      <c r="U17">
        <v>13036</v>
      </c>
      <c r="V17">
        <v>40180</v>
      </c>
      <c r="W17">
        <v>17139</v>
      </c>
      <c r="X17">
        <v>11782</v>
      </c>
      <c r="Y17">
        <v>2123</v>
      </c>
      <c r="Z17">
        <v>1639</v>
      </c>
      <c r="AA17">
        <v>4632</v>
      </c>
      <c r="AB17">
        <v>12609</v>
      </c>
      <c r="AC17">
        <v>2757</v>
      </c>
      <c r="AD17">
        <v>9709</v>
      </c>
      <c r="AE17">
        <v>3270</v>
      </c>
      <c r="AF17">
        <v>2277</v>
      </c>
      <c r="AG17">
        <v>16985</v>
      </c>
      <c r="AH17">
        <v>28151</v>
      </c>
      <c r="AI17">
        <v>20280</v>
      </c>
      <c r="AJ17">
        <v>20755</v>
      </c>
      <c r="AK17">
        <v>15076</v>
      </c>
      <c r="AL17">
        <v>2116</v>
      </c>
      <c r="AM17">
        <v>6284</v>
      </c>
      <c r="AN17">
        <v>0</v>
      </c>
      <c r="AO17">
        <v>157</v>
      </c>
    </row>
    <row r="18" spans="1:41">
      <c r="A18">
        <v>9315</v>
      </c>
      <c r="B18" t="s">
        <v>55</v>
      </c>
      <c r="C18">
        <v>168831</v>
      </c>
      <c r="D18">
        <v>1798</v>
      </c>
      <c r="E18">
        <v>113</v>
      </c>
      <c r="F18">
        <v>2295</v>
      </c>
      <c r="G18">
        <v>142</v>
      </c>
      <c r="H18">
        <v>418</v>
      </c>
      <c r="I18">
        <v>0</v>
      </c>
      <c r="J18">
        <v>123</v>
      </c>
      <c r="K18">
        <v>65</v>
      </c>
      <c r="L18">
        <v>352</v>
      </c>
      <c r="M18">
        <v>610</v>
      </c>
      <c r="N18">
        <v>418</v>
      </c>
      <c r="O18">
        <v>332</v>
      </c>
      <c r="P18">
        <v>123</v>
      </c>
      <c r="Q18">
        <v>2879</v>
      </c>
      <c r="R18">
        <v>1559</v>
      </c>
      <c r="S18">
        <v>1114</v>
      </c>
      <c r="T18">
        <v>1771</v>
      </c>
      <c r="U18">
        <v>10765</v>
      </c>
      <c r="V18">
        <v>26114</v>
      </c>
      <c r="W18">
        <v>7877</v>
      </c>
      <c r="X18">
        <v>8432</v>
      </c>
      <c r="Y18">
        <v>389</v>
      </c>
      <c r="Z18">
        <v>1044</v>
      </c>
      <c r="AA18">
        <v>1007</v>
      </c>
      <c r="AB18">
        <v>4582</v>
      </c>
      <c r="AC18">
        <v>2617</v>
      </c>
      <c r="AD18">
        <v>5449</v>
      </c>
      <c r="AE18">
        <v>187</v>
      </c>
      <c r="AF18">
        <v>1177</v>
      </c>
      <c r="AG18">
        <v>7873</v>
      </c>
      <c r="AH18">
        <v>24912</v>
      </c>
      <c r="AI18">
        <v>15227</v>
      </c>
      <c r="AJ18">
        <v>14576</v>
      </c>
      <c r="AK18">
        <v>15574</v>
      </c>
      <c r="AL18">
        <v>2519</v>
      </c>
      <c r="AM18">
        <v>4398</v>
      </c>
      <c r="AN18">
        <v>0</v>
      </c>
      <c r="AO18">
        <v>0</v>
      </c>
    </row>
    <row r="19" spans="1:41">
      <c r="A19">
        <v>61</v>
      </c>
      <c r="B19" t="s">
        <v>27</v>
      </c>
      <c r="C19">
        <v>550323</v>
      </c>
      <c r="D19">
        <v>2333</v>
      </c>
      <c r="E19">
        <v>310</v>
      </c>
      <c r="F19">
        <v>7082</v>
      </c>
      <c r="G19">
        <v>1091</v>
      </c>
      <c r="H19">
        <v>2448</v>
      </c>
      <c r="I19">
        <v>51</v>
      </c>
      <c r="J19">
        <v>1664</v>
      </c>
      <c r="K19">
        <v>731</v>
      </c>
      <c r="L19">
        <v>3406</v>
      </c>
      <c r="M19">
        <v>7529</v>
      </c>
      <c r="N19">
        <v>5121</v>
      </c>
      <c r="O19">
        <v>1318</v>
      </c>
      <c r="P19">
        <v>1515</v>
      </c>
      <c r="Q19">
        <v>34623</v>
      </c>
      <c r="R19">
        <v>4505</v>
      </c>
      <c r="S19">
        <v>4307</v>
      </c>
      <c r="T19">
        <v>3466</v>
      </c>
      <c r="U19">
        <v>33804</v>
      </c>
      <c r="V19">
        <v>65663</v>
      </c>
      <c r="W19">
        <v>32099</v>
      </c>
      <c r="X19">
        <v>19204</v>
      </c>
      <c r="Y19">
        <v>4440</v>
      </c>
      <c r="Z19">
        <v>4443</v>
      </c>
      <c r="AA19">
        <v>17344</v>
      </c>
      <c r="AB19">
        <v>16061</v>
      </c>
      <c r="AC19">
        <v>5370</v>
      </c>
      <c r="AD19">
        <v>37424</v>
      </c>
      <c r="AE19">
        <v>9871</v>
      </c>
      <c r="AF19">
        <v>4061</v>
      </c>
      <c r="AG19">
        <v>28303</v>
      </c>
      <c r="AH19">
        <v>54610</v>
      </c>
      <c r="AI19">
        <v>50085</v>
      </c>
      <c r="AJ19">
        <v>34361</v>
      </c>
      <c r="AK19">
        <v>32461</v>
      </c>
      <c r="AL19">
        <v>7851</v>
      </c>
      <c r="AM19">
        <v>11350</v>
      </c>
      <c r="AN19">
        <v>0</v>
      </c>
      <c r="AO19">
        <v>18</v>
      </c>
    </row>
    <row r="20" spans="1:41">
      <c r="A20">
        <v>2</v>
      </c>
      <c r="B20" t="s">
        <v>29</v>
      </c>
      <c r="C20">
        <v>905487</v>
      </c>
      <c r="D20">
        <v>2727</v>
      </c>
      <c r="E20">
        <v>555</v>
      </c>
      <c r="F20">
        <v>11436</v>
      </c>
      <c r="G20">
        <v>5635</v>
      </c>
      <c r="H20">
        <v>5485</v>
      </c>
      <c r="I20">
        <v>1009</v>
      </c>
      <c r="J20">
        <v>11379</v>
      </c>
      <c r="K20">
        <v>10020</v>
      </c>
      <c r="L20">
        <v>9913</v>
      </c>
      <c r="M20">
        <v>15230</v>
      </c>
      <c r="N20">
        <v>3223</v>
      </c>
      <c r="O20">
        <v>7274</v>
      </c>
      <c r="P20">
        <v>13630</v>
      </c>
      <c r="Q20">
        <v>10055</v>
      </c>
      <c r="R20">
        <v>15855</v>
      </c>
      <c r="S20">
        <v>10948</v>
      </c>
      <c r="T20">
        <v>7011</v>
      </c>
      <c r="U20">
        <v>56173</v>
      </c>
      <c r="V20">
        <v>123416</v>
      </c>
      <c r="W20">
        <v>63694</v>
      </c>
      <c r="X20">
        <v>35374</v>
      </c>
      <c r="Y20">
        <v>6457</v>
      </c>
      <c r="Z20">
        <v>5820</v>
      </c>
      <c r="AA20">
        <v>23860</v>
      </c>
      <c r="AB20">
        <v>32362</v>
      </c>
      <c r="AC20">
        <v>10266</v>
      </c>
      <c r="AD20">
        <v>49935</v>
      </c>
      <c r="AE20">
        <v>7842</v>
      </c>
      <c r="AF20">
        <v>8733</v>
      </c>
      <c r="AG20">
        <v>56211</v>
      </c>
      <c r="AH20">
        <v>76284</v>
      </c>
      <c r="AI20">
        <v>75591</v>
      </c>
      <c r="AJ20">
        <v>53910</v>
      </c>
      <c r="AK20">
        <v>49276</v>
      </c>
      <c r="AL20">
        <v>10132</v>
      </c>
      <c r="AM20">
        <v>18168</v>
      </c>
      <c r="AN20">
        <v>0</v>
      </c>
      <c r="AO20">
        <v>598</v>
      </c>
    </row>
    <row r="21" spans="1:41">
      <c r="A21">
        <v>3</v>
      </c>
      <c r="B21" t="s">
        <v>59</v>
      </c>
      <c r="C21">
        <v>641172</v>
      </c>
      <c r="D21">
        <v>1787</v>
      </c>
      <c r="E21">
        <v>392</v>
      </c>
      <c r="F21">
        <v>8208</v>
      </c>
      <c r="G21">
        <v>737</v>
      </c>
      <c r="H21">
        <v>2177</v>
      </c>
      <c r="I21">
        <v>1523</v>
      </c>
      <c r="J21">
        <v>4311</v>
      </c>
      <c r="K21">
        <v>360</v>
      </c>
      <c r="L21">
        <v>2910</v>
      </c>
      <c r="M21">
        <v>6907</v>
      </c>
      <c r="N21">
        <v>5805</v>
      </c>
      <c r="O21">
        <v>483</v>
      </c>
      <c r="P21">
        <v>1877</v>
      </c>
      <c r="Q21">
        <v>10819</v>
      </c>
      <c r="R21">
        <v>8093</v>
      </c>
      <c r="S21">
        <v>6531</v>
      </c>
      <c r="T21">
        <v>5769</v>
      </c>
      <c r="U21">
        <v>35556</v>
      </c>
      <c r="V21">
        <v>80487</v>
      </c>
      <c r="W21">
        <v>49192</v>
      </c>
      <c r="X21">
        <v>26835</v>
      </c>
      <c r="Y21">
        <v>4002</v>
      </c>
      <c r="Z21">
        <v>3825</v>
      </c>
      <c r="AA21">
        <v>10575</v>
      </c>
      <c r="AB21">
        <v>23086</v>
      </c>
      <c r="AC21">
        <v>7939</v>
      </c>
      <c r="AD21">
        <v>29078</v>
      </c>
      <c r="AE21">
        <v>5792</v>
      </c>
      <c r="AF21">
        <v>5060</v>
      </c>
      <c r="AG21">
        <v>44213</v>
      </c>
      <c r="AH21">
        <v>77159</v>
      </c>
      <c r="AI21">
        <v>57719</v>
      </c>
      <c r="AJ21">
        <v>48243</v>
      </c>
      <c r="AK21">
        <v>39986</v>
      </c>
      <c r="AL21">
        <v>8378</v>
      </c>
      <c r="AM21">
        <v>15191</v>
      </c>
      <c r="AN21">
        <v>0</v>
      </c>
      <c r="AO21">
        <v>167</v>
      </c>
    </row>
    <row r="22" spans="1:41">
      <c r="A22">
        <v>4</v>
      </c>
      <c r="B22" t="s">
        <v>32</v>
      </c>
      <c r="C22">
        <v>518051</v>
      </c>
      <c r="D22">
        <v>1561</v>
      </c>
      <c r="E22">
        <v>255</v>
      </c>
      <c r="F22">
        <v>4698</v>
      </c>
      <c r="G22">
        <v>560</v>
      </c>
      <c r="H22">
        <v>2171</v>
      </c>
      <c r="I22">
        <v>50</v>
      </c>
      <c r="J22">
        <v>949</v>
      </c>
      <c r="K22">
        <v>725</v>
      </c>
      <c r="L22">
        <v>2611</v>
      </c>
      <c r="M22">
        <v>6994</v>
      </c>
      <c r="N22">
        <v>4880</v>
      </c>
      <c r="O22">
        <v>1318</v>
      </c>
      <c r="P22">
        <v>1398</v>
      </c>
      <c r="Q22">
        <v>34234</v>
      </c>
      <c r="R22">
        <v>4231</v>
      </c>
      <c r="S22">
        <v>4213</v>
      </c>
      <c r="T22">
        <v>3035</v>
      </c>
      <c r="U22">
        <v>31406</v>
      </c>
      <c r="V22">
        <v>60768</v>
      </c>
      <c r="W22">
        <v>30838</v>
      </c>
      <c r="X22">
        <v>18209</v>
      </c>
      <c r="Y22">
        <v>4400</v>
      </c>
      <c r="Z22">
        <v>4442</v>
      </c>
      <c r="AA22">
        <v>17312</v>
      </c>
      <c r="AB22">
        <v>15485</v>
      </c>
      <c r="AC22">
        <v>5240</v>
      </c>
      <c r="AD22">
        <v>36815</v>
      </c>
      <c r="AE22">
        <v>9813</v>
      </c>
      <c r="AF22">
        <v>3816</v>
      </c>
      <c r="AG22">
        <v>27776</v>
      </c>
      <c r="AH22">
        <v>51967</v>
      </c>
      <c r="AI22">
        <v>46988</v>
      </c>
      <c r="AJ22">
        <v>31865</v>
      </c>
      <c r="AK22">
        <v>28609</v>
      </c>
      <c r="AL22">
        <v>7603</v>
      </c>
      <c r="AM22">
        <v>10798</v>
      </c>
      <c r="AN22">
        <v>0</v>
      </c>
      <c r="AO22">
        <v>18</v>
      </c>
    </row>
    <row r="23" spans="1:41">
      <c r="A23">
        <v>5</v>
      </c>
      <c r="B23" t="s">
        <v>34</v>
      </c>
      <c r="C23">
        <v>493032</v>
      </c>
      <c r="D23">
        <v>2130</v>
      </c>
      <c r="E23">
        <v>94</v>
      </c>
      <c r="F23">
        <v>6710</v>
      </c>
      <c r="G23">
        <v>4145</v>
      </c>
      <c r="H23">
        <v>5198</v>
      </c>
      <c r="I23">
        <v>151</v>
      </c>
      <c r="J23">
        <v>2371</v>
      </c>
      <c r="K23">
        <v>1937</v>
      </c>
      <c r="L23">
        <v>2607</v>
      </c>
      <c r="M23">
        <v>2607</v>
      </c>
      <c r="N23">
        <v>774</v>
      </c>
      <c r="O23">
        <v>825</v>
      </c>
      <c r="P23">
        <v>2212</v>
      </c>
      <c r="Q23">
        <v>735</v>
      </c>
      <c r="R23">
        <v>5271</v>
      </c>
      <c r="S23">
        <v>3964</v>
      </c>
      <c r="T23">
        <v>3281</v>
      </c>
      <c r="U23">
        <v>25705</v>
      </c>
      <c r="V23">
        <v>76600</v>
      </c>
      <c r="W23">
        <v>28735</v>
      </c>
      <c r="X23">
        <v>15798</v>
      </c>
      <c r="Y23">
        <v>2837</v>
      </c>
      <c r="Z23">
        <v>2972</v>
      </c>
      <c r="AA23">
        <v>14961</v>
      </c>
      <c r="AB23">
        <v>25568</v>
      </c>
      <c r="AC23">
        <v>4933</v>
      </c>
      <c r="AD23">
        <v>25812</v>
      </c>
      <c r="AE23">
        <v>2091</v>
      </c>
      <c r="AF23">
        <v>4529</v>
      </c>
      <c r="AG23">
        <v>32050</v>
      </c>
      <c r="AH23">
        <v>56722</v>
      </c>
      <c r="AI23">
        <v>44446</v>
      </c>
      <c r="AJ23">
        <v>37070</v>
      </c>
      <c r="AK23">
        <v>32472</v>
      </c>
      <c r="AL23">
        <v>4979</v>
      </c>
      <c r="AM23">
        <v>9711</v>
      </c>
      <c r="AN23">
        <v>0</v>
      </c>
      <c r="AO23">
        <v>29</v>
      </c>
    </row>
    <row r="24" spans="1:41">
      <c r="A24">
        <v>6</v>
      </c>
      <c r="B24" t="s">
        <v>61</v>
      </c>
      <c r="C24">
        <v>449915</v>
      </c>
      <c r="D24">
        <v>8156</v>
      </c>
      <c r="E24">
        <v>242</v>
      </c>
      <c r="F24">
        <v>6338</v>
      </c>
      <c r="G24">
        <v>303</v>
      </c>
      <c r="H24">
        <v>3241</v>
      </c>
      <c r="I24">
        <v>0</v>
      </c>
      <c r="J24">
        <v>2336</v>
      </c>
      <c r="K24">
        <v>1333</v>
      </c>
      <c r="L24">
        <v>1672</v>
      </c>
      <c r="M24">
        <v>3187</v>
      </c>
      <c r="N24">
        <v>2919</v>
      </c>
      <c r="O24">
        <v>1306</v>
      </c>
      <c r="P24">
        <v>1700</v>
      </c>
      <c r="Q24">
        <v>8512</v>
      </c>
      <c r="R24">
        <v>4980</v>
      </c>
      <c r="S24">
        <v>3486</v>
      </c>
      <c r="T24">
        <v>4403</v>
      </c>
      <c r="U24">
        <v>28555</v>
      </c>
      <c r="V24">
        <v>60583</v>
      </c>
      <c r="W24">
        <v>30618</v>
      </c>
      <c r="X24">
        <v>18412</v>
      </c>
      <c r="Y24">
        <v>3126</v>
      </c>
      <c r="Z24">
        <v>4505</v>
      </c>
      <c r="AA24">
        <v>9291</v>
      </c>
      <c r="AB24">
        <v>18962</v>
      </c>
      <c r="AC24">
        <v>5318</v>
      </c>
      <c r="AD24">
        <v>18292</v>
      </c>
      <c r="AE24">
        <v>5138</v>
      </c>
      <c r="AF24">
        <v>3688</v>
      </c>
      <c r="AG24">
        <v>27182</v>
      </c>
      <c r="AH24">
        <v>48309</v>
      </c>
      <c r="AI24">
        <v>37541</v>
      </c>
      <c r="AJ24">
        <v>32247</v>
      </c>
      <c r="AK24">
        <v>29424</v>
      </c>
      <c r="AL24">
        <v>5665</v>
      </c>
      <c r="AM24">
        <v>8912</v>
      </c>
      <c r="AN24">
        <v>0</v>
      </c>
      <c r="AO24">
        <v>33</v>
      </c>
    </row>
    <row r="25" spans="1:41">
      <c r="A25">
        <v>7</v>
      </c>
      <c r="B25" t="s">
        <v>37</v>
      </c>
      <c r="C25">
        <v>355051</v>
      </c>
      <c r="D25">
        <v>786</v>
      </c>
      <c r="E25">
        <v>169</v>
      </c>
      <c r="F25">
        <v>3887</v>
      </c>
      <c r="G25">
        <v>558</v>
      </c>
      <c r="H25">
        <v>961</v>
      </c>
      <c r="I25">
        <v>0</v>
      </c>
      <c r="J25">
        <v>4345</v>
      </c>
      <c r="K25">
        <v>2424</v>
      </c>
      <c r="L25">
        <v>956</v>
      </c>
      <c r="M25">
        <v>1384</v>
      </c>
      <c r="N25">
        <v>1988</v>
      </c>
      <c r="O25">
        <v>1210</v>
      </c>
      <c r="P25">
        <v>698</v>
      </c>
      <c r="Q25">
        <v>2229</v>
      </c>
      <c r="R25">
        <v>3078</v>
      </c>
      <c r="S25">
        <v>1799</v>
      </c>
      <c r="T25">
        <v>2798</v>
      </c>
      <c r="U25">
        <v>20919</v>
      </c>
      <c r="V25">
        <v>52551</v>
      </c>
      <c r="W25">
        <v>17634</v>
      </c>
      <c r="X25">
        <v>26747</v>
      </c>
      <c r="Y25">
        <v>1995</v>
      </c>
      <c r="Z25">
        <v>2020</v>
      </c>
      <c r="AA25">
        <v>10527</v>
      </c>
      <c r="AB25">
        <v>10181</v>
      </c>
      <c r="AC25">
        <v>5810</v>
      </c>
      <c r="AD25">
        <v>13285</v>
      </c>
      <c r="AE25">
        <v>3978</v>
      </c>
      <c r="AF25">
        <v>2931</v>
      </c>
      <c r="AG25">
        <v>24004</v>
      </c>
      <c r="AH25">
        <v>42949</v>
      </c>
      <c r="AI25">
        <v>28194</v>
      </c>
      <c r="AJ25">
        <v>26240</v>
      </c>
      <c r="AK25">
        <v>21326</v>
      </c>
      <c r="AL25">
        <v>5135</v>
      </c>
      <c r="AM25">
        <v>9340</v>
      </c>
      <c r="AN25">
        <v>0</v>
      </c>
      <c r="AO25">
        <v>15</v>
      </c>
    </row>
    <row r="26" spans="1:41">
      <c r="A26">
        <v>8</v>
      </c>
      <c r="B26" t="s">
        <v>39</v>
      </c>
      <c r="C26">
        <v>371294</v>
      </c>
      <c r="D26">
        <v>3188</v>
      </c>
      <c r="E26">
        <v>268</v>
      </c>
      <c r="F26">
        <v>7301</v>
      </c>
      <c r="G26">
        <v>1045</v>
      </c>
      <c r="H26">
        <v>2767</v>
      </c>
      <c r="I26">
        <v>179</v>
      </c>
      <c r="J26">
        <v>551</v>
      </c>
      <c r="K26">
        <v>135</v>
      </c>
      <c r="L26">
        <v>3180</v>
      </c>
      <c r="M26">
        <v>5797</v>
      </c>
      <c r="N26">
        <v>1737</v>
      </c>
      <c r="O26">
        <v>770</v>
      </c>
      <c r="P26">
        <v>2217</v>
      </c>
      <c r="Q26">
        <v>4258</v>
      </c>
      <c r="R26">
        <v>5025</v>
      </c>
      <c r="S26">
        <v>4179</v>
      </c>
      <c r="T26">
        <v>2841</v>
      </c>
      <c r="U26">
        <v>24344</v>
      </c>
      <c r="V26">
        <v>49726</v>
      </c>
      <c r="W26">
        <v>23632</v>
      </c>
      <c r="X26">
        <v>11519</v>
      </c>
      <c r="Y26">
        <v>2834</v>
      </c>
      <c r="Z26">
        <v>3688</v>
      </c>
      <c r="AA26">
        <v>15175</v>
      </c>
      <c r="AB26">
        <v>17486</v>
      </c>
      <c r="AC26">
        <v>3533</v>
      </c>
      <c r="AD26">
        <v>19031</v>
      </c>
      <c r="AE26">
        <v>2718</v>
      </c>
      <c r="AF26">
        <v>3481</v>
      </c>
      <c r="AG26">
        <v>22381</v>
      </c>
      <c r="AH26">
        <v>37942</v>
      </c>
      <c r="AI26">
        <v>30500</v>
      </c>
      <c r="AJ26">
        <v>21932</v>
      </c>
      <c r="AK26">
        <v>22775</v>
      </c>
      <c r="AL26">
        <v>5316</v>
      </c>
      <c r="AM26">
        <v>7832</v>
      </c>
      <c r="AN26">
        <v>0</v>
      </c>
      <c r="AO26">
        <v>11</v>
      </c>
    </row>
    <row r="27" spans="1:41">
      <c r="A27">
        <v>9</v>
      </c>
      <c r="B27" t="s">
        <v>41</v>
      </c>
      <c r="C27">
        <v>309648</v>
      </c>
      <c r="D27">
        <v>2199</v>
      </c>
      <c r="E27">
        <v>223</v>
      </c>
      <c r="F27">
        <v>10873</v>
      </c>
      <c r="G27">
        <v>573</v>
      </c>
      <c r="H27">
        <v>2826</v>
      </c>
      <c r="I27">
        <v>17</v>
      </c>
      <c r="J27">
        <v>946</v>
      </c>
      <c r="K27">
        <v>2601</v>
      </c>
      <c r="L27">
        <v>2065</v>
      </c>
      <c r="M27">
        <v>2956</v>
      </c>
      <c r="N27">
        <v>1396</v>
      </c>
      <c r="O27">
        <v>4802</v>
      </c>
      <c r="P27">
        <v>3903</v>
      </c>
      <c r="Q27">
        <v>4194</v>
      </c>
      <c r="R27">
        <v>3759</v>
      </c>
      <c r="S27">
        <v>1939</v>
      </c>
      <c r="T27">
        <v>2455</v>
      </c>
      <c r="U27">
        <v>17731</v>
      </c>
      <c r="V27">
        <v>48421</v>
      </c>
      <c r="W27">
        <v>19701</v>
      </c>
      <c r="X27">
        <v>14292</v>
      </c>
      <c r="Y27">
        <v>2260</v>
      </c>
      <c r="Z27">
        <v>1660</v>
      </c>
      <c r="AA27">
        <v>4754</v>
      </c>
      <c r="AB27">
        <v>13356</v>
      </c>
      <c r="AC27">
        <v>3034</v>
      </c>
      <c r="AD27">
        <v>10391</v>
      </c>
      <c r="AE27">
        <v>3284</v>
      </c>
      <c r="AF27">
        <v>2495</v>
      </c>
      <c r="AG27">
        <v>18300</v>
      </c>
      <c r="AH27">
        <v>30106</v>
      </c>
      <c r="AI27">
        <v>23117</v>
      </c>
      <c r="AJ27">
        <v>22112</v>
      </c>
      <c r="AK27">
        <v>17201</v>
      </c>
      <c r="AL27">
        <v>2397</v>
      </c>
      <c r="AM27">
        <v>7152</v>
      </c>
      <c r="AN27">
        <v>0</v>
      </c>
      <c r="AO27">
        <v>157</v>
      </c>
    </row>
    <row r="28" spans="1:41">
      <c r="A28">
        <v>10</v>
      </c>
      <c r="B28" t="s">
        <v>43</v>
      </c>
      <c r="C28">
        <v>268645</v>
      </c>
      <c r="D28">
        <v>630</v>
      </c>
      <c r="E28">
        <v>212</v>
      </c>
      <c r="F28">
        <v>2346</v>
      </c>
      <c r="G28">
        <v>611</v>
      </c>
      <c r="H28">
        <v>2333</v>
      </c>
      <c r="I28">
        <v>137</v>
      </c>
      <c r="J28">
        <v>1447</v>
      </c>
      <c r="K28">
        <v>142</v>
      </c>
      <c r="L28">
        <v>1477</v>
      </c>
      <c r="M28">
        <v>5757</v>
      </c>
      <c r="N28">
        <v>10488</v>
      </c>
      <c r="O28">
        <v>6783</v>
      </c>
      <c r="P28">
        <v>6050</v>
      </c>
      <c r="Q28">
        <v>200</v>
      </c>
      <c r="R28">
        <v>5710</v>
      </c>
      <c r="S28">
        <v>3130</v>
      </c>
      <c r="T28">
        <v>1456</v>
      </c>
      <c r="U28">
        <v>14695</v>
      </c>
      <c r="V28">
        <v>29702</v>
      </c>
      <c r="W28">
        <v>10430</v>
      </c>
      <c r="X28">
        <v>8540</v>
      </c>
      <c r="Y28">
        <v>2316</v>
      </c>
      <c r="Z28">
        <v>1536</v>
      </c>
      <c r="AA28">
        <v>7950</v>
      </c>
      <c r="AB28">
        <v>7477</v>
      </c>
      <c r="AC28">
        <v>2656</v>
      </c>
      <c r="AD28">
        <v>11810</v>
      </c>
      <c r="AE28">
        <v>11059</v>
      </c>
      <c r="AF28">
        <v>1426</v>
      </c>
      <c r="AG28">
        <v>11988</v>
      </c>
      <c r="AH28">
        <v>27242</v>
      </c>
      <c r="AI28">
        <v>25900</v>
      </c>
      <c r="AJ28">
        <v>18075</v>
      </c>
      <c r="AK28">
        <v>18611</v>
      </c>
      <c r="AL28">
        <v>3006</v>
      </c>
      <c r="AM28">
        <v>5311</v>
      </c>
      <c r="AN28">
        <v>0</v>
      </c>
      <c r="AO28">
        <v>6</v>
      </c>
    </row>
    <row r="29" spans="1:41">
      <c r="A29">
        <v>11</v>
      </c>
      <c r="B29" t="s">
        <v>45</v>
      </c>
      <c r="C29">
        <v>276161</v>
      </c>
      <c r="D29">
        <v>2303</v>
      </c>
      <c r="E29">
        <v>225</v>
      </c>
      <c r="F29">
        <v>10657</v>
      </c>
      <c r="G29">
        <v>174</v>
      </c>
      <c r="H29">
        <v>2259</v>
      </c>
      <c r="I29">
        <v>0</v>
      </c>
      <c r="J29">
        <v>516</v>
      </c>
      <c r="K29">
        <v>87</v>
      </c>
      <c r="L29">
        <v>2599</v>
      </c>
      <c r="M29">
        <v>1268</v>
      </c>
      <c r="N29">
        <v>1004</v>
      </c>
      <c r="O29">
        <v>478</v>
      </c>
      <c r="P29">
        <v>3310</v>
      </c>
      <c r="Q29">
        <v>5456</v>
      </c>
      <c r="R29">
        <v>2011</v>
      </c>
      <c r="S29">
        <v>1519</v>
      </c>
      <c r="T29">
        <v>1704</v>
      </c>
      <c r="U29">
        <v>17479</v>
      </c>
      <c r="V29">
        <v>33824</v>
      </c>
      <c r="W29">
        <v>18292</v>
      </c>
      <c r="X29">
        <v>8528</v>
      </c>
      <c r="Y29">
        <v>2373</v>
      </c>
      <c r="Z29">
        <v>5009</v>
      </c>
      <c r="AA29">
        <v>9060</v>
      </c>
      <c r="AB29">
        <v>9995</v>
      </c>
      <c r="AC29">
        <v>2336</v>
      </c>
      <c r="AD29">
        <v>11777</v>
      </c>
      <c r="AE29">
        <v>2834</v>
      </c>
      <c r="AF29">
        <v>2460</v>
      </c>
      <c r="AG29">
        <v>13569</v>
      </c>
      <c r="AH29">
        <v>28729</v>
      </c>
      <c r="AI29">
        <v>28449</v>
      </c>
      <c r="AJ29">
        <v>18360</v>
      </c>
      <c r="AK29">
        <v>18233</v>
      </c>
      <c r="AL29">
        <v>3007</v>
      </c>
      <c r="AM29">
        <v>6263</v>
      </c>
      <c r="AN29">
        <v>0</v>
      </c>
      <c r="AO29">
        <v>14</v>
      </c>
    </row>
    <row r="30" spans="1:41">
      <c r="A30">
        <v>12</v>
      </c>
      <c r="B30" t="s">
        <v>47</v>
      </c>
      <c r="C30">
        <v>235679</v>
      </c>
      <c r="D30">
        <v>1050</v>
      </c>
      <c r="E30">
        <v>198</v>
      </c>
      <c r="F30">
        <v>4196</v>
      </c>
      <c r="G30">
        <v>396</v>
      </c>
      <c r="H30">
        <v>2264</v>
      </c>
      <c r="I30">
        <v>210</v>
      </c>
      <c r="J30">
        <v>1873</v>
      </c>
      <c r="K30">
        <v>1639</v>
      </c>
      <c r="L30">
        <v>1252</v>
      </c>
      <c r="M30">
        <v>2374</v>
      </c>
      <c r="N30">
        <v>762</v>
      </c>
      <c r="O30">
        <v>1679</v>
      </c>
      <c r="P30">
        <v>1446</v>
      </c>
      <c r="Q30">
        <v>5032</v>
      </c>
      <c r="R30">
        <v>2478</v>
      </c>
      <c r="S30">
        <v>2023</v>
      </c>
      <c r="T30">
        <v>2199</v>
      </c>
      <c r="U30">
        <v>16120</v>
      </c>
      <c r="V30">
        <v>29491</v>
      </c>
      <c r="W30">
        <v>17296</v>
      </c>
      <c r="X30">
        <v>7227</v>
      </c>
      <c r="Y30">
        <v>773</v>
      </c>
      <c r="Z30">
        <v>1521</v>
      </c>
      <c r="AA30">
        <v>1667</v>
      </c>
      <c r="AB30">
        <v>9761</v>
      </c>
      <c r="AC30">
        <v>2961</v>
      </c>
      <c r="AD30">
        <v>8464</v>
      </c>
      <c r="AE30">
        <v>300</v>
      </c>
      <c r="AF30">
        <v>1326</v>
      </c>
      <c r="AG30">
        <v>12464</v>
      </c>
      <c r="AH30">
        <v>28249</v>
      </c>
      <c r="AI30">
        <v>21971</v>
      </c>
      <c r="AJ30">
        <v>19046</v>
      </c>
      <c r="AK30">
        <v>18104</v>
      </c>
      <c r="AL30">
        <v>2757</v>
      </c>
      <c r="AM30">
        <v>5110</v>
      </c>
      <c r="AN30">
        <v>0</v>
      </c>
      <c r="AO30">
        <v>0</v>
      </c>
    </row>
    <row r="31" spans="1:41">
      <c r="A31">
        <v>13</v>
      </c>
      <c r="B31" t="s">
        <v>63</v>
      </c>
      <c r="C31">
        <v>168549</v>
      </c>
      <c r="D31">
        <v>1580</v>
      </c>
      <c r="E31">
        <v>70</v>
      </c>
      <c r="F31">
        <v>2240</v>
      </c>
      <c r="G31">
        <v>180</v>
      </c>
      <c r="H31">
        <v>391</v>
      </c>
      <c r="I31">
        <v>0</v>
      </c>
      <c r="J31">
        <v>108</v>
      </c>
      <c r="K31">
        <v>65</v>
      </c>
      <c r="L31">
        <v>565</v>
      </c>
      <c r="M31">
        <v>780</v>
      </c>
      <c r="N31">
        <v>539</v>
      </c>
      <c r="O31">
        <v>388</v>
      </c>
      <c r="P31">
        <v>138</v>
      </c>
      <c r="Q31">
        <v>2927</v>
      </c>
      <c r="R31">
        <v>2097</v>
      </c>
      <c r="S31">
        <v>1066</v>
      </c>
      <c r="T31">
        <v>1643</v>
      </c>
      <c r="U31">
        <v>10326</v>
      </c>
      <c r="V31">
        <v>25304</v>
      </c>
      <c r="W31">
        <v>7109</v>
      </c>
      <c r="X31">
        <v>8791</v>
      </c>
      <c r="Y31">
        <v>545</v>
      </c>
      <c r="Z31">
        <v>1045</v>
      </c>
      <c r="AA31">
        <v>1344</v>
      </c>
      <c r="AB31">
        <v>4620</v>
      </c>
      <c r="AC31">
        <v>2557</v>
      </c>
      <c r="AD31">
        <v>6497</v>
      </c>
      <c r="AE31">
        <v>206</v>
      </c>
      <c r="AF31">
        <v>1156</v>
      </c>
      <c r="AG31">
        <v>7910</v>
      </c>
      <c r="AH31">
        <v>24573</v>
      </c>
      <c r="AI31">
        <v>15144</v>
      </c>
      <c r="AJ31">
        <v>14671</v>
      </c>
      <c r="AK31">
        <v>15153</v>
      </c>
      <c r="AL31">
        <v>2658</v>
      </c>
      <c r="AM31">
        <v>4163</v>
      </c>
      <c r="AN31">
        <v>0</v>
      </c>
      <c r="AO31">
        <v>0</v>
      </c>
    </row>
    <row r="32" spans="1:41">
      <c r="A32">
        <v>14</v>
      </c>
      <c r="B32" t="s">
        <v>64</v>
      </c>
      <c r="C32">
        <v>148798</v>
      </c>
      <c r="D32">
        <v>599</v>
      </c>
      <c r="E32">
        <v>38</v>
      </c>
      <c r="F32">
        <v>3189</v>
      </c>
      <c r="G32">
        <v>195</v>
      </c>
      <c r="H32">
        <v>1396</v>
      </c>
      <c r="I32">
        <v>23</v>
      </c>
      <c r="J32">
        <v>741</v>
      </c>
      <c r="K32">
        <v>30</v>
      </c>
      <c r="L32">
        <v>1608</v>
      </c>
      <c r="M32">
        <v>1646</v>
      </c>
      <c r="N32">
        <v>87</v>
      </c>
      <c r="O32">
        <v>569</v>
      </c>
      <c r="P32">
        <v>601</v>
      </c>
      <c r="Q32">
        <v>6919</v>
      </c>
      <c r="R32">
        <v>1622</v>
      </c>
      <c r="S32">
        <v>644</v>
      </c>
      <c r="T32">
        <v>2261</v>
      </c>
      <c r="U32">
        <v>10441</v>
      </c>
      <c r="V32">
        <v>20010</v>
      </c>
      <c r="W32">
        <v>12242</v>
      </c>
      <c r="X32">
        <v>4554</v>
      </c>
      <c r="Y32">
        <v>156</v>
      </c>
      <c r="Z32">
        <v>653</v>
      </c>
      <c r="AA32">
        <v>710</v>
      </c>
      <c r="AB32">
        <v>2662</v>
      </c>
      <c r="AC32">
        <v>1614</v>
      </c>
      <c r="AD32">
        <v>3393</v>
      </c>
      <c r="AE32">
        <v>86</v>
      </c>
      <c r="AF32">
        <v>903</v>
      </c>
      <c r="AG32">
        <v>8948</v>
      </c>
      <c r="AH32">
        <v>16011</v>
      </c>
      <c r="AI32">
        <v>14553</v>
      </c>
      <c r="AJ32">
        <v>12452</v>
      </c>
      <c r="AK32">
        <v>13295</v>
      </c>
      <c r="AL32">
        <v>1341</v>
      </c>
      <c r="AM32">
        <v>2606</v>
      </c>
      <c r="AN32">
        <v>0</v>
      </c>
      <c r="AO32">
        <v>0</v>
      </c>
    </row>
    <row r="33" spans="1:41">
      <c r="A33">
        <v>15</v>
      </c>
      <c r="B33" t="s">
        <v>49</v>
      </c>
      <c r="C33">
        <v>222086</v>
      </c>
      <c r="D33">
        <v>1302</v>
      </c>
      <c r="E33">
        <v>202</v>
      </c>
      <c r="F33">
        <v>1895</v>
      </c>
      <c r="G33">
        <v>74</v>
      </c>
      <c r="H33">
        <v>800</v>
      </c>
      <c r="I33">
        <v>0</v>
      </c>
      <c r="J33">
        <v>242</v>
      </c>
      <c r="K33">
        <v>285</v>
      </c>
      <c r="L33">
        <v>391</v>
      </c>
      <c r="M33">
        <v>938</v>
      </c>
      <c r="N33">
        <v>1282</v>
      </c>
      <c r="O33">
        <v>465</v>
      </c>
      <c r="P33">
        <v>380</v>
      </c>
      <c r="Q33">
        <v>75</v>
      </c>
      <c r="R33">
        <v>1817</v>
      </c>
      <c r="S33">
        <v>1665</v>
      </c>
      <c r="T33">
        <v>1928</v>
      </c>
      <c r="U33">
        <v>12349</v>
      </c>
      <c r="V33">
        <v>30199</v>
      </c>
      <c r="W33">
        <v>10113</v>
      </c>
      <c r="X33">
        <v>10301</v>
      </c>
      <c r="Y33">
        <v>2153</v>
      </c>
      <c r="Z33">
        <v>2373</v>
      </c>
      <c r="AA33">
        <v>5905</v>
      </c>
      <c r="AB33">
        <v>7440</v>
      </c>
      <c r="AC33">
        <v>2887</v>
      </c>
      <c r="AD33">
        <v>8366</v>
      </c>
      <c r="AE33">
        <v>6507</v>
      </c>
      <c r="AF33">
        <v>1968</v>
      </c>
      <c r="AG33">
        <v>12421</v>
      </c>
      <c r="AH33">
        <v>34298</v>
      </c>
      <c r="AI33">
        <v>22017</v>
      </c>
      <c r="AJ33">
        <v>14673</v>
      </c>
      <c r="AK33">
        <v>15007</v>
      </c>
      <c r="AL33">
        <v>3077</v>
      </c>
      <c r="AM33">
        <v>6215</v>
      </c>
      <c r="AN33">
        <v>0</v>
      </c>
      <c r="AO33">
        <v>76</v>
      </c>
    </row>
    <row r="34" spans="1:41">
      <c r="A34">
        <v>16</v>
      </c>
      <c r="B34" t="s">
        <v>65</v>
      </c>
      <c r="C34">
        <v>167856</v>
      </c>
      <c r="D34">
        <v>5037</v>
      </c>
      <c r="E34">
        <v>338</v>
      </c>
      <c r="F34">
        <v>5552</v>
      </c>
      <c r="G34">
        <v>248</v>
      </c>
      <c r="H34">
        <v>1088</v>
      </c>
      <c r="I34">
        <v>0</v>
      </c>
      <c r="J34">
        <v>1312</v>
      </c>
      <c r="K34">
        <v>177</v>
      </c>
      <c r="L34">
        <v>2680</v>
      </c>
      <c r="M34">
        <v>1250</v>
      </c>
      <c r="N34">
        <v>44</v>
      </c>
      <c r="O34">
        <v>144</v>
      </c>
      <c r="P34">
        <v>343</v>
      </c>
      <c r="Q34">
        <v>427</v>
      </c>
      <c r="R34">
        <v>1546</v>
      </c>
      <c r="S34">
        <v>849</v>
      </c>
      <c r="T34">
        <v>1301</v>
      </c>
      <c r="U34">
        <v>11448</v>
      </c>
      <c r="V34">
        <v>29754</v>
      </c>
      <c r="W34">
        <v>13085</v>
      </c>
      <c r="X34">
        <v>7280</v>
      </c>
      <c r="Y34">
        <v>631</v>
      </c>
      <c r="Z34">
        <v>694</v>
      </c>
      <c r="AA34">
        <v>597</v>
      </c>
      <c r="AB34">
        <v>4198</v>
      </c>
      <c r="AC34">
        <v>1726</v>
      </c>
      <c r="AD34">
        <v>4859</v>
      </c>
      <c r="AE34">
        <v>902</v>
      </c>
      <c r="AF34">
        <v>1081</v>
      </c>
      <c r="AG34">
        <v>7147</v>
      </c>
      <c r="AH34">
        <v>17437</v>
      </c>
      <c r="AI34">
        <v>15346</v>
      </c>
      <c r="AJ34">
        <v>12836</v>
      </c>
      <c r="AK34">
        <v>10504</v>
      </c>
      <c r="AL34">
        <v>1719</v>
      </c>
      <c r="AM34">
        <v>4276</v>
      </c>
      <c r="AN34">
        <v>0</v>
      </c>
      <c r="AO34">
        <v>0</v>
      </c>
    </row>
    <row r="35" spans="1:41">
      <c r="A35">
        <v>6</v>
      </c>
      <c r="B35" t="s">
        <v>465</v>
      </c>
      <c r="C35">
        <v>370498</v>
      </c>
      <c r="D35">
        <v>782</v>
      </c>
      <c r="E35">
        <v>198</v>
      </c>
      <c r="F35">
        <v>4147</v>
      </c>
      <c r="G35">
        <v>565</v>
      </c>
      <c r="H35">
        <v>999</v>
      </c>
      <c r="I35">
        <v>0</v>
      </c>
      <c r="J35">
        <v>4347</v>
      </c>
      <c r="K35">
        <v>2424</v>
      </c>
      <c r="L35">
        <v>962</v>
      </c>
      <c r="M35">
        <v>1413</v>
      </c>
      <c r="N35">
        <v>1991</v>
      </c>
      <c r="O35">
        <v>1212</v>
      </c>
      <c r="P35">
        <v>708</v>
      </c>
      <c r="Q35">
        <v>2230</v>
      </c>
      <c r="R35">
        <v>3136</v>
      </c>
      <c r="S35">
        <v>1866</v>
      </c>
      <c r="T35">
        <v>2865</v>
      </c>
      <c r="U35">
        <v>21836</v>
      </c>
      <c r="V35">
        <v>54450</v>
      </c>
      <c r="W35">
        <v>18590</v>
      </c>
      <c r="X35">
        <v>28948</v>
      </c>
      <c r="Y35">
        <v>2013</v>
      </c>
      <c r="Z35">
        <v>2045</v>
      </c>
      <c r="AA35">
        <v>10549</v>
      </c>
      <c r="AB35">
        <v>10510</v>
      </c>
      <c r="AC35">
        <v>6194</v>
      </c>
      <c r="AD35">
        <v>13605</v>
      </c>
      <c r="AE35">
        <v>3982</v>
      </c>
      <c r="AF35">
        <v>2816</v>
      </c>
      <c r="AG35">
        <v>24765</v>
      </c>
      <c r="AH35">
        <v>45149</v>
      </c>
      <c r="AI35">
        <v>29779</v>
      </c>
      <c r="AJ35">
        <v>27835</v>
      </c>
      <c r="AK35">
        <v>22478</v>
      </c>
      <c r="AL35">
        <v>5465</v>
      </c>
      <c r="AM35">
        <v>9629</v>
      </c>
      <c r="AN35">
        <v>0</v>
      </c>
      <c r="AO35">
        <v>15</v>
      </c>
    </row>
    <row r="36" spans="1:41">
      <c r="A36">
        <v>13</v>
      </c>
      <c r="B36" t="s">
        <v>466</v>
      </c>
      <c r="C36">
        <v>723000</v>
      </c>
      <c r="D36">
        <v>4585</v>
      </c>
      <c r="E36">
        <v>598</v>
      </c>
      <c r="F36">
        <v>10047</v>
      </c>
      <c r="G36">
        <v>865</v>
      </c>
      <c r="H36">
        <v>2938</v>
      </c>
      <c r="I36">
        <v>1536</v>
      </c>
      <c r="J36">
        <v>4944</v>
      </c>
      <c r="K36">
        <v>394</v>
      </c>
      <c r="L36">
        <v>3676</v>
      </c>
      <c r="M36">
        <v>7778</v>
      </c>
      <c r="N36">
        <v>6308</v>
      </c>
      <c r="O36">
        <v>632</v>
      </c>
      <c r="P36">
        <v>1935</v>
      </c>
      <c r="Q36">
        <v>10863</v>
      </c>
      <c r="R36">
        <v>9772</v>
      </c>
      <c r="S36">
        <v>6883</v>
      </c>
      <c r="T36">
        <v>6496</v>
      </c>
      <c r="U36">
        <v>41519</v>
      </c>
      <c r="V36">
        <v>93485</v>
      </c>
      <c r="W36">
        <v>55837</v>
      </c>
      <c r="X36">
        <v>30933</v>
      </c>
      <c r="Y36">
        <v>4609</v>
      </c>
      <c r="Z36">
        <v>3912</v>
      </c>
      <c r="AA36">
        <v>11101</v>
      </c>
      <c r="AB36">
        <v>24568</v>
      </c>
      <c r="AC36">
        <v>8518</v>
      </c>
      <c r="AD36">
        <v>33308</v>
      </c>
      <c r="AE36">
        <v>8533</v>
      </c>
      <c r="AF36">
        <v>5416</v>
      </c>
      <c r="AG36">
        <v>47530</v>
      </c>
      <c r="AH36">
        <v>83858</v>
      </c>
      <c r="AI36">
        <v>63684</v>
      </c>
      <c r="AJ36">
        <v>53437</v>
      </c>
      <c r="AK36">
        <v>46037</v>
      </c>
      <c r="AL36">
        <v>9368</v>
      </c>
      <c r="AM36">
        <v>16930</v>
      </c>
      <c r="AN36">
        <v>0</v>
      </c>
      <c r="AO36">
        <v>167</v>
      </c>
    </row>
    <row r="37" spans="1:41">
      <c r="A37">
        <v>31</v>
      </c>
      <c r="B37" t="s">
        <v>467</v>
      </c>
      <c r="C37">
        <v>527905</v>
      </c>
      <c r="D37">
        <v>1549</v>
      </c>
      <c r="E37">
        <v>357</v>
      </c>
      <c r="F37">
        <v>5592</v>
      </c>
      <c r="G37">
        <v>567</v>
      </c>
      <c r="H37">
        <v>2447</v>
      </c>
      <c r="I37">
        <v>51</v>
      </c>
      <c r="J37">
        <v>1165</v>
      </c>
      <c r="K37">
        <v>725</v>
      </c>
      <c r="L37">
        <v>2578</v>
      </c>
      <c r="M37">
        <v>6419</v>
      </c>
      <c r="N37">
        <v>5376</v>
      </c>
      <c r="O37">
        <v>1219</v>
      </c>
      <c r="P37">
        <v>1491</v>
      </c>
      <c r="Q37">
        <v>34420</v>
      </c>
      <c r="R37">
        <v>4096</v>
      </c>
      <c r="S37">
        <v>4401</v>
      </c>
      <c r="T37">
        <v>3108</v>
      </c>
      <c r="U37">
        <v>31921</v>
      </c>
      <c r="V37">
        <v>62193</v>
      </c>
      <c r="W37">
        <v>30983</v>
      </c>
      <c r="X37">
        <v>18880</v>
      </c>
      <c r="Y37">
        <v>4428</v>
      </c>
      <c r="Z37">
        <v>4488</v>
      </c>
      <c r="AA37">
        <v>17291</v>
      </c>
      <c r="AB37">
        <v>15722</v>
      </c>
      <c r="AC37">
        <v>5249</v>
      </c>
      <c r="AD37">
        <v>36632</v>
      </c>
      <c r="AE37">
        <v>9790</v>
      </c>
      <c r="AF37">
        <v>3856</v>
      </c>
      <c r="AG37">
        <v>27911</v>
      </c>
      <c r="AH37">
        <v>53438</v>
      </c>
      <c r="AI37">
        <v>47285</v>
      </c>
      <c r="AJ37">
        <v>33609</v>
      </c>
      <c r="AK37">
        <v>30022</v>
      </c>
      <c r="AL37">
        <v>7696</v>
      </c>
      <c r="AM37">
        <v>10932</v>
      </c>
      <c r="AN37">
        <v>0</v>
      </c>
      <c r="AO37">
        <v>18</v>
      </c>
    </row>
    <row r="38" spans="1:41">
      <c r="A38">
        <v>33</v>
      </c>
      <c r="B38" t="s">
        <v>116</v>
      </c>
      <c r="C38">
        <v>540232</v>
      </c>
      <c r="D38">
        <v>19361</v>
      </c>
      <c r="E38">
        <v>399</v>
      </c>
      <c r="F38">
        <v>8362</v>
      </c>
      <c r="G38">
        <v>386</v>
      </c>
      <c r="H38">
        <v>4891</v>
      </c>
      <c r="I38">
        <v>0</v>
      </c>
      <c r="J38">
        <v>2409</v>
      </c>
      <c r="K38">
        <v>1981</v>
      </c>
      <c r="L38">
        <v>2427</v>
      </c>
      <c r="M38">
        <v>3927</v>
      </c>
      <c r="N38">
        <v>3016</v>
      </c>
      <c r="O38">
        <v>1518</v>
      </c>
      <c r="P38">
        <v>2037</v>
      </c>
      <c r="Q38">
        <v>8859</v>
      </c>
      <c r="R38">
        <v>5798</v>
      </c>
      <c r="S38">
        <v>5337</v>
      </c>
      <c r="T38">
        <v>5435</v>
      </c>
      <c r="U38">
        <v>33727</v>
      </c>
      <c r="V38">
        <v>75122</v>
      </c>
      <c r="W38">
        <v>33725</v>
      </c>
      <c r="X38">
        <v>21909</v>
      </c>
      <c r="Y38">
        <v>3397</v>
      </c>
      <c r="Z38">
        <v>4566</v>
      </c>
      <c r="AA38">
        <v>9623</v>
      </c>
      <c r="AB38">
        <v>20797</v>
      </c>
      <c r="AC38">
        <v>5879</v>
      </c>
      <c r="AD38">
        <v>20899</v>
      </c>
      <c r="AE38">
        <v>5270</v>
      </c>
      <c r="AF38">
        <v>4076</v>
      </c>
      <c r="AG38">
        <v>29285</v>
      </c>
      <c r="AH38">
        <v>55598</v>
      </c>
      <c r="AI38">
        <v>44710</v>
      </c>
      <c r="AJ38">
        <v>39791</v>
      </c>
      <c r="AK38">
        <v>38590</v>
      </c>
      <c r="AL38">
        <v>6636</v>
      </c>
      <c r="AM38">
        <v>10456</v>
      </c>
      <c r="AN38">
        <v>0</v>
      </c>
      <c r="AO38">
        <v>33</v>
      </c>
    </row>
    <row r="39" spans="1:41">
      <c r="A39">
        <v>34</v>
      </c>
      <c r="B39" t="s">
        <v>468</v>
      </c>
      <c r="C39">
        <v>344358</v>
      </c>
      <c r="D39">
        <v>4064</v>
      </c>
      <c r="E39">
        <v>400</v>
      </c>
      <c r="F39">
        <v>4560</v>
      </c>
      <c r="G39">
        <v>203</v>
      </c>
      <c r="H39">
        <v>1315</v>
      </c>
      <c r="I39">
        <v>0</v>
      </c>
      <c r="J39">
        <v>1077</v>
      </c>
      <c r="K39">
        <v>335</v>
      </c>
      <c r="L39">
        <v>1288</v>
      </c>
      <c r="M39">
        <v>2032</v>
      </c>
      <c r="N39">
        <v>1371</v>
      </c>
      <c r="O39">
        <v>575</v>
      </c>
      <c r="P39">
        <v>1734</v>
      </c>
      <c r="Q39">
        <v>289</v>
      </c>
      <c r="R39">
        <v>2623</v>
      </c>
      <c r="S39">
        <v>2267</v>
      </c>
      <c r="T39">
        <v>3448</v>
      </c>
      <c r="U39">
        <v>20566</v>
      </c>
      <c r="V39">
        <v>51431</v>
      </c>
      <c r="W39">
        <v>16776</v>
      </c>
      <c r="X39">
        <v>16924</v>
      </c>
      <c r="Y39">
        <v>2482</v>
      </c>
      <c r="Z39">
        <v>2519</v>
      </c>
      <c r="AA39">
        <v>6137</v>
      </c>
      <c r="AB39">
        <v>10567</v>
      </c>
      <c r="AC39">
        <v>4297</v>
      </c>
      <c r="AD39">
        <v>11537</v>
      </c>
      <c r="AE39">
        <v>6568</v>
      </c>
      <c r="AF39">
        <v>2623</v>
      </c>
      <c r="AG39">
        <v>16344</v>
      </c>
      <c r="AH39">
        <v>50108</v>
      </c>
      <c r="AI39">
        <v>32503</v>
      </c>
      <c r="AJ39">
        <v>24602</v>
      </c>
      <c r="AK39">
        <v>26600</v>
      </c>
      <c r="AL39">
        <v>4628</v>
      </c>
      <c r="AM39">
        <v>9489</v>
      </c>
      <c r="AN39">
        <v>0</v>
      </c>
      <c r="AO39">
        <v>76</v>
      </c>
    </row>
    <row r="40" spans="1:41">
      <c r="A40">
        <v>35</v>
      </c>
      <c r="B40" t="s">
        <v>469</v>
      </c>
      <c r="C40">
        <v>379836</v>
      </c>
      <c r="D40">
        <v>4118</v>
      </c>
      <c r="E40">
        <v>432</v>
      </c>
      <c r="F40">
        <v>18029</v>
      </c>
      <c r="G40">
        <v>1035</v>
      </c>
      <c r="H40">
        <v>3588</v>
      </c>
      <c r="I40">
        <v>0</v>
      </c>
      <c r="J40">
        <v>2292</v>
      </c>
      <c r="K40">
        <v>446</v>
      </c>
      <c r="L40">
        <v>5721</v>
      </c>
      <c r="M40">
        <v>2859</v>
      </c>
      <c r="N40">
        <v>3678</v>
      </c>
      <c r="O40">
        <v>549</v>
      </c>
      <c r="P40">
        <v>3892</v>
      </c>
      <c r="Q40">
        <v>6299</v>
      </c>
      <c r="R40">
        <v>4225</v>
      </c>
      <c r="S40">
        <v>1741</v>
      </c>
      <c r="T40">
        <v>2727</v>
      </c>
      <c r="U40">
        <v>24585</v>
      </c>
      <c r="V40">
        <v>49029</v>
      </c>
      <c r="W40">
        <v>24226</v>
      </c>
      <c r="X40">
        <v>12746</v>
      </c>
      <c r="Y40">
        <v>2508</v>
      </c>
      <c r="Z40">
        <v>5076</v>
      </c>
      <c r="AA40">
        <v>9261</v>
      </c>
      <c r="AB40">
        <v>11884</v>
      </c>
      <c r="AC40">
        <v>2956</v>
      </c>
      <c r="AD40">
        <v>14533</v>
      </c>
      <c r="AE40">
        <v>3309</v>
      </c>
      <c r="AF40">
        <v>3002</v>
      </c>
      <c r="AG40">
        <v>17034</v>
      </c>
      <c r="AH40">
        <v>35150</v>
      </c>
      <c r="AI40">
        <v>36749</v>
      </c>
      <c r="AJ40">
        <v>25517</v>
      </c>
      <c r="AK40">
        <v>28704</v>
      </c>
      <c r="AL40">
        <v>3831</v>
      </c>
      <c r="AM40">
        <v>8091</v>
      </c>
      <c r="AN40">
        <v>0</v>
      </c>
      <c r="AO40">
        <v>14</v>
      </c>
    </row>
    <row r="41" spans="1:41">
      <c r="A41">
        <v>38</v>
      </c>
      <c r="B41" t="s">
        <v>470</v>
      </c>
      <c r="C41">
        <v>418806</v>
      </c>
      <c r="D41">
        <v>1690</v>
      </c>
      <c r="E41">
        <v>466</v>
      </c>
      <c r="F41">
        <v>6897</v>
      </c>
      <c r="G41">
        <v>2612</v>
      </c>
      <c r="H41">
        <v>4138</v>
      </c>
      <c r="I41">
        <v>137</v>
      </c>
      <c r="J41">
        <v>3690</v>
      </c>
      <c r="K41">
        <v>962</v>
      </c>
      <c r="L41">
        <v>5524</v>
      </c>
      <c r="M41">
        <v>10282</v>
      </c>
      <c r="N41">
        <v>11547</v>
      </c>
      <c r="O41">
        <v>8790</v>
      </c>
      <c r="P41">
        <v>8236</v>
      </c>
      <c r="Q41">
        <v>895</v>
      </c>
      <c r="R41">
        <v>8376</v>
      </c>
      <c r="S41">
        <v>5170</v>
      </c>
      <c r="T41">
        <v>3066</v>
      </c>
      <c r="U41">
        <v>27273</v>
      </c>
      <c r="V41">
        <v>53276</v>
      </c>
      <c r="W41">
        <v>22648</v>
      </c>
      <c r="X41">
        <v>15151</v>
      </c>
      <c r="Y41">
        <v>2579</v>
      </c>
      <c r="Z41">
        <v>1946</v>
      </c>
      <c r="AA41">
        <v>8373</v>
      </c>
      <c r="AB41">
        <v>10523</v>
      </c>
      <c r="AC41">
        <v>3779</v>
      </c>
      <c r="AD41">
        <v>16341</v>
      </c>
      <c r="AE41">
        <v>11141</v>
      </c>
      <c r="AF41">
        <v>2223</v>
      </c>
      <c r="AG41">
        <v>17938</v>
      </c>
      <c r="AH41">
        <v>37469</v>
      </c>
      <c r="AI41">
        <v>38104</v>
      </c>
      <c r="AJ41">
        <v>25162</v>
      </c>
      <c r="AK41">
        <v>30210</v>
      </c>
      <c r="AL41">
        <v>4195</v>
      </c>
      <c r="AM41">
        <v>7991</v>
      </c>
      <c r="AN41">
        <v>0</v>
      </c>
      <c r="AO41">
        <v>6</v>
      </c>
    </row>
    <row r="42" spans="1:41">
      <c r="A42">
        <v>44</v>
      </c>
      <c r="B42" t="s">
        <v>471</v>
      </c>
      <c r="C42">
        <v>500438</v>
      </c>
      <c r="D42">
        <v>5064</v>
      </c>
      <c r="E42">
        <v>495</v>
      </c>
      <c r="F42">
        <v>12354</v>
      </c>
      <c r="G42">
        <v>1593</v>
      </c>
      <c r="H42">
        <v>3711</v>
      </c>
      <c r="I42">
        <v>884</v>
      </c>
      <c r="J42">
        <v>804</v>
      </c>
      <c r="K42">
        <v>247</v>
      </c>
      <c r="L42">
        <v>5348</v>
      </c>
      <c r="M42">
        <v>10380</v>
      </c>
      <c r="N42">
        <v>1875</v>
      </c>
      <c r="O42">
        <v>1039</v>
      </c>
      <c r="P42">
        <v>5799</v>
      </c>
      <c r="Q42">
        <v>12112</v>
      </c>
      <c r="R42">
        <v>7585</v>
      </c>
      <c r="S42">
        <v>4587</v>
      </c>
      <c r="T42">
        <v>3829</v>
      </c>
      <c r="U42">
        <v>34905</v>
      </c>
      <c r="V42">
        <v>67881</v>
      </c>
      <c r="W42">
        <v>30722</v>
      </c>
      <c r="X42">
        <v>16807</v>
      </c>
      <c r="Y42">
        <v>3068</v>
      </c>
      <c r="Z42">
        <v>3987</v>
      </c>
      <c r="AA42">
        <v>15405</v>
      </c>
      <c r="AB42">
        <v>19795</v>
      </c>
      <c r="AC42">
        <v>4436</v>
      </c>
      <c r="AD42">
        <v>22571</v>
      </c>
      <c r="AE42">
        <v>2835</v>
      </c>
      <c r="AF42">
        <v>4096</v>
      </c>
      <c r="AG42">
        <v>27896</v>
      </c>
      <c r="AH42">
        <v>46868</v>
      </c>
      <c r="AI42">
        <v>39872</v>
      </c>
      <c r="AJ42">
        <v>30344</v>
      </c>
      <c r="AK42">
        <v>34156</v>
      </c>
      <c r="AL42">
        <v>6811</v>
      </c>
      <c r="AM42">
        <v>10266</v>
      </c>
      <c r="AN42">
        <v>0</v>
      </c>
      <c r="AO42">
        <v>11</v>
      </c>
    </row>
    <row r="43" spans="1:41">
      <c r="A43">
        <v>59</v>
      </c>
      <c r="B43" t="s">
        <v>472</v>
      </c>
      <c r="C43">
        <v>889318</v>
      </c>
      <c r="D43">
        <v>6034</v>
      </c>
      <c r="E43">
        <v>528</v>
      </c>
      <c r="F43">
        <v>16506</v>
      </c>
      <c r="G43">
        <v>7603</v>
      </c>
      <c r="H43">
        <v>7153</v>
      </c>
      <c r="I43">
        <v>437</v>
      </c>
      <c r="J43">
        <v>5073</v>
      </c>
      <c r="K43">
        <v>3200</v>
      </c>
      <c r="L43">
        <v>7623</v>
      </c>
      <c r="M43">
        <v>22078</v>
      </c>
      <c r="N43">
        <v>999</v>
      </c>
      <c r="O43">
        <v>2094</v>
      </c>
      <c r="P43">
        <v>6455</v>
      </c>
      <c r="Q43">
        <v>21681</v>
      </c>
      <c r="R43">
        <v>13725</v>
      </c>
      <c r="S43">
        <v>8055</v>
      </c>
      <c r="T43">
        <v>7422</v>
      </c>
      <c r="U43">
        <v>49952</v>
      </c>
      <c r="V43">
        <v>124455</v>
      </c>
      <c r="W43">
        <v>50086</v>
      </c>
      <c r="X43">
        <v>26333</v>
      </c>
      <c r="Y43">
        <v>3453</v>
      </c>
      <c r="Z43">
        <v>3778</v>
      </c>
      <c r="AA43">
        <v>15827</v>
      </c>
      <c r="AB43">
        <v>32489</v>
      </c>
      <c r="AC43">
        <v>8074</v>
      </c>
      <c r="AD43">
        <v>36327</v>
      </c>
      <c r="AE43">
        <v>2444</v>
      </c>
      <c r="AF43">
        <v>6468</v>
      </c>
      <c r="AG43">
        <v>45045</v>
      </c>
      <c r="AH43">
        <v>95809</v>
      </c>
      <c r="AI43">
        <v>84948</v>
      </c>
      <c r="AJ43">
        <v>67397</v>
      </c>
      <c r="AK43">
        <v>75040</v>
      </c>
      <c r="AL43">
        <v>8260</v>
      </c>
      <c r="AM43">
        <v>16438</v>
      </c>
      <c r="AN43">
        <v>0</v>
      </c>
      <c r="AO43">
        <v>29</v>
      </c>
    </row>
    <row r="44" spans="1:41">
      <c r="A44">
        <v>62</v>
      </c>
      <c r="B44" t="s">
        <v>478</v>
      </c>
      <c r="C44">
        <v>413696</v>
      </c>
      <c r="D44">
        <v>5072</v>
      </c>
      <c r="E44">
        <v>577</v>
      </c>
      <c r="F44">
        <v>17423</v>
      </c>
      <c r="G44">
        <v>1625</v>
      </c>
      <c r="H44">
        <v>4967</v>
      </c>
      <c r="I44">
        <v>5</v>
      </c>
      <c r="J44">
        <v>2268</v>
      </c>
      <c r="K44">
        <v>231</v>
      </c>
      <c r="L44">
        <v>12287</v>
      </c>
      <c r="M44">
        <v>5518</v>
      </c>
      <c r="N44">
        <v>1290</v>
      </c>
      <c r="O44">
        <v>2428</v>
      </c>
      <c r="P44">
        <v>1801</v>
      </c>
      <c r="Q44">
        <v>6860</v>
      </c>
      <c r="R44">
        <v>4262</v>
      </c>
      <c r="S44">
        <v>1428</v>
      </c>
      <c r="T44">
        <v>5244</v>
      </c>
      <c r="U44">
        <v>28092</v>
      </c>
      <c r="V44">
        <v>56762</v>
      </c>
      <c r="W44">
        <v>27312</v>
      </c>
      <c r="X44">
        <v>13719</v>
      </c>
      <c r="Y44">
        <v>576</v>
      </c>
      <c r="Z44">
        <v>1165</v>
      </c>
      <c r="AA44">
        <v>1090</v>
      </c>
      <c r="AB44">
        <v>9422</v>
      </c>
      <c r="AC44">
        <v>3627</v>
      </c>
      <c r="AD44">
        <v>9280</v>
      </c>
      <c r="AE44">
        <v>251</v>
      </c>
      <c r="AF44">
        <v>2054</v>
      </c>
      <c r="AG44">
        <v>19123</v>
      </c>
      <c r="AH44">
        <v>49813</v>
      </c>
      <c r="AI44">
        <v>38718</v>
      </c>
      <c r="AJ44">
        <v>31752</v>
      </c>
      <c r="AK44">
        <v>36862</v>
      </c>
      <c r="AL44">
        <v>4122</v>
      </c>
      <c r="AM44">
        <v>6664</v>
      </c>
      <c r="AN44">
        <v>0</v>
      </c>
      <c r="AO44">
        <v>6</v>
      </c>
    </row>
    <row r="45" spans="1:41">
      <c r="A45">
        <v>67</v>
      </c>
      <c r="B45" t="s">
        <v>473</v>
      </c>
      <c r="C45">
        <v>409236</v>
      </c>
      <c r="D45">
        <v>3360</v>
      </c>
      <c r="E45">
        <v>393</v>
      </c>
      <c r="F45">
        <v>16098</v>
      </c>
      <c r="G45">
        <v>1347</v>
      </c>
      <c r="H45">
        <v>4412</v>
      </c>
      <c r="I45">
        <v>17</v>
      </c>
      <c r="J45">
        <v>2106</v>
      </c>
      <c r="K45">
        <v>2878</v>
      </c>
      <c r="L45">
        <v>5059</v>
      </c>
      <c r="M45">
        <v>7610</v>
      </c>
      <c r="N45">
        <v>2425</v>
      </c>
      <c r="O45">
        <v>8306</v>
      </c>
      <c r="P45">
        <v>6760</v>
      </c>
      <c r="Q45">
        <v>8566</v>
      </c>
      <c r="R45">
        <v>6160</v>
      </c>
      <c r="S45">
        <v>2240</v>
      </c>
      <c r="T45">
        <v>3079</v>
      </c>
      <c r="U45">
        <v>25620</v>
      </c>
      <c r="V45">
        <v>62950</v>
      </c>
      <c r="W45">
        <v>23680</v>
      </c>
      <c r="X45">
        <v>17938</v>
      </c>
      <c r="Y45">
        <v>2463</v>
      </c>
      <c r="Z45">
        <v>1715</v>
      </c>
      <c r="AA45">
        <v>5030</v>
      </c>
      <c r="AB45">
        <v>15084</v>
      </c>
      <c r="AC45">
        <v>3345</v>
      </c>
      <c r="AD45">
        <v>12415</v>
      </c>
      <c r="AE45">
        <v>3354</v>
      </c>
      <c r="AF45">
        <v>2980</v>
      </c>
      <c r="AG45">
        <v>20851</v>
      </c>
      <c r="AH45">
        <v>35858</v>
      </c>
      <c r="AI45">
        <v>29436</v>
      </c>
      <c r="AJ45">
        <v>30044</v>
      </c>
      <c r="AK45">
        <v>23345</v>
      </c>
      <c r="AL45">
        <v>2997</v>
      </c>
      <c r="AM45">
        <v>9151</v>
      </c>
      <c r="AN45">
        <v>0</v>
      </c>
      <c r="AO45">
        <v>164</v>
      </c>
    </row>
    <row r="46" spans="1:41">
      <c r="A46">
        <v>69</v>
      </c>
      <c r="B46" t="s">
        <v>474</v>
      </c>
      <c r="C46">
        <v>787946</v>
      </c>
      <c r="D46">
        <v>2273</v>
      </c>
      <c r="E46">
        <v>258</v>
      </c>
      <c r="F46">
        <v>9237</v>
      </c>
      <c r="G46">
        <v>3955</v>
      </c>
      <c r="H46">
        <v>4080</v>
      </c>
      <c r="I46">
        <v>1009</v>
      </c>
      <c r="J46">
        <v>9414</v>
      </c>
      <c r="K46">
        <v>9232</v>
      </c>
      <c r="L46">
        <v>6071</v>
      </c>
      <c r="M46">
        <v>11549</v>
      </c>
      <c r="N46">
        <v>1633</v>
      </c>
      <c r="O46">
        <v>5039</v>
      </c>
      <c r="P46">
        <v>9900</v>
      </c>
      <c r="Q46">
        <v>9177</v>
      </c>
      <c r="R46">
        <v>12792</v>
      </c>
      <c r="S46">
        <v>8399</v>
      </c>
      <c r="T46">
        <v>5471</v>
      </c>
      <c r="U46">
        <v>47009</v>
      </c>
      <c r="V46">
        <v>103197</v>
      </c>
      <c r="W46">
        <v>52107</v>
      </c>
      <c r="X46">
        <v>31755</v>
      </c>
      <c r="Y46">
        <v>6248</v>
      </c>
      <c r="Z46">
        <v>5405</v>
      </c>
      <c r="AA46">
        <v>23424</v>
      </c>
      <c r="AB46">
        <v>30053</v>
      </c>
      <c r="AC46">
        <v>9527</v>
      </c>
      <c r="AD46">
        <v>45801</v>
      </c>
      <c r="AE46">
        <v>7834</v>
      </c>
      <c r="AF46">
        <v>8251</v>
      </c>
      <c r="AG46">
        <v>51454</v>
      </c>
      <c r="AH46">
        <v>70095</v>
      </c>
      <c r="AI46">
        <v>66570</v>
      </c>
      <c r="AJ46">
        <v>50510</v>
      </c>
      <c r="AK46">
        <v>43373</v>
      </c>
      <c r="AL46">
        <v>9023</v>
      </c>
      <c r="AM46">
        <v>16224</v>
      </c>
      <c r="AN46">
        <v>0</v>
      </c>
      <c r="AO46">
        <v>597</v>
      </c>
    </row>
    <row r="47" spans="1:41">
      <c r="A47">
        <v>76</v>
      </c>
      <c r="B47" t="s">
        <v>475</v>
      </c>
      <c r="C47">
        <v>437826</v>
      </c>
      <c r="D47">
        <v>3193</v>
      </c>
      <c r="E47">
        <v>252</v>
      </c>
      <c r="F47">
        <v>10458</v>
      </c>
      <c r="G47">
        <v>824</v>
      </c>
      <c r="H47">
        <v>3103</v>
      </c>
      <c r="I47">
        <v>2550</v>
      </c>
      <c r="J47">
        <v>6849</v>
      </c>
      <c r="K47">
        <v>2313</v>
      </c>
      <c r="L47">
        <v>7902</v>
      </c>
      <c r="M47">
        <v>7358</v>
      </c>
      <c r="N47">
        <v>1291</v>
      </c>
      <c r="O47">
        <v>1914</v>
      </c>
      <c r="P47">
        <v>4315</v>
      </c>
      <c r="Q47">
        <v>10574</v>
      </c>
      <c r="R47">
        <v>8060</v>
      </c>
      <c r="S47">
        <v>6078</v>
      </c>
      <c r="T47">
        <v>4331</v>
      </c>
      <c r="U47">
        <v>30003</v>
      </c>
      <c r="V47">
        <v>51651</v>
      </c>
      <c r="W47">
        <v>35972</v>
      </c>
      <c r="X47">
        <v>12761</v>
      </c>
      <c r="Y47">
        <v>1087</v>
      </c>
      <c r="Z47">
        <v>1912</v>
      </c>
      <c r="AA47">
        <v>2095</v>
      </c>
      <c r="AB47">
        <v>14464</v>
      </c>
      <c r="AC47">
        <v>4793</v>
      </c>
      <c r="AD47">
        <v>14412</v>
      </c>
      <c r="AE47">
        <v>320</v>
      </c>
      <c r="AF47">
        <v>2008</v>
      </c>
      <c r="AG47">
        <v>21631</v>
      </c>
      <c r="AH47">
        <v>45297</v>
      </c>
      <c r="AI47">
        <v>38305</v>
      </c>
      <c r="AJ47">
        <v>30796</v>
      </c>
      <c r="AK47">
        <v>35059</v>
      </c>
      <c r="AL47">
        <v>5524</v>
      </c>
      <c r="AM47">
        <v>8371</v>
      </c>
      <c r="AN47">
        <v>0</v>
      </c>
      <c r="AO47">
        <v>0</v>
      </c>
    </row>
    <row r="48" spans="1:41">
      <c r="A48">
        <v>83</v>
      </c>
      <c r="B48" t="s">
        <v>476</v>
      </c>
      <c r="C48">
        <v>269274</v>
      </c>
      <c r="D48">
        <v>3656</v>
      </c>
      <c r="E48">
        <v>275</v>
      </c>
      <c r="F48">
        <v>4484</v>
      </c>
      <c r="G48">
        <v>302</v>
      </c>
      <c r="H48">
        <v>743</v>
      </c>
      <c r="I48">
        <v>0</v>
      </c>
      <c r="J48">
        <v>487</v>
      </c>
      <c r="K48">
        <v>301</v>
      </c>
      <c r="L48">
        <v>673</v>
      </c>
      <c r="M48">
        <v>1321</v>
      </c>
      <c r="N48">
        <v>497</v>
      </c>
      <c r="O48">
        <v>460</v>
      </c>
      <c r="P48">
        <v>234</v>
      </c>
      <c r="Q48">
        <v>3297</v>
      </c>
      <c r="R48">
        <v>2354</v>
      </c>
      <c r="S48">
        <v>1383</v>
      </c>
      <c r="T48">
        <v>3011</v>
      </c>
      <c r="U48">
        <v>19723</v>
      </c>
      <c r="V48">
        <v>44914</v>
      </c>
      <c r="W48">
        <v>12081</v>
      </c>
      <c r="X48">
        <v>16488</v>
      </c>
      <c r="Y48">
        <v>586</v>
      </c>
      <c r="Z48">
        <v>1343</v>
      </c>
      <c r="AA48">
        <v>1180</v>
      </c>
      <c r="AB48">
        <v>8215</v>
      </c>
      <c r="AC48">
        <v>4361</v>
      </c>
      <c r="AD48">
        <v>8173</v>
      </c>
      <c r="AE48">
        <v>216</v>
      </c>
      <c r="AF48">
        <v>1862</v>
      </c>
      <c r="AG48">
        <v>12216</v>
      </c>
      <c r="AH48">
        <v>35645</v>
      </c>
      <c r="AI48">
        <v>23624</v>
      </c>
      <c r="AJ48">
        <v>21038</v>
      </c>
      <c r="AK48">
        <v>22954</v>
      </c>
      <c r="AL48">
        <v>3983</v>
      </c>
      <c r="AM48">
        <v>7194</v>
      </c>
      <c r="AN48">
        <v>0</v>
      </c>
      <c r="AO48">
        <v>0</v>
      </c>
    </row>
    <row r="49" spans="1:41">
      <c r="A49">
        <v>84</v>
      </c>
      <c r="B49" t="s">
        <v>477</v>
      </c>
      <c r="C49">
        <v>177907</v>
      </c>
      <c r="D49">
        <v>5067</v>
      </c>
      <c r="E49">
        <v>339</v>
      </c>
      <c r="F49">
        <v>5785</v>
      </c>
      <c r="G49">
        <v>245</v>
      </c>
      <c r="H49">
        <v>1007</v>
      </c>
      <c r="I49">
        <v>0</v>
      </c>
      <c r="J49">
        <v>1201</v>
      </c>
      <c r="K49">
        <v>110</v>
      </c>
      <c r="L49">
        <v>2562</v>
      </c>
      <c r="M49">
        <v>1494</v>
      </c>
      <c r="N49">
        <v>211</v>
      </c>
      <c r="O49">
        <v>263</v>
      </c>
      <c r="P49">
        <v>865</v>
      </c>
      <c r="Q49">
        <v>582</v>
      </c>
      <c r="R49">
        <v>2041</v>
      </c>
      <c r="S49">
        <v>857</v>
      </c>
      <c r="T49">
        <v>2120</v>
      </c>
      <c r="U49">
        <v>12166</v>
      </c>
      <c r="V49">
        <v>31264</v>
      </c>
      <c r="W49">
        <v>11610</v>
      </c>
      <c r="X49">
        <v>7668</v>
      </c>
      <c r="Y49">
        <v>660</v>
      </c>
      <c r="Z49">
        <v>673</v>
      </c>
      <c r="AA49">
        <v>612</v>
      </c>
      <c r="AB49">
        <v>4619</v>
      </c>
      <c r="AC49">
        <v>1794</v>
      </c>
      <c r="AD49">
        <v>5166</v>
      </c>
      <c r="AE49">
        <v>876</v>
      </c>
      <c r="AF49">
        <v>1078</v>
      </c>
      <c r="AG49">
        <v>7809</v>
      </c>
      <c r="AH49">
        <v>18226</v>
      </c>
      <c r="AI49">
        <v>16686</v>
      </c>
      <c r="AJ49">
        <v>14358</v>
      </c>
      <c r="AK49">
        <v>11539</v>
      </c>
      <c r="AL49">
        <v>1797</v>
      </c>
      <c r="AM49">
        <v>4557</v>
      </c>
      <c r="AN49">
        <v>0</v>
      </c>
      <c r="AO49">
        <v>0</v>
      </c>
    </row>
    <row r="50" spans="1:41">
      <c r="A50">
        <v>72</v>
      </c>
      <c r="B50" t="s">
        <v>74</v>
      </c>
      <c r="C50">
        <v>1073632</v>
      </c>
      <c r="D50">
        <v>30417</v>
      </c>
      <c r="E50">
        <v>2219</v>
      </c>
      <c r="F50">
        <v>31076</v>
      </c>
      <c r="G50">
        <v>3474</v>
      </c>
      <c r="H50">
        <v>13374</v>
      </c>
      <c r="I50">
        <v>17</v>
      </c>
      <c r="J50">
        <v>6545</v>
      </c>
      <c r="K50">
        <v>4139</v>
      </c>
      <c r="L50">
        <v>8198</v>
      </c>
      <c r="M50">
        <v>13002</v>
      </c>
      <c r="N50">
        <v>4402</v>
      </c>
      <c r="O50">
        <v>2221</v>
      </c>
      <c r="P50">
        <v>5123</v>
      </c>
      <c r="Q50">
        <v>17815</v>
      </c>
      <c r="R50">
        <v>11425</v>
      </c>
      <c r="S50">
        <v>8239</v>
      </c>
      <c r="T50">
        <v>10717</v>
      </c>
      <c r="U50">
        <v>71507</v>
      </c>
      <c r="V50">
        <v>156193</v>
      </c>
      <c r="W50">
        <v>61114</v>
      </c>
      <c r="X50">
        <v>43041</v>
      </c>
      <c r="Y50">
        <v>5118</v>
      </c>
      <c r="Z50">
        <v>5906</v>
      </c>
      <c r="AA50">
        <v>11818</v>
      </c>
      <c r="AB50">
        <v>34141</v>
      </c>
      <c r="AC50">
        <v>10249</v>
      </c>
      <c r="AD50">
        <v>35521</v>
      </c>
      <c r="AE50">
        <v>8208</v>
      </c>
      <c r="AF50">
        <v>6335</v>
      </c>
      <c r="AG50">
        <v>49225</v>
      </c>
      <c r="AH50">
        <v>111844</v>
      </c>
      <c r="AI50">
        <v>86676</v>
      </c>
      <c r="AJ50">
        <v>80049</v>
      </c>
      <c r="AK50">
        <v>89927</v>
      </c>
      <c r="AL50">
        <v>13902</v>
      </c>
      <c r="AM50">
        <v>20412</v>
      </c>
      <c r="AN50">
        <v>0</v>
      </c>
      <c r="AO50">
        <v>43</v>
      </c>
    </row>
    <row r="51" spans="1:41">
      <c r="A51">
        <v>243300316</v>
      </c>
      <c r="B51" t="s">
        <v>70</v>
      </c>
      <c r="C51">
        <v>355885</v>
      </c>
      <c r="D51">
        <v>931</v>
      </c>
      <c r="E51">
        <v>86</v>
      </c>
      <c r="F51">
        <v>3576</v>
      </c>
      <c r="G51">
        <v>275</v>
      </c>
      <c r="H51">
        <v>1452</v>
      </c>
      <c r="I51">
        <v>0</v>
      </c>
      <c r="J51">
        <v>2024</v>
      </c>
      <c r="K51">
        <v>1242</v>
      </c>
      <c r="L51">
        <v>621</v>
      </c>
      <c r="M51">
        <v>1804</v>
      </c>
      <c r="N51">
        <v>2795</v>
      </c>
      <c r="O51">
        <v>1217</v>
      </c>
      <c r="P51">
        <v>691</v>
      </c>
      <c r="Q51">
        <v>7833</v>
      </c>
      <c r="R51">
        <v>3518</v>
      </c>
      <c r="S51">
        <v>3153</v>
      </c>
      <c r="T51">
        <v>3083</v>
      </c>
      <c r="U51">
        <v>19386</v>
      </c>
      <c r="V51">
        <v>44795</v>
      </c>
      <c r="W51">
        <v>23012</v>
      </c>
      <c r="X51">
        <v>15095</v>
      </c>
      <c r="Y51">
        <v>2961</v>
      </c>
      <c r="Z51">
        <v>4263</v>
      </c>
      <c r="AA51">
        <v>8707</v>
      </c>
      <c r="AB51">
        <v>17314</v>
      </c>
      <c r="AC51">
        <v>4719</v>
      </c>
      <c r="AD51">
        <v>15703</v>
      </c>
      <c r="AE51">
        <v>3523</v>
      </c>
      <c r="AF51">
        <v>3099</v>
      </c>
      <c r="AG51">
        <v>21768</v>
      </c>
      <c r="AH51">
        <v>41869</v>
      </c>
      <c r="AI51">
        <v>30962</v>
      </c>
      <c r="AJ51">
        <v>29132</v>
      </c>
      <c r="AK51">
        <v>23056</v>
      </c>
      <c r="AL51">
        <v>4707</v>
      </c>
      <c r="AM51">
        <v>7480</v>
      </c>
      <c r="AN51">
        <v>0</v>
      </c>
      <c r="AO51">
        <v>33</v>
      </c>
    </row>
    <row r="52" spans="1:41">
      <c r="A52" t="s">
        <v>705</v>
      </c>
      <c r="B52" s="23" t="s">
        <v>1538</v>
      </c>
      <c r="C52">
        <v>22155170</v>
      </c>
      <c r="D52">
        <v>248122</v>
      </c>
      <c r="E52">
        <v>22327</v>
      </c>
      <c r="F52">
        <v>545693</v>
      </c>
      <c r="G52">
        <v>103016</v>
      </c>
      <c r="H52">
        <v>184922</v>
      </c>
      <c r="I52">
        <v>8769</v>
      </c>
      <c r="J52">
        <v>142996</v>
      </c>
      <c r="K52">
        <v>78917</v>
      </c>
      <c r="L52">
        <v>265575</v>
      </c>
      <c r="M52">
        <v>383859</v>
      </c>
      <c r="N52">
        <v>130870</v>
      </c>
      <c r="O52">
        <v>113454</v>
      </c>
      <c r="P52">
        <v>179134</v>
      </c>
      <c r="Q52">
        <v>359779</v>
      </c>
      <c r="R52">
        <v>265718</v>
      </c>
      <c r="S52">
        <v>179112</v>
      </c>
      <c r="T52">
        <v>185157</v>
      </c>
      <c r="U52">
        <v>1367626</v>
      </c>
      <c r="V52">
        <v>3000308</v>
      </c>
      <c r="W52">
        <v>1330440</v>
      </c>
      <c r="X52">
        <v>930287</v>
      </c>
      <c r="Y52">
        <v>198794</v>
      </c>
      <c r="Z52">
        <v>120042</v>
      </c>
      <c r="AA52">
        <v>378046</v>
      </c>
      <c r="AB52">
        <v>834505</v>
      </c>
      <c r="AC52">
        <v>230023</v>
      </c>
      <c r="AD52">
        <v>935187</v>
      </c>
      <c r="AE52">
        <v>162005</v>
      </c>
      <c r="AF52">
        <v>185835</v>
      </c>
      <c r="AG52">
        <v>1161606</v>
      </c>
      <c r="AH52">
        <v>2265673</v>
      </c>
      <c r="AI52">
        <v>1814144</v>
      </c>
      <c r="AJ52">
        <v>1510923</v>
      </c>
      <c r="AK52">
        <v>1553082</v>
      </c>
      <c r="AL52">
        <v>290016</v>
      </c>
      <c r="AM52">
        <v>483977</v>
      </c>
      <c r="AN52">
        <v>0</v>
      </c>
      <c r="AO52">
        <v>5231</v>
      </c>
    </row>
    <row r="53" spans="1:41">
      <c r="A53" s="734" t="s">
        <v>1849</v>
      </c>
      <c r="B53" s="734" t="s">
        <v>1837</v>
      </c>
      <c r="C53" s="734">
        <v>1060978</v>
      </c>
      <c r="D53" s="734">
        <v>15021</v>
      </c>
      <c r="E53" s="734">
        <v>1019</v>
      </c>
      <c r="F53" s="734">
        <v>35181</v>
      </c>
      <c r="G53" s="734">
        <v>4140</v>
      </c>
      <c r="H53" s="734">
        <v>11295</v>
      </c>
      <c r="I53" s="734">
        <v>2550</v>
      </c>
      <c r="J53" s="734">
        <v>14937</v>
      </c>
      <c r="K53" s="734">
        <v>8666</v>
      </c>
      <c r="L53" s="734">
        <v>19298</v>
      </c>
      <c r="M53" s="734">
        <v>21142</v>
      </c>
      <c r="N53" s="734">
        <v>5005</v>
      </c>
      <c r="O53" s="734">
        <v>6994</v>
      </c>
      <c r="P53" s="734">
        <v>10088</v>
      </c>
      <c r="Q53" s="734">
        <v>24947</v>
      </c>
      <c r="R53" s="734">
        <v>15205</v>
      </c>
      <c r="S53" s="734">
        <v>10351</v>
      </c>
      <c r="T53" s="734">
        <v>9341</v>
      </c>
      <c r="U53" s="734">
        <v>73345</v>
      </c>
      <c r="V53" s="734">
        <v>133201</v>
      </c>
      <c r="W53" s="734">
        <v>66954</v>
      </c>
      <c r="X53" s="734">
        <v>34808</v>
      </c>
      <c r="Y53" s="734">
        <v>3120</v>
      </c>
      <c r="Z53" s="734">
        <v>3660</v>
      </c>
      <c r="AA53" s="734">
        <v>4767</v>
      </c>
      <c r="AB53" s="734">
        <v>29462</v>
      </c>
      <c r="AC53" s="734">
        <v>9734</v>
      </c>
      <c r="AD53" s="734">
        <v>33308</v>
      </c>
      <c r="AE53" s="734">
        <v>2398</v>
      </c>
      <c r="AF53" s="734">
        <v>5378</v>
      </c>
      <c r="AG53" s="734">
        <v>43353</v>
      </c>
      <c r="AH53" s="734">
        <v>108417</v>
      </c>
      <c r="AI53" s="734">
        <v>90360</v>
      </c>
      <c r="AJ53" s="734">
        <v>76899</v>
      </c>
      <c r="AK53" s="734">
        <v>91238</v>
      </c>
      <c r="AL53" s="734">
        <v>13355</v>
      </c>
      <c r="AM53" s="734">
        <v>22017</v>
      </c>
      <c r="AN53" s="734">
        <v>0</v>
      </c>
      <c r="AO53" s="734">
        <v>24</v>
      </c>
    </row>
    <row r="54" spans="1:41">
      <c r="A54" s="734" t="s">
        <v>1850</v>
      </c>
      <c r="B54" s="734" t="s">
        <v>1836</v>
      </c>
      <c r="C54" s="734">
        <v>1856779</v>
      </c>
      <c r="D54" s="734">
        <v>21444</v>
      </c>
      <c r="E54" s="734">
        <v>1629</v>
      </c>
      <c r="F54" s="734">
        <v>50067</v>
      </c>
      <c r="G54" s="734">
        <v>12581</v>
      </c>
      <c r="H54" s="734">
        <v>17088</v>
      </c>
      <c r="I54" s="734">
        <v>595</v>
      </c>
      <c r="J54" s="734">
        <v>18094</v>
      </c>
      <c r="K54" s="734">
        <v>5412</v>
      </c>
      <c r="L54" s="734">
        <v>34709</v>
      </c>
      <c r="M54" s="734">
        <v>43753</v>
      </c>
      <c r="N54" s="734">
        <v>3547</v>
      </c>
      <c r="O54" s="734">
        <v>8791</v>
      </c>
      <c r="P54" s="734">
        <v>14917</v>
      </c>
      <c r="Q54" s="734">
        <v>36180</v>
      </c>
      <c r="R54" s="734">
        <v>25174</v>
      </c>
      <c r="S54" s="734">
        <v>11651</v>
      </c>
      <c r="T54" s="734">
        <v>18162</v>
      </c>
      <c r="U54" s="734">
        <v>110444</v>
      </c>
      <c r="V54" s="734">
        <v>255889</v>
      </c>
      <c r="W54" s="734">
        <v>112329</v>
      </c>
      <c r="X54" s="734">
        <v>56962</v>
      </c>
      <c r="Y54" s="734">
        <v>5810</v>
      </c>
      <c r="Z54" s="734">
        <v>6453</v>
      </c>
      <c r="AA54" s="734">
        <v>18842</v>
      </c>
      <c r="AB54" s="734">
        <v>54614</v>
      </c>
      <c r="AC54" s="734">
        <v>16713</v>
      </c>
      <c r="AD54" s="734">
        <v>58282</v>
      </c>
      <c r="AE54" s="734">
        <v>4466</v>
      </c>
      <c r="AF54" s="734">
        <v>11007</v>
      </c>
      <c r="AG54" s="734">
        <v>88433</v>
      </c>
      <c r="AH54" s="734">
        <v>207355</v>
      </c>
      <c r="AI54" s="734">
        <v>172419</v>
      </c>
      <c r="AJ54" s="734">
        <v>146667</v>
      </c>
      <c r="AK54" s="734">
        <v>153876</v>
      </c>
      <c r="AL54" s="734">
        <v>18619</v>
      </c>
      <c r="AM54" s="734">
        <v>33748</v>
      </c>
      <c r="AN54" s="734">
        <v>0</v>
      </c>
      <c r="AO54" s="734">
        <v>57</v>
      </c>
    </row>
    <row r="55" spans="1:41">
      <c r="A55" s="734" t="s">
        <v>492</v>
      </c>
      <c r="B55" s="734" t="s">
        <v>1835</v>
      </c>
      <c r="C55" s="734">
        <v>1749344</v>
      </c>
      <c r="D55" s="734">
        <v>26045</v>
      </c>
      <c r="E55" s="734">
        <v>2193</v>
      </c>
      <c r="F55" s="734">
        <v>55913</v>
      </c>
      <c r="G55" s="734">
        <v>11078</v>
      </c>
      <c r="H55" s="734">
        <v>23991</v>
      </c>
      <c r="I55" s="734">
        <v>23</v>
      </c>
      <c r="J55" s="734">
        <v>10798</v>
      </c>
      <c r="K55" s="734">
        <v>5908</v>
      </c>
      <c r="L55" s="734">
        <v>28434</v>
      </c>
      <c r="M55" s="734">
        <v>52624</v>
      </c>
      <c r="N55" s="734">
        <v>6693</v>
      </c>
      <c r="O55" s="734">
        <v>15651</v>
      </c>
      <c r="P55" s="734">
        <v>25711</v>
      </c>
      <c r="Q55" s="734">
        <v>34141</v>
      </c>
      <c r="R55" s="734">
        <v>24544</v>
      </c>
      <c r="S55" s="734">
        <v>16838</v>
      </c>
      <c r="T55" s="734">
        <v>14567</v>
      </c>
      <c r="U55" s="734">
        <v>110479</v>
      </c>
      <c r="V55" s="734">
        <v>246411</v>
      </c>
      <c r="W55" s="734">
        <v>99969</v>
      </c>
      <c r="X55" s="734">
        <v>65917</v>
      </c>
      <c r="Y55" s="734">
        <v>7546</v>
      </c>
      <c r="Z55" s="734">
        <v>6908</v>
      </c>
      <c r="AA55" s="734">
        <v>9791</v>
      </c>
      <c r="AB55" s="734">
        <v>49813</v>
      </c>
      <c r="AC55" s="734">
        <v>13921</v>
      </c>
      <c r="AD55" s="734">
        <v>47635</v>
      </c>
      <c r="AE55" s="734">
        <v>7945</v>
      </c>
      <c r="AF55" s="734">
        <v>9665</v>
      </c>
      <c r="AG55" s="734">
        <v>74140</v>
      </c>
      <c r="AH55" s="734">
        <v>177464</v>
      </c>
      <c r="AI55" s="734">
        <v>140896</v>
      </c>
      <c r="AJ55" s="734">
        <v>140298</v>
      </c>
      <c r="AK55" s="734">
        <v>131880</v>
      </c>
      <c r="AL55" s="734">
        <v>15133</v>
      </c>
      <c r="AM55" s="734">
        <v>38170</v>
      </c>
      <c r="AN55" s="734">
        <v>0</v>
      </c>
      <c r="AO55" s="734">
        <v>211</v>
      </c>
    </row>
    <row r="56" spans="1:41">
      <c r="A56" s="734" t="s">
        <v>1162</v>
      </c>
      <c r="B56" s="734" t="s">
        <v>790</v>
      </c>
      <c r="C56" s="734">
        <v>1254938</v>
      </c>
      <c r="D56" s="734">
        <v>22288</v>
      </c>
      <c r="E56" s="734">
        <v>1592</v>
      </c>
      <c r="F56" s="734">
        <v>57051</v>
      </c>
      <c r="G56" s="734">
        <v>10257</v>
      </c>
      <c r="H56" s="734">
        <v>15141</v>
      </c>
      <c r="I56" s="734">
        <v>1051</v>
      </c>
      <c r="J56" s="734">
        <v>2853</v>
      </c>
      <c r="K56" s="734">
        <v>1804</v>
      </c>
      <c r="L56" s="734">
        <v>24160</v>
      </c>
      <c r="M56" s="734">
        <v>32513</v>
      </c>
      <c r="N56" s="734">
        <v>7810</v>
      </c>
      <c r="O56" s="734">
        <v>7686</v>
      </c>
      <c r="P56" s="734">
        <v>17517</v>
      </c>
      <c r="Q56" s="734">
        <v>27652</v>
      </c>
      <c r="R56" s="734">
        <v>18670</v>
      </c>
      <c r="S56" s="734">
        <v>6907</v>
      </c>
      <c r="T56" s="734">
        <v>9641</v>
      </c>
      <c r="U56" s="734">
        <v>90532</v>
      </c>
      <c r="V56" s="734">
        <v>169797</v>
      </c>
      <c r="W56" s="734">
        <v>67413</v>
      </c>
      <c r="X56" s="734">
        <v>38361</v>
      </c>
      <c r="Y56" s="734">
        <v>4861</v>
      </c>
      <c r="Z56" s="734">
        <v>5679</v>
      </c>
      <c r="AA56" s="734">
        <v>19435</v>
      </c>
      <c r="AB56" s="734">
        <v>45455</v>
      </c>
      <c r="AC56" s="734">
        <v>9448</v>
      </c>
      <c r="AD56" s="734">
        <v>42803</v>
      </c>
      <c r="AE56" s="734">
        <v>4095</v>
      </c>
      <c r="AF56" s="734">
        <v>7458</v>
      </c>
      <c r="AG56" s="734">
        <v>59274</v>
      </c>
      <c r="AH56" s="734">
        <v>112382</v>
      </c>
      <c r="AI56" s="734">
        <v>98921</v>
      </c>
      <c r="AJ56" s="734">
        <v>79964</v>
      </c>
      <c r="AK56" s="734">
        <v>93772</v>
      </c>
      <c r="AL56" s="734">
        <v>14149</v>
      </c>
      <c r="AM56" s="734">
        <v>26535</v>
      </c>
      <c r="AN56" s="734">
        <v>0</v>
      </c>
      <c r="AO56" s="734">
        <v>11</v>
      </c>
    </row>
    <row r="57" spans="1:41">
      <c r="A57" s="734" t="s">
        <v>1163</v>
      </c>
      <c r="B57" s="734" t="s">
        <v>788</v>
      </c>
      <c r="C57" s="734">
        <v>1041620</v>
      </c>
      <c r="D57" s="734">
        <v>21580</v>
      </c>
      <c r="E57" s="734">
        <v>1316</v>
      </c>
      <c r="F57" s="734">
        <v>67964</v>
      </c>
      <c r="G57" s="734">
        <v>2902</v>
      </c>
      <c r="H57" s="734">
        <v>8761</v>
      </c>
      <c r="I57" s="734">
        <v>20</v>
      </c>
      <c r="J57" s="734">
        <v>6407</v>
      </c>
      <c r="K57" s="734">
        <v>1063</v>
      </c>
      <c r="L57" s="734">
        <v>13302</v>
      </c>
      <c r="M57" s="734">
        <v>11736</v>
      </c>
      <c r="N57" s="734">
        <v>7794</v>
      </c>
      <c r="O57" s="734">
        <v>2268</v>
      </c>
      <c r="P57" s="734">
        <v>7791</v>
      </c>
      <c r="Q57" s="734">
        <v>10006</v>
      </c>
      <c r="R57" s="734">
        <v>13843</v>
      </c>
      <c r="S57" s="734">
        <v>4382</v>
      </c>
      <c r="T57" s="734">
        <v>8051</v>
      </c>
      <c r="U57" s="734">
        <v>69702</v>
      </c>
      <c r="V57" s="734">
        <v>143630</v>
      </c>
      <c r="W57" s="734">
        <v>56980</v>
      </c>
      <c r="X57" s="734">
        <v>36458</v>
      </c>
      <c r="Y57" s="734">
        <v>5479</v>
      </c>
      <c r="Z57" s="734">
        <v>8655</v>
      </c>
      <c r="AA57" s="734">
        <v>12512</v>
      </c>
      <c r="AB57" s="734">
        <v>31554</v>
      </c>
      <c r="AC57" s="734">
        <v>7511</v>
      </c>
      <c r="AD57" s="734">
        <v>32499</v>
      </c>
      <c r="AE57" s="734">
        <v>5097</v>
      </c>
      <c r="AF57" s="734">
        <v>6357</v>
      </c>
      <c r="AG57" s="734">
        <v>43166</v>
      </c>
      <c r="AH57" s="734">
        <v>98576</v>
      </c>
      <c r="AI57" s="734">
        <v>93733</v>
      </c>
      <c r="AJ57" s="734">
        <v>79387</v>
      </c>
      <c r="AK57" s="734">
        <v>87778</v>
      </c>
      <c r="AL57" s="734">
        <v>10522</v>
      </c>
      <c r="AM57" s="734">
        <v>22823</v>
      </c>
      <c r="AN57" s="734">
        <v>0</v>
      </c>
      <c r="AO57" s="734">
        <v>15</v>
      </c>
    </row>
    <row r="58" spans="1:41">
      <c r="A58" s="734" t="s">
        <v>1851</v>
      </c>
      <c r="B58" s="734" t="s">
        <v>1838</v>
      </c>
      <c r="C58" s="734">
        <v>1851263</v>
      </c>
      <c r="D58" s="734">
        <v>48460</v>
      </c>
      <c r="E58" s="734">
        <v>3855</v>
      </c>
      <c r="F58" s="734">
        <v>54064</v>
      </c>
      <c r="G58" s="734">
        <v>7946</v>
      </c>
      <c r="H58" s="734">
        <v>28333</v>
      </c>
      <c r="I58" s="734">
        <v>115</v>
      </c>
      <c r="J58" s="734">
        <v>9302</v>
      </c>
      <c r="K58" s="734">
        <v>4733</v>
      </c>
      <c r="L58" s="734">
        <v>17687</v>
      </c>
      <c r="M58" s="734">
        <v>25877</v>
      </c>
      <c r="N58" s="734">
        <v>6715</v>
      </c>
      <c r="O58" s="734">
        <v>11742</v>
      </c>
      <c r="P58" s="734">
        <v>11872</v>
      </c>
      <c r="Q58" s="734">
        <v>28871</v>
      </c>
      <c r="R58" s="734">
        <v>22132</v>
      </c>
      <c r="S58" s="734">
        <v>13746</v>
      </c>
      <c r="T58" s="734">
        <v>18247</v>
      </c>
      <c r="U58" s="734">
        <v>121434</v>
      </c>
      <c r="V58" s="734">
        <v>262209</v>
      </c>
      <c r="W58" s="734">
        <v>102415</v>
      </c>
      <c r="X58" s="734">
        <v>68150</v>
      </c>
      <c r="Y58" s="734">
        <v>7953</v>
      </c>
      <c r="Z58" s="734">
        <v>8211</v>
      </c>
      <c r="AA58" s="734">
        <v>15153</v>
      </c>
      <c r="AB58" s="734">
        <v>64932</v>
      </c>
      <c r="AC58" s="734">
        <v>15735</v>
      </c>
      <c r="AD58" s="734">
        <v>53953</v>
      </c>
      <c r="AE58" s="734">
        <v>9761</v>
      </c>
      <c r="AF58" s="734">
        <v>11291</v>
      </c>
      <c r="AG58" s="734">
        <v>79207</v>
      </c>
      <c r="AH58" s="734">
        <v>199487</v>
      </c>
      <c r="AI58" s="734">
        <v>148992</v>
      </c>
      <c r="AJ58" s="734">
        <v>142652</v>
      </c>
      <c r="AK58" s="734">
        <v>166688</v>
      </c>
      <c r="AL58" s="734">
        <v>22937</v>
      </c>
      <c r="AM58" s="734">
        <v>36362</v>
      </c>
      <c r="AN58" s="734">
        <v>0</v>
      </c>
      <c r="AO58" s="734">
        <v>44</v>
      </c>
    </row>
    <row r="59" spans="1:41">
      <c r="A59" s="734" t="s">
        <v>497</v>
      </c>
      <c r="B59" s="734" t="s">
        <v>1839</v>
      </c>
      <c r="C59" s="734">
        <v>1764639</v>
      </c>
      <c r="D59" s="734">
        <v>25077</v>
      </c>
      <c r="E59" s="734">
        <v>2792</v>
      </c>
      <c r="F59" s="734">
        <v>40675</v>
      </c>
      <c r="G59" s="734">
        <v>5039</v>
      </c>
      <c r="H59" s="734">
        <v>10978</v>
      </c>
      <c r="I59" s="734">
        <v>54</v>
      </c>
      <c r="J59" s="734">
        <v>7134</v>
      </c>
      <c r="K59" s="734">
        <v>2655</v>
      </c>
      <c r="L59" s="734">
        <v>13641</v>
      </c>
      <c r="M59" s="734">
        <v>24588</v>
      </c>
      <c r="N59" s="734">
        <v>8226</v>
      </c>
      <c r="O59" s="734">
        <v>5201</v>
      </c>
      <c r="P59" s="734">
        <v>7591</v>
      </c>
      <c r="Q59" s="734">
        <v>42557</v>
      </c>
      <c r="R59" s="734">
        <v>14154</v>
      </c>
      <c r="S59" s="734">
        <v>12697</v>
      </c>
      <c r="T59" s="734">
        <v>15773</v>
      </c>
      <c r="U59" s="734">
        <v>112579</v>
      </c>
      <c r="V59" s="734">
        <v>246832</v>
      </c>
      <c r="W59" s="734">
        <v>91588</v>
      </c>
      <c r="X59" s="734">
        <v>70199</v>
      </c>
      <c r="Y59" s="734">
        <v>9539</v>
      </c>
      <c r="Z59" s="734">
        <v>9442</v>
      </c>
      <c r="AA59" s="734">
        <v>26454</v>
      </c>
      <c r="AB59" s="734">
        <v>49308</v>
      </c>
      <c r="AC59" s="734">
        <v>16376</v>
      </c>
      <c r="AD59" s="734">
        <v>73151</v>
      </c>
      <c r="AE59" s="734">
        <v>20192</v>
      </c>
      <c r="AF59" s="734">
        <v>10638</v>
      </c>
      <c r="AG59" s="734">
        <v>71921</v>
      </c>
      <c r="AH59" s="734">
        <v>210207</v>
      </c>
      <c r="AI59" s="734">
        <v>155913</v>
      </c>
      <c r="AJ59" s="734">
        <v>132893</v>
      </c>
      <c r="AK59" s="734">
        <v>153137</v>
      </c>
      <c r="AL59" s="734">
        <v>23162</v>
      </c>
      <c r="AM59" s="734">
        <v>42177</v>
      </c>
      <c r="AN59" s="734">
        <v>0</v>
      </c>
      <c r="AO59" s="734">
        <v>99</v>
      </c>
    </row>
    <row r="60" spans="1:41">
      <c r="A60" s="734" t="s">
        <v>499</v>
      </c>
      <c r="B60" s="734" t="s">
        <v>1834</v>
      </c>
      <c r="C60" s="734">
        <v>2719008</v>
      </c>
      <c r="D60" s="734">
        <v>17817</v>
      </c>
      <c r="E60" s="734">
        <v>2488</v>
      </c>
      <c r="F60" s="734">
        <v>61145</v>
      </c>
      <c r="G60" s="734">
        <v>20860</v>
      </c>
      <c r="H60" s="734">
        <v>25262</v>
      </c>
      <c r="I60" s="734">
        <v>1146</v>
      </c>
      <c r="J60" s="734">
        <v>24431</v>
      </c>
      <c r="K60" s="734">
        <v>16007</v>
      </c>
      <c r="L60" s="734">
        <v>51401</v>
      </c>
      <c r="M60" s="734">
        <v>77468</v>
      </c>
      <c r="N60" s="734">
        <v>21776</v>
      </c>
      <c r="O60" s="734">
        <v>24403</v>
      </c>
      <c r="P60" s="734">
        <v>38762</v>
      </c>
      <c r="Q60" s="734">
        <v>26143</v>
      </c>
      <c r="R60" s="734">
        <v>45300</v>
      </c>
      <c r="S60" s="734">
        <v>28701</v>
      </c>
      <c r="T60" s="734">
        <v>21616</v>
      </c>
      <c r="U60" s="734">
        <v>179861</v>
      </c>
      <c r="V60" s="734">
        <v>361695</v>
      </c>
      <c r="W60" s="734">
        <v>159038</v>
      </c>
      <c r="X60" s="734">
        <v>120682</v>
      </c>
      <c r="Y60" s="734">
        <v>14391</v>
      </c>
      <c r="Z60" s="734">
        <v>11642</v>
      </c>
      <c r="AA60" s="734">
        <v>39869</v>
      </c>
      <c r="AB60" s="734">
        <v>80126</v>
      </c>
      <c r="AC60" s="734">
        <v>27976</v>
      </c>
      <c r="AD60" s="734">
        <v>108934</v>
      </c>
      <c r="AE60" s="734">
        <v>25908</v>
      </c>
      <c r="AF60" s="734">
        <v>18189</v>
      </c>
      <c r="AG60" s="734">
        <v>122480</v>
      </c>
      <c r="AH60" s="734">
        <v>253720</v>
      </c>
      <c r="AI60" s="734">
        <v>223733</v>
      </c>
      <c r="AJ60" s="734">
        <v>179965</v>
      </c>
      <c r="AK60" s="734">
        <v>199299</v>
      </c>
      <c r="AL60" s="734">
        <v>30515</v>
      </c>
      <c r="AM60" s="734">
        <v>55626</v>
      </c>
      <c r="AN60" s="734">
        <v>0</v>
      </c>
      <c r="AO60" s="734">
        <v>633</v>
      </c>
    </row>
    <row r="61" spans="1:41">
      <c r="A61" s="734" t="s">
        <v>1167</v>
      </c>
      <c r="B61" s="734" t="s">
        <v>523</v>
      </c>
      <c r="C61" s="734">
        <v>1631776</v>
      </c>
      <c r="D61" s="734">
        <v>15584</v>
      </c>
      <c r="E61" s="734">
        <v>1501</v>
      </c>
      <c r="F61" s="734">
        <v>26528</v>
      </c>
      <c r="G61" s="734">
        <v>2004</v>
      </c>
      <c r="H61" s="734">
        <v>5929</v>
      </c>
      <c r="I61" s="734">
        <v>1536</v>
      </c>
      <c r="J61" s="734">
        <v>13054</v>
      </c>
      <c r="K61" s="734">
        <v>3229</v>
      </c>
      <c r="L61" s="734">
        <v>8178</v>
      </c>
      <c r="M61" s="734">
        <v>12200</v>
      </c>
      <c r="N61" s="734">
        <v>9164</v>
      </c>
      <c r="O61" s="734">
        <v>2579</v>
      </c>
      <c r="P61" s="734">
        <v>3796</v>
      </c>
      <c r="Q61" s="734">
        <v>17011</v>
      </c>
      <c r="R61" s="734">
        <v>17857</v>
      </c>
      <c r="S61" s="734">
        <v>11709</v>
      </c>
      <c r="T61" s="734">
        <v>15091</v>
      </c>
      <c r="U61" s="734">
        <v>101748</v>
      </c>
      <c r="V61" s="734">
        <v>237762</v>
      </c>
      <c r="W61" s="734">
        <v>103524</v>
      </c>
      <c r="X61" s="734">
        <v>90897</v>
      </c>
      <c r="Y61" s="734">
        <v>8079</v>
      </c>
      <c r="Z61" s="734">
        <v>8239</v>
      </c>
      <c r="AA61" s="734">
        <v>23591</v>
      </c>
      <c r="AB61" s="734">
        <v>50069</v>
      </c>
      <c r="AC61" s="734">
        <v>21750</v>
      </c>
      <c r="AD61" s="734">
        <v>62373</v>
      </c>
      <c r="AE61" s="734">
        <v>13711</v>
      </c>
      <c r="AF61" s="734">
        <v>11452</v>
      </c>
      <c r="AG61" s="734">
        <v>95412</v>
      </c>
      <c r="AH61" s="734">
        <v>194701</v>
      </c>
      <c r="AI61" s="734">
        <v>141794</v>
      </c>
      <c r="AJ61" s="734">
        <v>126011</v>
      </c>
      <c r="AK61" s="734">
        <v>110515</v>
      </c>
      <c r="AL61" s="734">
        <v>21765</v>
      </c>
      <c r="AM61" s="734">
        <v>41251</v>
      </c>
      <c r="AN61" s="734">
        <v>0</v>
      </c>
      <c r="AO61" s="734">
        <v>182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355"/>
  <sheetViews>
    <sheetView view="pageLayout" topLeftCell="A304" zoomScaleNormal="100" workbookViewId="0">
      <selection activeCell="A24" sqref="A24:U31"/>
    </sheetView>
  </sheetViews>
  <sheetFormatPr baseColWidth="10" defaultColWidth="0" defaultRowHeight="15" zeroHeight="1"/>
  <cols>
    <col min="1" max="1" width="13.7109375" style="339" customWidth="1"/>
    <col min="2" max="2" width="14.140625" style="339" customWidth="1"/>
    <col min="3" max="3" width="13.85546875" style="339" customWidth="1"/>
    <col min="4" max="5" width="14.140625" style="339" customWidth="1"/>
    <col min="6" max="6" width="11.28515625" style="339" customWidth="1"/>
    <col min="7" max="7" width="13.7109375" style="339" customWidth="1"/>
    <col min="8" max="16384" width="11.42578125" style="324" hidden="1"/>
  </cols>
  <sheetData>
    <row r="1" spans="1:18" ht="15" customHeight="1">
      <c r="A1" s="610"/>
      <c r="B1" s="611"/>
      <c r="C1" s="866" t="s">
        <v>1369</v>
      </c>
      <c r="D1" s="867"/>
      <c r="E1" s="867"/>
      <c r="F1" s="867"/>
      <c r="G1" s="867"/>
      <c r="H1"/>
      <c r="I1"/>
      <c r="J1"/>
      <c r="K1"/>
      <c r="L1"/>
      <c r="M1"/>
      <c r="N1"/>
      <c r="O1"/>
      <c r="P1"/>
      <c r="Q1"/>
      <c r="R1"/>
    </row>
    <row r="2" spans="1:18" ht="18.75" customHeight="1">
      <c r="A2" s="610"/>
      <c r="B2" s="611"/>
      <c r="C2" s="869"/>
      <c r="D2" s="870"/>
      <c r="E2" s="870"/>
      <c r="F2" s="870"/>
      <c r="G2" s="870"/>
      <c r="H2"/>
      <c r="I2"/>
      <c r="J2"/>
      <c r="K2"/>
      <c r="L2"/>
      <c r="M2"/>
      <c r="N2"/>
      <c r="O2"/>
      <c r="P2"/>
      <c r="Q2"/>
      <c r="R2"/>
    </row>
    <row r="3" spans="1:18" ht="14.25" customHeight="1">
      <c r="A3" s="610"/>
      <c r="B3" s="612"/>
      <c r="C3" s="869"/>
      <c r="D3" s="870"/>
      <c r="E3" s="870"/>
      <c r="F3" s="870"/>
      <c r="G3" s="870"/>
      <c r="H3"/>
      <c r="I3"/>
      <c r="J3"/>
      <c r="K3"/>
      <c r="L3"/>
      <c r="M3"/>
      <c r="N3"/>
      <c r="O3"/>
      <c r="P3"/>
      <c r="Q3"/>
      <c r="R3"/>
    </row>
    <row r="4" spans="1:18" ht="21">
      <c r="A4" s="610"/>
      <c r="B4" s="610"/>
      <c r="C4" s="872"/>
      <c r="D4" s="873"/>
      <c r="E4" s="873"/>
      <c r="F4" s="873"/>
      <c r="G4" s="873"/>
      <c r="H4"/>
      <c r="I4"/>
      <c r="J4"/>
      <c r="K4"/>
      <c r="L4"/>
      <c r="M4"/>
      <c r="N4"/>
      <c r="O4"/>
      <c r="P4"/>
      <c r="Q4"/>
      <c r="R4"/>
    </row>
    <row r="5" spans="1:18">
      <c r="A5" s="323"/>
      <c r="B5" s="323"/>
      <c r="C5" s="323"/>
      <c r="D5" s="323"/>
      <c r="E5" s="323"/>
      <c r="F5" s="323"/>
      <c r="G5" s="323"/>
      <c r="H5"/>
      <c r="I5"/>
    </row>
    <row r="6" spans="1:18" ht="15" customHeight="1">
      <c r="A6" s="875" t="s">
        <v>1370</v>
      </c>
      <c r="B6" s="875"/>
      <c r="C6" s="875"/>
      <c r="D6" s="875"/>
      <c r="E6" s="875"/>
      <c r="F6" s="875"/>
      <c r="G6" s="875"/>
      <c r="H6"/>
      <c r="I6"/>
    </row>
    <row r="7" spans="1:18" ht="15" customHeight="1">
      <c r="A7" s="875"/>
      <c r="B7" s="875"/>
      <c r="C7" s="875"/>
      <c r="D7" s="875"/>
      <c r="E7" s="875"/>
      <c r="F7" s="875"/>
      <c r="G7" s="875"/>
      <c r="H7"/>
      <c r="I7"/>
    </row>
    <row r="8" spans="1:18">
      <c r="A8" s="347" t="s">
        <v>0</v>
      </c>
      <c r="B8" s="323"/>
      <c r="C8" s="323"/>
      <c r="D8" s="323"/>
      <c r="E8" s="323"/>
      <c r="F8" s="323"/>
      <c r="G8" s="323"/>
      <c r="H8"/>
      <c r="I8"/>
    </row>
    <row r="9" spans="1:18" ht="7.5" customHeight="1">
      <c r="A9" s="347"/>
      <c r="B9" s="323"/>
      <c r="C9" s="323"/>
      <c r="D9" s="323"/>
      <c r="E9" s="323"/>
      <c r="F9" s="323"/>
      <c r="G9" s="323"/>
      <c r="H9"/>
      <c r="I9"/>
    </row>
    <row r="10" spans="1:18">
      <c r="A10" s="325" t="s">
        <v>1404</v>
      </c>
      <c r="B10" s="326"/>
      <c r="C10" s="326"/>
      <c r="D10" s="326"/>
      <c r="E10" s="937" t="s">
        <v>1698</v>
      </c>
      <c r="F10" s="937"/>
      <c r="G10" s="937"/>
      <c r="H10"/>
      <c r="I10"/>
    </row>
    <row r="11" spans="1:18" ht="15" customHeight="1">
      <c r="A11" s="948" t="s">
        <v>1371</v>
      </c>
      <c r="B11" s="948"/>
      <c r="C11" s="948"/>
      <c r="D11" s="948"/>
      <c r="E11" s="948"/>
      <c r="F11" s="948"/>
      <c r="G11" s="948"/>
      <c r="H11"/>
      <c r="I11"/>
    </row>
    <row r="12" spans="1:18">
      <c r="A12" s="948"/>
      <c r="B12" s="948"/>
      <c r="C12" s="948"/>
      <c r="D12" s="948"/>
      <c r="E12" s="948"/>
      <c r="F12" s="948"/>
      <c r="G12" s="948"/>
      <c r="H12"/>
      <c r="I12"/>
    </row>
    <row r="13" spans="1:18">
      <c r="A13" s="948"/>
      <c r="B13" s="948"/>
      <c r="C13" s="948"/>
      <c r="D13" s="948"/>
      <c r="E13" s="948"/>
      <c r="F13" s="948"/>
      <c r="G13" s="948"/>
      <c r="H13"/>
      <c r="I13" s="327"/>
    </row>
    <row r="14" spans="1:18">
      <c r="A14" s="948"/>
      <c r="B14" s="948"/>
      <c r="C14" s="948"/>
      <c r="D14" s="948"/>
      <c r="E14" s="948"/>
      <c r="F14" s="948"/>
      <c r="G14" s="948"/>
      <c r="H14"/>
      <c r="I14"/>
    </row>
    <row r="15" spans="1:18">
      <c r="A15" s="948"/>
      <c r="B15" s="948"/>
      <c r="C15" s="948"/>
      <c r="D15" s="948"/>
      <c r="E15" s="948"/>
      <c r="F15" s="948"/>
      <c r="G15" s="948"/>
      <c r="H15"/>
      <c r="I15"/>
    </row>
    <row r="16" spans="1:18">
      <c r="A16" s="956" t="s">
        <v>1700</v>
      </c>
      <c r="B16" s="956"/>
      <c r="C16" s="956"/>
      <c r="D16" s="956"/>
      <c r="E16" s="956"/>
      <c r="F16" s="956"/>
      <c r="G16" s="956"/>
      <c r="H16"/>
      <c r="I16"/>
    </row>
    <row r="17" spans="1:15" ht="15" customHeight="1">
      <c r="A17" s="328"/>
      <c r="B17" s="328"/>
      <c r="C17" s="328"/>
      <c r="D17" s="328"/>
      <c r="E17" s="328"/>
      <c r="F17" s="328"/>
      <c r="G17" s="328"/>
    </row>
    <row r="18" spans="1:15" ht="15" customHeight="1">
      <c r="A18" s="325" t="s">
        <v>1482</v>
      </c>
      <c r="B18" s="326"/>
      <c r="C18" s="326"/>
      <c r="D18" s="326"/>
      <c r="E18" s="937" t="s">
        <v>1699</v>
      </c>
      <c r="F18" s="937"/>
      <c r="G18" s="937"/>
    </row>
    <row r="19" spans="1:15" ht="15" customHeight="1">
      <c r="A19" s="948" t="s">
        <v>1483</v>
      </c>
      <c r="B19" s="948"/>
      <c r="C19" s="948"/>
      <c r="D19" s="948"/>
      <c r="E19" s="948"/>
      <c r="F19" s="948"/>
      <c r="G19" s="948"/>
    </row>
    <row r="20" spans="1:15" ht="15" customHeight="1">
      <c r="A20" s="948"/>
      <c r="B20" s="948"/>
      <c r="C20" s="948"/>
      <c r="D20" s="948"/>
      <c r="E20" s="948"/>
      <c r="F20" s="948"/>
      <c r="G20" s="948"/>
    </row>
    <row r="21" spans="1:15" ht="15" customHeight="1">
      <c r="A21" s="328"/>
      <c r="B21" s="328"/>
      <c r="C21" s="328"/>
      <c r="D21" s="328"/>
      <c r="E21" s="328"/>
      <c r="F21" s="328"/>
      <c r="G21" s="328"/>
    </row>
    <row r="22" spans="1:15">
      <c r="A22" s="325" t="s">
        <v>1398</v>
      </c>
      <c r="B22" s="326"/>
      <c r="C22" s="326"/>
      <c r="D22" s="326"/>
      <c r="E22" s="326"/>
      <c r="F22" s="937" t="s">
        <v>1734</v>
      </c>
      <c r="G22" s="937"/>
    </row>
    <row r="23" spans="1:15" ht="15" customHeight="1">
      <c r="A23" s="948" t="s">
        <v>1758</v>
      </c>
      <c r="B23" s="948"/>
      <c r="C23" s="948"/>
      <c r="D23" s="948"/>
      <c r="E23" s="948"/>
      <c r="F23" s="948"/>
      <c r="G23" s="948"/>
    </row>
    <row r="24" spans="1:15">
      <c r="A24" s="948"/>
      <c r="B24" s="948"/>
      <c r="C24" s="948"/>
      <c r="D24" s="948"/>
      <c r="E24" s="948"/>
      <c r="F24" s="948"/>
      <c r="G24" s="948"/>
    </row>
    <row r="25" spans="1:15">
      <c r="A25" s="948"/>
      <c r="B25" s="948"/>
      <c r="C25" s="948"/>
      <c r="D25" s="948"/>
      <c r="E25" s="948"/>
      <c r="F25" s="948"/>
      <c r="G25" s="948"/>
    </row>
    <row r="26" spans="1:15" ht="15" customHeight="1">
      <c r="A26" s="948" t="s">
        <v>1627</v>
      </c>
      <c r="B26" s="948"/>
      <c r="C26" s="948"/>
      <c r="D26" s="948"/>
      <c r="E26" s="948"/>
      <c r="F26" s="948"/>
      <c r="G26" s="948"/>
    </row>
    <row r="27" spans="1:15" ht="15" customHeight="1">
      <c r="A27" s="948"/>
      <c r="B27" s="948"/>
      <c r="C27" s="948"/>
      <c r="D27" s="948"/>
      <c r="E27" s="948"/>
      <c r="F27" s="948"/>
      <c r="G27" s="948"/>
      <c r="J27" s="340"/>
      <c r="K27" s="340"/>
      <c r="L27" s="340"/>
      <c r="M27" s="340"/>
      <c r="N27" s="340"/>
      <c r="O27" s="340"/>
    </row>
    <row r="28" spans="1:15" ht="15" customHeight="1">
      <c r="A28" s="948"/>
      <c r="B28" s="948"/>
      <c r="C28" s="948"/>
      <c r="D28" s="948"/>
      <c r="E28" s="948"/>
      <c r="F28" s="948"/>
      <c r="G28" s="948"/>
      <c r="J28" s="340"/>
      <c r="K28" s="340"/>
      <c r="L28" s="340"/>
      <c r="M28" s="340"/>
      <c r="N28" s="340"/>
      <c r="O28" s="340"/>
    </row>
    <row r="29" spans="1:15" ht="15" customHeight="1">
      <c r="A29" s="948"/>
      <c r="B29" s="948"/>
      <c r="C29" s="948"/>
      <c r="D29" s="948"/>
      <c r="E29" s="948"/>
      <c r="F29" s="948"/>
      <c r="G29" s="948"/>
      <c r="J29" s="340"/>
      <c r="K29" s="340"/>
      <c r="L29" s="340"/>
      <c r="M29" s="340"/>
      <c r="N29" s="340"/>
      <c r="O29" s="340"/>
    </row>
    <row r="30" spans="1:15" ht="15" customHeight="1">
      <c r="A30" s="948"/>
      <c r="B30" s="948"/>
      <c r="C30" s="948"/>
      <c r="D30" s="948"/>
      <c r="E30" s="948"/>
      <c r="F30" s="948"/>
      <c r="G30" s="948"/>
      <c r="J30" s="340"/>
      <c r="K30" s="340"/>
      <c r="L30" s="340"/>
      <c r="M30" s="340"/>
      <c r="N30" s="340"/>
      <c r="O30" s="340"/>
    </row>
    <row r="31" spans="1:15">
      <c r="A31" s="948"/>
      <c r="B31" s="948"/>
      <c r="C31" s="948"/>
      <c r="D31" s="948"/>
      <c r="E31" s="948"/>
      <c r="F31" s="948"/>
      <c r="G31" s="948"/>
    </row>
    <row r="32" spans="1:15">
      <c r="A32" s="948"/>
      <c r="B32" s="948"/>
      <c r="C32" s="948"/>
      <c r="D32" s="948"/>
      <c r="E32" s="948"/>
      <c r="F32" s="948"/>
      <c r="G32" s="948"/>
    </row>
    <row r="33" spans="1:15">
      <c r="A33" s="948"/>
      <c r="B33" s="948"/>
      <c r="C33" s="948"/>
      <c r="D33" s="948"/>
      <c r="E33" s="948"/>
      <c r="F33" s="948"/>
      <c r="G33" s="948"/>
    </row>
    <row r="34" spans="1:15" ht="15" customHeight="1">
      <c r="A34" s="944" t="s">
        <v>1757</v>
      </c>
      <c r="B34" s="944"/>
      <c r="C34" s="944"/>
      <c r="D34" s="944"/>
      <c r="E34" s="944"/>
      <c r="F34" s="944"/>
      <c r="G34" s="944"/>
    </row>
    <row r="35" spans="1:15">
      <c r="A35" s="944"/>
      <c r="B35" s="944"/>
      <c r="C35" s="944"/>
      <c r="D35" s="944"/>
      <c r="E35" s="944"/>
      <c r="F35" s="944"/>
      <c r="G35" s="944"/>
    </row>
    <row r="36" spans="1:15" ht="15" customHeight="1">
      <c r="A36" s="956" t="s">
        <v>1735</v>
      </c>
      <c r="B36" s="956"/>
      <c r="C36" s="956"/>
      <c r="D36" s="956"/>
      <c r="E36" s="956"/>
      <c r="F36" s="956"/>
      <c r="G36" s="956"/>
    </row>
    <row r="37" spans="1:15" ht="8.25" customHeight="1">
      <c r="A37" s="323"/>
      <c r="B37" s="323"/>
      <c r="C37" s="323"/>
      <c r="D37" s="323"/>
      <c r="E37" s="323"/>
      <c r="F37" s="323"/>
      <c r="G37" s="323"/>
    </row>
    <row r="38" spans="1:15">
      <c r="A38" s="942" t="s">
        <v>1384</v>
      </c>
      <c r="B38" s="942"/>
      <c r="C38" s="942"/>
      <c r="D38" s="937" t="s">
        <v>1698</v>
      </c>
      <c r="E38" s="937"/>
      <c r="F38" s="937"/>
      <c r="G38" s="937"/>
    </row>
    <row r="39" spans="1:15">
      <c r="A39" s="944" t="s">
        <v>1385</v>
      </c>
      <c r="B39" s="944"/>
      <c r="C39" s="944"/>
      <c r="D39" s="944"/>
      <c r="E39" s="944"/>
      <c r="F39" s="944"/>
      <c r="G39" s="944"/>
    </row>
    <row r="40" spans="1:15" ht="15.75" customHeight="1">
      <c r="A40" s="942" t="s">
        <v>1545</v>
      </c>
      <c r="B40" s="942"/>
      <c r="C40" s="942"/>
      <c r="D40" s="937" t="s">
        <v>1698</v>
      </c>
      <c r="E40" s="937"/>
      <c r="F40" s="937"/>
      <c r="G40" s="937"/>
    </row>
    <row r="41" spans="1:15">
      <c r="A41" s="334" t="s">
        <v>1602</v>
      </c>
      <c r="B41" s="335"/>
      <c r="C41" s="335"/>
      <c r="D41" s="336"/>
      <c r="E41" s="336"/>
      <c r="F41" s="336"/>
      <c r="G41" s="336"/>
    </row>
    <row r="42" spans="1:15">
      <c r="A42" s="408" t="s">
        <v>3</v>
      </c>
      <c r="B42" s="408"/>
      <c r="C42" s="408"/>
      <c r="D42" s="409"/>
      <c r="E42" s="409"/>
      <c r="F42" s="409"/>
      <c r="G42" s="409" t="s">
        <v>1698</v>
      </c>
    </row>
    <row r="43" spans="1:15" ht="15" customHeight="1">
      <c r="A43" s="338" t="s">
        <v>1760</v>
      </c>
      <c r="B43" s="323"/>
      <c r="C43" s="323"/>
      <c r="D43" s="323"/>
      <c r="E43" s="323"/>
      <c r="F43" s="323"/>
      <c r="G43" s="323"/>
      <c r="I43" s="675"/>
      <c r="J43" s="675"/>
      <c r="K43" s="675"/>
      <c r="L43" s="675"/>
      <c r="M43" s="675"/>
      <c r="N43" s="675"/>
      <c r="O43" s="675"/>
    </row>
    <row r="44" spans="1:15">
      <c r="A44" s="325" t="s">
        <v>4</v>
      </c>
      <c r="B44" s="326"/>
      <c r="C44" s="326"/>
      <c r="D44" s="326"/>
      <c r="E44" s="937" t="s">
        <v>1698</v>
      </c>
      <c r="F44" s="937"/>
      <c r="G44" s="937"/>
    </row>
    <row r="45" spans="1:15" ht="15" customHeight="1">
      <c r="A45" s="379" t="s">
        <v>1379</v>
      </c>
      <c r="B45" s="379"/>
      <c r="C45" s="379"/>
      <c r="D45" s="379"/>
      <c r="E45" s="379"/>
      <c r="F45" s="379"/>
      <c r="G45" s="379"/>
    </row>
    <row r="46" spans="1:15" ht="15" customHeight="1">
      <c r="A46" s="947" t="s">
        <v>1759</v>
      </c>
      <c r="B46" s="947"/>
      <c r="C46" s="947"/>
      <c r="D46" s="947"/>
      <c r="E46" s="947"/>
      <c r="F46" s="947"/>
      <c r="G46" s="947"/>
    </row>
    <row r="47" spans="1:15">
      <c r="A47" s="947"/>
      <c r="B47" s="947"/>
      <c r="C47" s="947"/>
      <c r="D47" s="947"/>
      <c r="E47" s="947"/>
      <c r="F47" s="947"/>
      <c r="G47" s="947"/>
    </row>
    <row r="48" spans="1:15" ht="15" customHeight="1">
      <c r="A48" s="379" t="s">
        <v>1736</v>
      </c>
      <c r="B48" s="700"/>
      <c r="C48" s="700"/>
      <c r="D48" s="700"/>
      <c r="E48" s="700"/>
      <c r="F48" s="700"/>
      <c r="G48" s="700"/>
    </row>
    <row r="49" spans="1:15" ht="15" customHeight="1">
      <c r="A49" s="379" t="s">
        <v>1737</v>
      </c>
      <c r="B49"/>
      <c r="C49"/>
      <c r="D49"/>
      <c r="E49"/>
      <c r="F49"/>
      <c r="G49"/>
    </row>
    <row r="50" spans="1:15" ht="15" customHeight="1">
      <c r="A50" s="379" t="s">
        <v>1738</v>
      </c>
      <c r="B50"/>
      <c r="C50"/>
      <c r="D50"/>
      <c r="E50"/>
      <c r="F50"/>
      <c r="G50"/>
    </row>
    <row r="51" spans="1:15" ht="15" customHeight="1">
      <c r="A51" s="379" t="s">
        <v>1739</v>
      </c>
      <c r="B51"/>
      <c r="C51"/>
      <c r="D51"/>
      <c r="E51"/>
      <c r="F51"/>
      <c r="G51"/>
    </row>
    <row r="52" spans="1:15">
      <c r="A52" s="348" t="s">
        <v>1743</v>
      </c>
      <c r="B52" s="324"/>
      <c r="C52" s="324"/>
      <c r="D52" s="324"/>
      <c r="E52" s="324"/>
      <c r="F52" s="324"/>
      <c r="G52" s="324"/>
    </row>
    <row r="53" spans="1:15" ht="15" customHeight="1">
      <c r="A53" s="942" t="s">
        <v>1701</v>
      </c>
      <c r="B53" s="942"/>
      <c r="C53" s="942"/>
      <c r="D53" s="937" t="s">
        <v>1698</v>
      </c>
      <c r="E53" s="937"/>
      <c r="F53" s="937"/>
      <c r="G53" s="937"/>
    </row>
    <row r="54" spans="1:15">
      <c r="A54" s="955" t="s">
        <v>1386</v>
      </c>
      <c r="B54" s="955"/>
      <c r="C54" s="955"/>
      <c r="D54" s="955"/>
      <c r="E54" s="955"/>
      <c r="F54" s="955"/>
      <c r="G54" s="955"/>
    </row>
    <row r="55" spans="1:15">
      <c r="A55" s="955"/>
      <c r="B55" s="955"/>
      <c r="C55" s="955"/>
      <c r="D55" s="955"/>
      <c r="E55" s="955"/>
      <c r="F55" s="955"/>
      <c r="G55" s="955"/>
    </row>
    <row r="56" spans="1:15" s="350" customFormat="1" ht="19.5" customHeight="1">
      <c r="A56" s="955"/>
      <c r="B56" s="955"/>
      <c r="C56" s="955"/>
      <c r="D56" s="955"/>
      <c r="E56" s="955"/>
      <c r="F56" s="955"/>
      <c r="G56" s="955"/>
    </row>
    <row r="57" spans="1:15">
      <c r="A57" s="942" t="s">
        <v>1744</v>
      </c>
      <c r="B57" s="942"/>
      <c r="C57" s="942"/>
      <c r="D57" s="937" t="s">
        <v>1698</v>
      </c>
      <c r="E57" s="937"/>
      <c r="F57" s="937"/>
      <c r="G57" s="937"/>
    </row>
    <row r="58" spans="1:15" ht="15" customHeight="1">
      <c r="A58" s="944" t="s">
        <v>1761</v>
      </c>
      <c r="B58" s="944"/>
      <c r="C58" s="944"/>
      <c r="D58" s="944"/>
      <c r="E58" s="944"/>
      <c r="F58" s="944"/>
      <c r="G58" s="944"/>
    </row>
    <row r="59" spans="1:15">
      <c r="A59" s="944"/>
      <c r="B59" s="944"/>
      <c r="C59" s="944"/>
      <c r="D59" s="944"/>
      <c r="E59" s="944"/>
      <c r="F59" s="944"/>
      <c r="G59" s="944"/>
    </row>
    <row r="60" spans="1:15" ht="15" customHeight="1">
      <c r="A60" s="379" t="s">
        <v>1484</v>
      </c>
      <c r="B60" s="324"/>
      <c r="C60" s="324"/>
      <c r="D60" s="324"/>
      <c r="E60" s="324"/>
      <c r="F60" s="324"/>
      <c r="G60" s="324"/>
    </row>
    <row r="61" spans="1:15" ht="17.25" customHeight="1">
      <c r="A61" s="942" t="s">
        <v>1486</v>
      </c>
      <c r="B61" s="942"/>
      <c r="C61" s="942"/>
      <c r="D61" s="937" t="s">
        <v>1698</v>
      </c>
      <c r="E61" s="937"/>
      <c r="F61" s="937"/>
      <c r="G61" s="937"/>
      <c r="I61" s="223"/>
      <c r="J61" s="222"/>
      <c r="K61" s="222"/>
      <c r="L61" s="222"/>
      <c r="M61" s="222"/>
      <c r="N61" s="222"/>
      <c r="O61" s="222"/>
    </row>
    <row r="62" spans="1:15" ht="17.25" customHeight="1">
      <c r="A62" s="935" t="s">
        <v>1485</v>
      </c>
      <c r="B62" s="935"/>
      <c r="C62" s="935"/>
      <c r="D62" s="935"/>
      <c r="E62" s="935"/>
      <c r="F62" s="935"/>
      <c r="G62" s="935"/>
      <c r="I62" s="222"/>
      <c r="J62" s="222"/>
      <c r="K62" s="222"/>
      <c r="L62" s="222"/>
      <c r="M62" s="222"/>
      <c r="N62" s="222"/>
      <c r="O62" s="222"/>
    </row>
    <row r="63" spans="1:15" ht="17.25" customHeight="1">
      <c r="A63" s="935"/>
      <c r="B63" s="935"/>
      <c r="C63" s="935"/>
      <c r="D63" s="935"/>
      <c r="E63" s="935"/>
      <c r="F63" s="935"/>
      <c r="G63" s="935"/>
      <c r="I63" s="222"/>
      <c r="K63" s="222"/>
      <c r="L63" s="222"/>
      <c r="M63" s="222"/>
      <c r="N63" s="222"/>
      <c r="O63" s="222"/>
    </row>
    <row r="64" spans="1:15" ht="17.25" customHeight="1">
      <c r="A64" s="935"/>
      <c r="B64" s="935"/>
      <c r="C64" s="935"/>
      <c r="D64" s="935"/>
      <c r="E64" s="935"/>
      <c r="F64" s="935"/>
      <c r="G64" s="935"/>
      <c r="I64" s="222"/>
      <c r="K64" s="222"/>
      <c r="L64" s="222"/>
      <c r="M64" s="222"/>
      <c r="N64" s="222"/>
      <c r="O64" s="222"/>
    </row>
    <row r="65" spans="1:9" ht="17.25" customHeight="1">
      <c r="A65" s="942" t="s">
        <v>887</v>
      </c>
      <c r="B65" s="942"/>
      <c r="C65" s="942"/>
      <c r="D65" s="937" t="s">
        <v>1702</v>
      </c>
      <c r="E65" s="937"/>
      <c r="F65" s="937"/>
      <c r="G65" s="937"/>
    </row>
    <row r="66" spans="1:9" ht="17.25" customHeight="1">
      <c r="A66" s="936" t="s">
        <v>1390</v>
      </c>
      <c r="B66" s="936"/>
      <c r="C66" s="936"/>
      <c r="D66" s="936"/>
      <c r="E66" s="936"/>
      <c r="F66" s="936"/>
      <c r="G66" s="936"/>
    </row>
    <row r="67" spans="1:9" ht="17.25" customHeight="1">
      <c r="A67" s="936"/>
      <c r="B67" s="936"/>
      <c r="C67" s="936"/>
      <c r="D67" s="936"/>
      <c r="E67" s="936"/>
      <c r="F67" s="936"/>
      <c r="G67" s="936"/>
    </row>
    <row r="68" spans="1:9" ht="17.25" customHeight="1">
      <c r="A68" s="963" t="s">
        <v>1391</v>
      </c>
      <c r="B68" s="963"/>
      <c r="C68" s="963"/>
      <c r="D68" s="963"/>
      <c r="E68" s="963"/>
      <c r="F68" s="963"/>
      <c r="G68" s="963"/>
    </row>
    <row r="69" spans="1:9" ht="17.25" customHeight="1">
      <c r="A69" s="963"/>
      <c r="B69" s="963"/>
      <c r="C69" s="963"/>
      <c r="D69" s="963"/>
      <c r="E69" s="963"/>
      <c r="F69" s="963"/>
      <c r="G69" s="963"/>
    </row>
    <row r="70" spans="1:9" ht="17.25" customHeight="1">
      <c r="A70" s="963"/>
      <c r="B70" s="963"/>
      <c r="C70" s="963"/>
      <c r="D70" s="963"/>
      <c r="E70" s="963"/>
      <c r="F70" s="963"/>
      <c r="G70" s="963"/>
    </row>
    <row r="71" spans="1:9">
      <c r="A71" s="963"/>
      <c r="B71" s="963"/>
      <c r="C71" s="963"/>
      <c r="D71" s="963"/>
      <c r="E71" s="963"/>
      <c r="F71" s="963"/>
      <c r="G71" s="963"/>
    </row>
    <row r="72" spans="1:9" ht="15" customHeight="1">
      <c r="A72" s="942" t="s">
        <v>882</v>
      </c>
      <c r="B72" s="942"/>
      <c r="C72" s="942"/>
      <c r="D72" s="937" t="s">
        <v>1698</v>
      </c>
      <c r="E72" s="937"/>
      <c r="F72" s="937"/>
      <c r="G72" s="937"/>
    </row>
    <row r="73" spans="1:9" ht="15" customHeight="1">
      <c r="A73" s="955" t="s">
        <v>1387</v>
      </c>
      <c r="B73" s="955"/>
      <c r="C73" s="955"/>
      <c r="D73" s="955"/>
      <c r="E73" s="955"/>
      <c r="F73" s="955"/>
      <c r="G73" s="955"/>
    </row>
    <row r="74" spans="1:9" ht="15" customHeight="1">
      <c r="A74" s="955"/>
      <c r="B74" s="955"/>
      <c r="C74" s="955"/>
      <c r="D74" s="955"/>
      <c r="E74" s="955"/>
      <c r="F74" s="955"/>
      <c r="G74" s="955"/>
    </row>
    <row r="75" spans="1:9" ht="15" customHeight="1">
      <c r="A75" s="955"/>
      <c r="B75" s="955"/>
      <c r="C75" s="955"/>
      <c r="D75" s="955"/>
      <c r="E75" s="955"/>
      <c r="F75" s="955"/>
      <c r="G75" s="955"/>
    </row>
    <row r="76" spans="1:9">
      <c r="A76" s="955"/>
      <c r="B76" s="955"/>
      <c r="C76" s="955"/>
      <c r="D76" s="955"/>
      <c r="E76" s="955"/>
      <c r="F76" s="955"/>
      <c r="G76" s="955"/>
      <c r="I76" s="628"/>
    </row>
    <row r="77" spans="1:9" ht="9" customHeight="1">
      <c r="A77" s="323"/>
      <c r="B77" s="323"/>
      <c r="C77" s="323"/>
      <c r="D77" s="323"/>
      <c r="E77" s="323"/>
      <c r="F77" s="323"/>
      <c r="G77" s="323"/>
    </row>
    <row r="78" spans="1:9" ht="15" customHeight="1">
      <c r="A78" s="942" t="s">
        <v>883</v>
      </c>
      <c r="B78" s="942"/>
      <c r="C78" s="942"/>
      <c r="D78" s="937" t="s">
        <v>1714</v>
      </c>
      <c r="E78" s="937"/>
      <c r="F78" s="937"/>
      <c r="G78" s="937"/>
    </row>
    <row r="79" spans="1:9" ht="8.25" customHeight="1">
      <c r="A79" s="955" t="s">
        <v>1748</v>
      </c>
      <c r="B79" s="955"/>
      <c r="C79" s="955"/>
      <c r="D79" s="955"/>
      <c r="E79" s="955"/>
      <c r="F79" s="955"/>
      <c r="G79" s="955"/>
    </row>
    <row r="80" spans="1:9" ht="17.25" customHeight="1">
      <c r="A80" s="955"/>
      <c r="B80" s="955"/>
      <c r="C80" s="955"/>
      <c r="D80" s="955"/>
      <c r="E80" s="955"/>
      <c r="F80" s="955"/>
      <c r="G80" s="955"/>
    </row>
    <row r="81" spans="1:15" ht="17.25" customHeight="1">
      <c r="A81" s="955"/>
      <c r="B81" s="955"/>
      <c r="C81" s="955"/>
      <c r="D81" s="955"/>
      <c r="E81" s="955"/>
      <c r="F81" s="955"/>
      <c r="G81" s="955"/>
    </row>
    <row r="82" spans="1:15" ht="17.25" customHeight="1">
      <c r="A82" s="955"/>
      <c r="B82" s="955"/>
      <c r="C82" s="955"/>
      <c r="D82" s="955"/>
      <c r="E82" s="955"/>
      <c r="F82" s="955"/>
      <c r="G82" s="955"/>
    </row>
    <row r="83" spans="1:15" ht="17.25" customHeight="1">
      <c r="A83" s="955"/>
      <c r="B83" s="955"/>
      <c r="C83" s="955"/>
      <c r="D83" s="955"/>
      <c r="E83" s="955"/>
      <c r="F83" s="955"/>
      <c r="G83" s="955"/>
    </row>
    <row r="84" spans="1:15" ht="17.25" customHeight="1"/>
    <row r="85" spans="1:15" ht="17.25" customHeight="1">
      <c r="A85" s="942" t="s">
        <v>884</v>
      </c>
      <c r="B85" s="942"/>
      <c r="C85" s="942"/>
      <c r="D85" s="937" t="s">
        <v>1698</v>
      </c>
      <c r="E85" s="937"/>
      <c r="F85" s="937"/>
      <c r="G85" s="937"/>
    </row>
    <row r="86" spans="1:15" ht="17.25" customHeight="1">
      <c r="A86" s="955" t="s">
        <v>1620</v>
      </c>
      <c r="B86" s="955"/>
      <c r="C86" s="955"/>
      <c r="D86" s="955"/>
      <c r="E86" s="955"/>
      <c r="F86" s="955"/>
      <c r="G86" s="955"/>
      <c r="I86" s="208"/>
    </row>
    <row r="87" spans="1:15" ht="17.25" customHeight="1">
      <c r="A87" s="955"/>
      <c r="B87" s="955"/>
      <c r="C87" s="955"/>
      <c r="D87" s="955"/>
      <c r="E87" s="955"/>
      <c r="F87" s="955"/>
      <c r="G87" s="955"/>
      <c r="I87" s="222"/>
      <c r="K87" s="222"/>
      <c r="L87" s="222"/>
      <c r="M87" s="222"/>
      <c r="N87" s="222"/>
      <c r="O87" s="222"/>
    </row>
    <row r="88" spans="1:15" ht="17.25" customHeight="1">
      <c r="A88" s="806" t="s">
        <v>1949</v>
      </c>
      <c r="B88" s="806"/>
      <c r="C88" s="806"/>
      <c r="D88" s="810"/>
      <c r="E88" s="382"/>
      <c r="F88" s="382"/>
      <c r="G88" s="805" t="s">
        <v>1698</v>
      </c>
    </row>
    <row r="89" spans="1:15" ht="17.25" customHeight="1">
      <c r="A89" s="441" t="s">
        <v>1546</v>
      </c>
      <c r="B89" s="596"/>
      <c r="C89" s="596"/>
      <c r="D89" s="596"/>
      <c r="E89" s="596"/>
      <c r="F89" s="596"/>
      <c r="G89" s="596"/>
    </row>
    <row r="90" spans="1:15" ht="17.25" customHeight="1">
      <c r="A90" s="441" t="s">
        <v>1603</v>
      </c>
      <c r="B90" s="596"/>
      <c r="C90" s="596"/>
      <c r="D90" s="596"/>
      <c r="E90" s="596"/>
      <c r="F90" s="596"/>
      <c r="G90" s="596"/>
    </row>
    <row r="91" spans="1:15" ht="17.25" customHeight="1">
      <c r="A91" s="936" t="s">
        <v>1762</v>
      </c>
      <c r="B91" s="936"/>
      <c r="C91" s="936"/>
      <c r="D91" s="936"/>
      <c r="E91" s="936"/>
      <c r="F91" s="936"/>
      <c r="G91" s="936"/>
    </row>
    <row r="92" spans="1:15" ht="17.25" customHeight="1">
      <c r="A92" s="936"/>
      <c r="B92" s="936"/>
      <c r="C92" s="936"/>
      <c r="D92" s="936"/>
      <c r="E92" s="936"/>
      <c r="F92" s="936"/>
      <c r="G92" s="936"/>
    </row>
    <row r="93" spans="1:15" ht="17.25" customHeight="1">
      <c r="A93" s="596" t="s">
        <v>1487</v>
      </c>
      <c r="B93" s="596"/>
      <c r="C93" s="596"/>
      <c r="D93" s="596"/>
      <c r="E93" s="596"/>
      <c r="F93" s="596"/>
      <c r="G93" s="596"/>
    </row>
    <row r="94" spans="1:15" ht="15" customHeight="1">
      <c r="A94" s="942" t="s">
        <v>1396</v>
      </c>
      <c r="B94" s="942"/>
      <c r="C94" s="942"/>
      <c r="D94" s="937" t="s">
        <v>1802</v>
      </c>
      <c r="E94" s="937"/>
      <c r="F94" s="937"/>
      <c r="G94" s="937"/>
    </row>
    <row r="95" spans="1:15">
      <c r="A95" s="948" t="s">
        <v>1763</v>
      </c>
      <c r="B95" s="948"/>
      <c r="C95" s="948"/>
      <c r="D95" s="948"/>
      <c r="E95" s="948"/>
      <c r="F95" s="948"/>
      <c r="G95" s="948"/>
    </row>
    <row r="96" spans="1:15" ht="15" customHeight="1">
      <c r="A96" s="948"/>
      <c r="B96" s="948"/>
      <c r="C96" s="948"/>
      <c r="D96" s="948"/>
      <c r="E96" s="948"/>
      <c r="F96" s="948"/>
      <c r="G96" s="948"/>
    </row>
    <row r="97" spans="1:17">
      <c r="A97" s="948"/>
      <c r="B97" s="948"/>
      <c r="C97" s="948"/>
      <c r="D97" s="948"/>
      <c r="E97" s="948"/>
      <c r="F97" s="948"/>
      <c r="G97" s="948"/>
    </row>
    <row r="98" spans="1:17">
      <c r="A98" s="948"/>
      <c r="B98" s="948"/>
      <c r="C98" s="948"/>
      <c r="D98" s="948"/>
      <c r="E98" s="948"/>
      <c r="F98" s="948"/>
      <c r="G98" s="948"/>
    </row>
    <row r="99" spans="1:17" ht="15" customHeight="1">
      <c r="A99" s="948"/>
      <c r="B99" s="948"/>
      <c r="C99" s="948"/>
      <c r="D99" s="948"/>
      <c r="E99" s="948"/>
      <c r="F99" s="948"/>
      <c r="G99" s="948"/>
      <c r="J99" s="323"/>
      <c r="K99" s="323"/>
      <c r="L99" s="323"/>
      <c r="M99" s="323"/>
      <c r="N99" s="323"/>
      <c r="O99" s="323"/>
      <c r="P99" s="323"/>
    </row>
    <row r="100" spans="1:17">
      <c r="A100" s="948"/>
      <c r="B100" s="948"/>
      <c r="C100" s="948"/>
      <c r="D100" s="948"/>
      <c r="E100" s="948"/>
      <c r="F100" s="948"/>
      <c r="G100" s="948"/>
    </row>
    <row r="101" spans="1:17">
      <c r="A101" s="942" t="s">
        <v>1395</v>
      </c>
      <c r="B101" s="942"/>
      <c r="C101" s="942"/>
      <c r="D101" s="330"/>
      <c r="E101" s="330"/>
      <c r="F101" s="330"/>
      <c r="G101" s="330" t="s">
        <v>1918</v>
      </c>
    </row>
    <row r="102" spans="1:17" ht="15" customHeight="1">
      <c r="A102" s="948" t="s">
        <v>1621</v>
      </c>
      <c r="B102" s="948"/>
      <c r="C102" s="948"/>
      <c r="D102" s="948"/>
      <c r="E102" s="948"/>
      <c r="F102" s="948"/>
      <c r="G102" s="948"/>
    </row>
    <row r="103" spans="1:17" ht="15" customHeight="1">
      <c r="A103" s="948"/>
      <c r="B103" s="948"/>
      <c r="C103" s="948"/>
      <c r="D103" s="948"/>
      <c r="E103" s="948"/>
      <c r="F103" s="948"/>
      <c r="G103" s="948"/>
    </row>
    <row r="104" spans="1:17">
      <c r="A104" s="942" t="s">
        <v>1397</v>
      </c>
      <c r="B104" s="942"/>
      <c r="C104" s="942"/>
      <c r="D104" s="937" t="s">
        <v>1729</v>
      </c>
      <c r="E104" s="937"/>
      <c r="F104" s="937"/>
      <c r="G104" s="937"/>
    </row>
    <row r="105" spans="1:17" ht="15" customHeight="1">
      <c r="A105" s="936" t="s">
        <v>1547</v>
      </c>
      <c r="B105" s="936"/>
      <c r="C105" s="936"/>
      <c r="D105" s="936"/>
      <c r="E105" s="936"/>
      <c r="F105" s="936"/>
      <c r="G105" s="936"/>
    </row>
    <row r="106" spans="1:17">
      <c r="A106" s="936"/>
      <c r="B106" s="936"/>
      <c r="C106" s="936"/>
      <c r="D106" s="936"/>
      <c r="E106" s="936"/>
      <c r="F106" s="936"/>
      <c r="G106" s="936"/>
      <c r="Q106" s="329"/>
    </row>
    <row r="107" spans="1:17">
      <c r="A107" s="942" t="s">
        <v>1622</v>
      </c>
      <c r="B107" s="942"/>
      <c r="C107" s="942"/>
      <c r="D107" s="942"/>
      <c r="E107" s="937" t="s">
        <v>1703</v>
      </c>
      <c r="F107" s="937"/>
      <c r="G107" s="937"/>
      <c r="J107" s="964"/>
      <c r="K107" s="964"/>
      <c r="L107" s="964"/>
      <c r="M107" s="964"/>
      <c r="N107" s="964"/>
      <c r="O107" s="964"/>
      <c r="P107" s="964"/>
    </row>
    <row r="108" spans="1:17" ht="15" customHeight="1">
      <c r="A108" s="948" t="s">
        <v>1548</v>
      </c>
      <c r="B108" s="948"/>
      <c r="C108" s="948"/>
      <c r="D108" s="948"/>
      <c r="E108" s="948"/>
      <c r="F108" s="948"/>
      <c r="G108" s="948"/>
      <c r="J108" s="962"/>
      <c r="K108" s="962"/>
      <c r="L108" s="962"/>
      <c r="M108" s="962"/>
      <c r="N108" s="962"/>
      <c r="O108" s="962"/>
      <c r="P108" s="962"/>
    </row>
    <row r="109" spans="1:17">
      <c r="A109" s="948"/>
      <c r="B109" s="948"/>
      <c r="C109" s="948"/>
      <c r="D109" s="948"/>
      <c r="E109" s="948"/>
      <c r="F109" s="948"/>
      <c r="G109" s="948"/>
      <c r="J109" s="964"/>
      <c r="K109" s="964"/>
      <c r="L109" s="964"/>
      <c r="M109" s="964"/>
      <c r="N109" s="964"/>
      <c r="O109" s="964"/>
      <c r="P109" s="964"/>
    </row>
    <row r="110" spans="1:17">
      <c r="A110" s="948" t="s">
        <v>1750</v>
      </c>
      <c r="B110" s="948"/>
      <c r="C110" s="948"/>
      <c r="D110" s="948"/>
      <c r="E110" s="948"/>
      <c r="F110" s="948"/>
      <c r="G110" s="948"/>
    </row>
    <row r="111" spans="1:17" ht="15" customHeight="1">
      <c r="A111" s="948"/>
      <c r="B111" s="948"/>
      <c r="C111" s="948"/>
      <c r="D111" s="948"/>
      <c r="E111" s="948"/>
      <c r="F111" s="948"/>
      <c r="G111" s="948"/>
    </row>
    <row r="112" spans="1:17">
      <c r="A112" s="948"/>
      <c r="B112" s="948"/>
      <c r="C112" s="948"/>
      <c r="D112" s="948"/>
      <c r="E112" s="948"/>
      <c r="F112" s="948"/>
      <c r="G112" s="948"/>
    </row>
    <row r="113" spans="1:9">
      <c r="A113" s="942" t="s">
        <v>1604</v>
      </c>
      <c r="B113" s="942"/>
      <c r="C113" s="942"/>
      <c r="D113" s="942"/>
      <c r="E113" s="937" t="s">
        <v>1919</v>
      </c>
      <c r="F113" s="937"/>
      <c r="G113" s="937"/>
    </row>
    <row r="114" spans="1:9">
      <c r="A114" s="948" t="s">
        <v>1394</v>
      </c>
      <c r="B114" s="948"/>
      <c r="C114" s="948"/>
      <c r="D114" s="948"/>
      <c r="E114" s="948"/>
      <c r="F114" s="948"/>
      <c r="G114" s="948"/>
    </row>
    <row r="115" spans="1:9" ht="15" customHeight="1">
      <c r="A115" s="948"/>
      <c r="B115" s="948"/>
      <c r="C115" s="948"/>
      <c r="D115" s="948"/>
      <c r="E115" s="948"/>
      <c r="F115" s="948"/>
      <c r="G115" s="948"/>
    </row>
    <row r="116" spans="1:9">
      <c r="A116" s="948"/>
      <c r="B116" s="948"/>
      <c r="C116" s="948"/>
      <c r="D116" s="948"/>
      <c r="E116" s="948"/>
      <c r="F116" s="948"/>
      <c r="G116" s="948"/>
    </row>
    <row r="117" spans="1:9">
      <c r="A117" s="948" t="s">
        <v>1549</v>
      </c>
      <c r="B117" s="948"/>
      <c r="C117" s="948"/>
      <c r="D117" s="948"/>
      <c r="E117" s="948"/>
      <c r="F117" s="948"/>
      <c r="G117" s="948"/>
    </row>
    <row r="118" spans="1:9" ht="15" customHeight="1">
      <c r="A118" s="948"/>
      <c r="B118" s="948"/>
      <c r="C118" s="948"/>
      <c r="D118" s="948"/>
      <c r="E118" s="948"/>
      <c r="F118" s="948"/>
      <c r="G118" s="948"/>
    </row>
    <row r="119" spans="1:9" s="350" customFormat="1" ht="19.5" customHeight="1">
      <c r="A119" s="348" t="s">
        <v>507</v>
      </c>
      <c r="B119" s="349"/>
      <c r="C119" s="349"/>
      <c r="D119" s="349"/>
      <c r="E119" s="349"/>
      <c r="F119" s="349"/>
      <c r="G119" s="349"/>
    </row>
    <row r="120" spans="1:9" ht="15" customHeight="1">
      <c r="A120" s="942" t="s">
        <v>1581</v>
      </c>
      <c r="B120" s="942"/>
      <c r="C120" s="937" t="s">
        <v>1704</v>
      </c>
      <c r="D120" s="937"/>
      <c r="E120" s="937"/>
      <c r="F120" s="937"/>
      <c r="G120" s="937"/>
    </row>
    <row r="121" spans="1:9">
      <c r="A121" s="948" t="s">
        <v>1488</v>
      </c>
      <c r="B121" s="948"/>
      <c r="C121" s="948"/>
      <c r="D121" s="948"/>
      <c r="E121" s="948"/>
      <c r="F121" s="948"/>
      <c r="G121" s="948"/>
    </row>
    <row r="122" spans="1:9">
      <c r="A122" s="948"/>
      <c r="B122" s="948"/>
      <c r="C122" s="948"/>
      <c r="D122" s="948"/>
      <c r="E122" s="948"/>
      <c r="F122" s="948"/>
      <c r="G122" s="948"/>
    </row>
    <row r="123" spans="1:9" ht="15" customHeight="1">
      <c r="A123" s="330" t="s">
        <v>1582</v>
      </c>
      <c r="B123" s="330"/>
      <c r="C123" s="330"/>
      <c r="D123" s="382"/>
      <c r="E123" s="382"/>
      <c r="F123" s="382"/>
      <c r="G123" s="699" t="s">
        <v>1704</v>
      </c>
    </row>
    <row r="124" spans="1:9" ht="15" customHeight="1">
      <c r="A124" s="948" t="s">
        <v>1372</v>
      </c>
      <c r="B124" s="948"/>
      <c r="C124" s="948"/>
      <c r="D124" s="948"/>
      <c r="E124" s="948"/>
      <c r="F124" s="948"/>
      <c r="G124" s="948"/>
    </row>
    <row r="125" spans="1:9" ht="15" customHeight="1">
      <c r="A125" s="948"/>
      <c r="B125" s="948"/>
      <c r="C125" s="948"/>
      <c r="D125" s="948"/>
      <c r="E125" s="948"/>
      <c r="F125" s="948"/>
      <c r="G125" s="948"/>
    </row>
    <row r="126" spans="1:9">
      <c r="A126" s="948"/>
      <c r="B126" s="948"/>
      <c r="C126" s="948"/>
      <c r="D126" s="948"/>
      <c r="E126" s="948"/>
      <c r="F126" s="948"/>
      <c r="G126" s="948"/>
      <c r="H126"/>
      <c r="I126"/>
    </row>
    <row r="127" spans="1:9" ht="15" customHeight="1">
      <c r="A127" s="330" t="s">
        <v>1024</v>
      </c>
      <c r="B127" s="330"/>
      <c r="C127" s="330"/>
      <c r="D127" s="937" t="s">
        <v>1704</v>
      </c>
      <c r="E127" s="937"/>
      <c r="F127" s="937"/>
      <c r="G127" s="937"/>
    </row>
    <row r="128" spans="1:9">
      <c r="A128" s="948" t="s">
        <v>1374</v>
      </c>
      <c r="B128" s="948"/>
      <c r="C128" s="948"/>
      <c r="D128" s="948"/>
      <c r="E128" s="948"/>
      <c r="F128" s="948"/>
      <c r="G128" s="948"/>
    </row>
    <row r="129" spans="1:7">
      <c r="A129" s="948"/>
      <c r="B129" s="948"/>
      <c r="C129" s="948"/>
      <c r="D129" s="948"/>
      <c r="E129" s="948"/>
      <c r="F129" s="948"/>
      <c r="G129" s="948"/>
    </row>
    <row r="130" spans="1:7">
      <c r="A130" s="948" t="s">
        <v>1375</v>
      </c>
      <c r="B130" s="948"/>
      <c r="C130" s="948"/>
      <c r="D130" s="948"/>
      <c r="E130" s="948"/>
      <c r="F130" s="948"/>
      <c r="G130" s="948"/>
    </row>
    <row r="131" spans="1:7">
      <c r="A131" s="948"/>
      <c r="B131" s="948"/>
      <c r="C131" s="948"/>
      <c r="D131" s="948"/>
      <c r="E131" s="948"/>
      <c r="F131" s="948"/>
      <c r="G131" s="948"/>
    </row>
    <row r="132" spans="1:7" ht="15" customHeight="1">
      <c r="A132" s="948"/>
      <c r="B132" s="948"/>
      <c r="C132" s="948"/>
      <c r="D132" s="948"/>
      <c r="E132" s="948"/>
      <c r="F132" s="948"/>
      <c r="G132" s="948"/>
    </row>
    <row r="133" spans="1:7">
      <c r="A133" s="960" t="s">
        <v>1376</v>
      </c>
      <c r="B133" s="960"/>
      <c r="C133" s="960"/>
      <c r="D133" s="960"/>
      <c r="E133" s="960"/>
      <c r="F133" s="960"/>
      <c r="G133" s="960"/>
    </row>
    <row r="134" spans="1:7">
      <c r="A134" s="960"/>
      <c r="B134" s="960"/>
      <c r="C134" s="960"/>
      <c r="D134" s="960"/>
      <c r="E134" s="960"/>
      <c r="F134" s="960"/>
      <c r="G134" s="960"/>
    </row>
    <row r="135" spans="1:7" ht="15" customHeight="1">
      <c r="A135" s="956" t="s">
        <v>1706</v>
      </c>
      <c r="B135" s="956"/>
      <c r="C135" s="956"/>
      <c r="D135" s="956"/>
      <c r="E135" s="956"/>
      <c r="F135" s="956"/>
      <c r="G135" s="956"/>
    </row>
    <row r="136" spans="1:7" ht="15" customHeight="1">
      <c r="A136" s="330" t="s">
        <v>1402</v>
      </c>
      <c r="B136" s="330"/>
      <c r="C136" s="330"/>
      <c r="D136" s="937" t="s">
        <v>1403</v>
      </c>
      <c r="E136" s="937"/>
      <c r="F136" s="937"/>
      <c r="G136" s="937"/>
    </row>
    <row r="137" spans="1:7" ht="15" customHeight="1">
      <c r="A137" s="936" t="s">
        <v>1489</v>
      </c>
      <c r="B137" s="936"/>
      <c r="C137" s="936"/>
      <c r="D137" s="936"/>
      <c r="E137" s="936"/>
      <c r="F137" s="936"/>
      <c r="G137" s="936"/>
    </row>
    <row r="138" spans="1:7">
      <c r="A138" s="936"/>
      <c r="B138" s="936"/>
      <c r="C138" s="936"/>
      <c r="D138" s="936"/>
      <c r="E138" s="936"/>
      <c r="F138" s="936"/>
      <c r="G138" s="936"/>
    </row>
    <row r="139" spans="1:7">
      <c r="A139" s="936"/>
      <c r="B139" s="936"/>
      <c r="C139" s="936"/>
      <c r="D139" s="936"/>
      <c r="E139" s="936"/>
      <c r="F139" s="936"/>
      <c r="G139" s="936"/>
    </row>
    <row r="140" spans="1:7">
      <c r="A140" s="936"/>
      <c r="B140" s="936"/>
      <c r="C140" s="936"/>
      <c r="D140" s="936"/>
      <c r="E140" s="936"/>
      <c r="F140" s="936"/>
      <c r="G140" s="936"/>
    </row>
    <row r="141" spans="1:7">
      <c r="A141" s="383" t="s">
        <v>1605</v>
      </c>
      <c r="B141" s="342"/>
      <c r="C141" s="342"/>
      <c r="D141" s="342"/>
      <c r="E141" s="342"/>
      <c r="F141" s="342"/>
      <c r="G141" s="342"/>
    </row>
    <row r="142" spans="1:7">
      <c r="A142" s="942" t="s">
        <v>998</v>
      </c>
      <c r="B142" s="942"/>
      <c r="C142" s="942"/>
      <c r="D142" s="937" t="s">
        <v>1705</v>
      </c>
      <c r="E142" s="937"/>
      <c r="F142" s="937"/>
      <c r="G142" s="937"/>
    </row>
    <row r="143" spans="1:7" ht="18.75" customHeight="1">
      <c r="A143" s="944" t="s">
        <v>1629</v>
      </c>
      <c r="B143" s="944"/>
      <c r="C143" s="944"/>
      <c r="D143" s="944"/>
      <c r="E143" s="944"/>
      <c r="F143" s="944"/>
      <c r="G143" s="944"/>
    </row>
    <row r="144" spans="1:7" ht="15.75" customHeight="1">
      <c r="A144" s="960" t="s">
        <v>1751</v>
      </c>
      <c r="B144" s="960"/>
      <c r="C144" s="960"/>
      <c r="D144" s="960"/>
      <c r="E144" s="960"/>
      <c r="F144" s="960"/>
      <c r="G144" s="960"/>
    </row>
    <row r="145" spans="1:16" ht="12" customHeight="1">
      <c r="A145" s="960"/>
      <c r="B145" s="960"/>
      <c r="C145" s="960"/>
      <c r="D145" s="960"/>
      <c r="E145" s="960"/>
      <c r="F145" s="960"/>
      <c r="G145" s="960"/>
    </row>
    <row r="146" spans="1:16">
      <c r="A146" s="956" t="s">
        <v>1550</v>
      </c>
      <c r="B146" s="956"/>
      <c r="C146" s="956"/>
      <c r="D146" s="956"/>
      <c r="E146" s="956"/>
      <c r="F146" s="956"/>
      <c r="G146" s="956"/>
    </row>
    <row r="147" spans="1:16">
      <c r="A147" s="330" t="s">
        <v>1711</v>
      </c>
      <c r="B147" s="330"/>
      <c r="C147" s="330"/>
      <c r="D147" s="937" t="s">
        <v>1704</v>
      </c>
      <c r="E147" s="937"/>
      <c r="F147" s="937"/>
      <c r="G147" s="937"/>
    </row>
    <row r="148" spans="1:16" ht="15" customHeight="1">
      <c r="A148" s="961" t="s">
        <v>1732</v>
      </c>
      <c r="B148" s="961"/>
      <c r="C148" s="961"/>
      <c r="D148" s="961"/>
      <c r="E148" s="961"/>
      <c r="F148" s="961"/>
      <c r="G148" s="961"/>
    </row>
    <row r="149" spans="1:16">
      <c r="A149" s="961"/>
      <c r="B149" s="961"/>
      <c r="C149" s="961"/>
      <c r="D149" s="961"/>
      <c r="E149" s="961"/>
      <c r="F149" s="961"/>
      <c r="G149" s="961"/>
    </row>
    <row r="150" spans="1:16">
      <c r="A150" s="961"/>
      <c r="B150" s="961"/>
      <c r="C150" s="961"/>
      <c r="D150" s="961"/>
      <c r="E150" s="961"/>
      <c r="F150" s="961"/>
      <c r="G150" s="961"/>
    </row>
    <row r="151" spans="1:16">
      <c r="A151" s="961"/>
      <c r="B151" s="961"/>
      <c r="C151" s="961"/>
      <c r="D151" s="961"/>
      <c r="E151" s="961"/>
      <c r="F151" s="961"/>
      <c r="G151" s="961"/>
      <c r="J151" s="331"/>
      <c r="K151" s="331"/>
      <c r="L151" s="331"/>
      <c r="M151" s="331"/>
      <c r="N151" s="331"/>
      <c r="O151" s="331"/>
      <c r="P151" s="331"/>
    </row>
    <row r="152" spans="1:16">
      <c r="A152" s="961"/>
      <c r="B152" s="961"/>
      <c r="C152" s="961"/>
      <c r="D152" s="961"/>
      <c r="E152" s="961"/>
      <c r="F152" s="961"/>
      <c r="G152" s="961"/>
    </row>
    <row r="153" spans="1:16" ht="15" customHeight="1">
      <c r="A153" s="330" t="s">
        <v>1582</v>
      </c>
      <c r="B153" s="330"/>
      <c r="C153" s="330"/>
      <c r="D153" s="382"/>
      <c r="E153" s="382"/>
      <c r="F153" s="382"/>
      <c r="G153" s="409" t="s">
        <v>1704</v>
      </c>
    </row>
    <row r="154" spans="1:16" ht="15" customHeight="1">
      <c r="A154" s="948" t="s">
        <v>1372</v>
      </c>
      <c r="B154" s="948"/>
      <c r="C154" s="948"/>
      <c r="D154" s="948"/>
      <c r="E154" s="948"/>
      <c r="F154" s="948"/>
      <c r="G154" s="948"/>
    </row>
    <row r="155" spans="1:16" ht="15" customHeight="1">
      <c r="A155" s="948"/>
      <c r="B155" s="948"/>
      <c r="C155" s="948"/>
      <c r="D155" s="948"/>
      <c r="E155" s="948"/>
      <c r="F155" s="948"/>
      <c r="G155" s="948"/>
    </row>
    <row r="156" spans="1:16">
      <c r="A156" s="948"/>
      <c r="B156" s="948"/>
      <c r="C156" s="948"/>
      <c r="D156" s="948"/>
      <c r="E156" s="948"/>
      <c r="F156" s="948"/>
      <c r="G156" s="948"/>
      <c r="H156"/>
      <c r="I156"/>
    </row>
    <row r="157" spans="1:16" ht="15" customHeight="1">
      <c r="A157" s="960" t="s">
        <v>1373</v>
      </c>
      <c r="B157" s="960"/>
      <c r="C157" s="960"/>
      <c r="D157" s="960"/>
      <c r="E157" s="960"/>
      <c r="F157" s="960"/>
      <c r="G157" s="960"/>
      <c r="H157"/>
      <c r="I157"/>
    </row>
    <row r="158" spans="1:16">
      <c r="A158" s="960"/>
      <c r="B158" s="960"/>
      <c r="C158" s="960"/>
      <c r="D158" s="960"/>
      <c r="E158" s="960"/>
      <c r="F158" s="960"/>
      <c r="G158" s="960"/>
      <c r="H158"/>
      <c r="I158"/>
    </row>
    <row r="159" spans="1:16">
      <c r="A159" s="956" t="s">
        <v>1706</v>
      </c>
      <c r="B159" s="956"/>
      <c r="C159" s="956"/>
      <c r="D159" s="956"/>
      <c r="E159" s="956"/>
      <c r="F159" s="956"/>
      <c r="G159" s="956"/>
      <c r="H159"/>
      <c r="I159"/>
    </row>
    <row r="160" spans="1:16" ht="21" customHeight="1">
      <c r="A160" s="348" t="s">
        <v>1053</v>
      </c>
      <c r="H160"/>
      <c r="I160"/>
    </row>
    <row r="161" spans="1:14" ht="15" customHeight="1">
      <c r="A161" s="942" t="s">
        <v>1510</v>
      </c>
      <c r="B161" s="942"/>
      <c r="C161" s="942"/>
      <c r="D161" s="942"/>
      <c r="E161" s="937" t="s">
        <v>1511</v>
      </c>
      <c r="F161" s="937"/>
      <c r="G161" s="937"/>
      <c r="H161"/>
      <c r="I161"/>
      <c r="J161"/>
    </row>
    <row r="162" spans="1:14" ht="15" customHeight="1">
      <c r="A162" s="341" t="s">
        <v>1551</v>
      </c>
      <c r="B162" s="413"/>
      <c r="C162" s="413"/>
      <c r="D162" s="413"/>
      <c r="E162" s="413"/>
      <c r="F162" s="413"/>
      <c r="G162" s="413"/>
      <c r="H162"/>
      <c r="I162"/>
      <c r="J162"/>
    </row>
    <row r="163" spans="1:14" ht="15" customHeight="1">
      <c r="A163" s="341" t="s">
        <v>1552</v>
      </c>
      <c r="B163" s="413"/>
      <c r="C163" s="413"/>
      <c r="D163" s="413"/>
      <c r="E163" s="413"/>
      <c r="F163" s="413"/>
      <c r="G163" s="413"/>
      <c r="H163"/>
      <c r="I163"/>
      <c r="J163"/>
    </row>
    <row r="164" spans="1:14" ht="15" customHeight="1">
      <c r="A164" s="936" t="s">
        <v>1553</v>
      </c>
      <c r="B164" s="936"/>
      <c r="C164" s="936"/>
      <c r="D164" s="936"/>
      <c r="E164" s="936"/>
      <c r="F164" s="936"/>
      <c r="G164" s="936"/>
      <c r="H164"/>
      <c r="I164"/>
      <c r="J164"/>
    </row>
    <row r="165" spans="1:14" ht="15" customHeight="1">
      <c r="A165" s="936"/>
      <c r="B165" s="936"/>
      <c r="C165" s="936"/>
      <c r="D165" s="936"/>
      <c r="E165" s="936"/>
      <c r="F165" s="936"/>
      <c r="G165" s="936"/>
      <c r="H165"/>
      <c r="I165"/>
      <c r="J165"/>
    </row>
    <row r="166" spans="1:14" ht="15" customHeight="1">
      <c r="A166" s="936"/>
      <c r="B166" s="936"/>
      <c r="C166" s="936"/>
      <c r="D166" s="936"/>
      <c r="E166" s="936"/>
      <c r="F166" s="936"/>
      <c r="G166" s="936"/>
      <c r="H166"/>
      <c r="I166"/>
      <c r="J166"/>
    </row>
    <row r="167" spans="1:14" ht="15" customHeight="1">
      <c r="A167" s="945" t="s">
        <v>1623</v>
      </c>
      <c r="B167" s="946"/>
      <c r="C167" s="946"/>
      <c r="D167" s="946"/>
      <c r="E167" s="946"/>
      <c r="F167" s="946"/>
      <c r="G167" s="946"/>
      <c r="H167"/>
      <c r="I167"/>
      <c r="J167"/>
    </row>
    <row r="168" spans="1:14" ht="15" customHeight="1">
      <c r="A168" s="946"/>
      <c r="B168" s="946"/>
      <c r="C168" s="946"/>
      <c r="D168" s="946"/>
      <c r="E168" s="946"/>
      <c r="F168" s="946"/>
      <c r="G168" s="946"/>
      <c r="M168" s="393"/>
    </row>
    <row r="169" spans="1:14" ht="15" customHeight="1">
      <c r="A169" s="946" t="s">
        <v>1554</v>
      </c>
      <c r="B169" s="946"/>
      <c r="C169" s="946"/>
      <c r="D169" s="946"/>
      <c r="E169" s="946"/>
      <c r="F169" s="946"/>
      <c r="G169" s="946"/>
      <c r="M169" s="392"/>
    </row>
    <row r="170" spans="1:14">
      <c r="A170" s="946"/>
      <c r="B170" s="946"/>
      <c r="C170" s="946"/>
      <c r="D170" s="946"/>
      <c r="E170" s="946"/>
      <c r="F170" s="946"/>
      <c r="G170" s="946"/>
      <c r="M170" s="392"/>
    </row>
    <row r="171" spans="1:14">
      <c r="A171" s="946"/>
      <c r="B171" s="946"/>
      <c r="C171" s="946"/>
      <c r="D171" s="946"/>
      <c r="E171" s="946"/>
      <c r="F171" s="946"/>
      <c r="G171" s="946"/>
      <c r="M171" s="392"/>
    </row>
    <row r="172" spans="1:14" ht="15" customHeight="1">
      <c r="A172" s="946" t="s">
        <v>1509</v>
      </c>
      <c r="B172" s="946"/>
      <c r="C172" s="946"/>
      <c r="D172" s="946"/>
      <c r="E172" s="946"/>
      <c r="F172" s="946"/>
      <c r="G172" s="946"/>
      <c r="H172" s="9"/>
      <c r="I172" s="9"/>
      <c r="J172"/>
      <c r="K172"/>
      <c r="L172"/>
      <c r="M172"/>
      <c r="N172"/>
    </row>
    <row r="173" spans="1:14" ht="15" customHeight="1">
      <c r="A173" s="946"/>
      <c r="B173" s="946"/>
      <c r="C173" s="946"/>
      <c r="D173" s="946"/>
      <c r="E173" s="946"/>
      <c r="F173" s="946"/>
      <c r="G173" s="946"/>
      <c r="H173" s="9"/>
      <c r="I173" s="9"/>
      <c r="J173"/>
      <c r="K173"/>
      <c r="L173"/>
      <c r="M173"/>
      <c r="N173"/>
    </row>
    <row r="174" spans="1:14" ht="15" customHeight="1" thickBot="1">
      <c r="A174" s="946"/>
      <c r="B174" s="946"/>
      <c r="C174" s="946"/>
      <c r="D174" s="946"/>
      <c r="E174" s="946"/>
      <c r="F174" s="946"/>
      <c r="G174" s="946"/>
      <c r="H174" s="9"/>
      <c r="I174" s="9"/>
      <c r="J174"/>
      <c r="K174"/>
      <c r="L174"/>
      <c r="M174"/>
      <c r="N174"/>
    </row>
    <row r="175" spans="1:14">
      <c r="A175" s="400"/>
      <c r="B175" s="597" t="s">
        <v>1556</v>
      </c>
      <c r="C175" s="598"/>
      <c r="D175" s="598"/>
      <c r="E175" s="598"/>
      <c r="F175" s="599"/>
      <c r="G175" s="401"/>
      <c r="H175" s="9"/>
      <c r="I175" s="9"/>
      <c r="J175"/>
      <c r="K175"/>
      <c r="L175"/>
      <c r="M175"/>
      <c r="N175"/>
    </row>
    <row r="176" spans="1:14">
      <c r="A176" s="400"/>
      <c r="B176" s="939" t="s">
        <v>1555</v>
      </c>
      <c r="C176" s="940"/>
      <c r="D176" s="940"/>
      <c r="E176" s="940"/>
      <c r="F176" s="941"/>
      <c r="G176" s="400"/>
      <c r="H176" s="9"/>
      <c r="I176" s="9"/>
      <c r="J176"/>
      <c r="K176"/>
      <c r="L176"/>
      <c r="M176"/>
      <c r="N176"/>
    </row>
    <row r="177" spans="1:14">
      <c r="A177" s="400"/>
      <c r="B177" s="939" t="s">
        <v>1507</v>
      </c>
      <c r="C177" s="940"/>
      <c r="D177" s="940"/>
      <c r="E177" s="940"/>
      <c r="F177" s="941"/>
      <c r="G177" s="400"/>
      <c r="H177" s="9"/>
      <c r="I177" s="9"/>
      <c r="J177"/>
      <c r="K177"/>
      <c r="L177"/>
      <c r="M177"/>
      <c r="N177"/>
    </row>
    <row r="178" spans="1:14" ht="15.75" thickBot="1">
      <c r="A178" s="400"/>
      <c r="B178" s="957" t="s">
        <v>1508</v>
      </c>
      <c r="C178" s="958"/>
      <c r="D178" s="958"/>
      <c r="E178" s="958"/>
      <c r="F178" s="959"/>
      <c r="G178" s="400"/>
      <c r="H178" s="9"/>
      <c r="I178" s="9"/>
      <c r="J178"/>
      <c r="K178"/>
      <c r="L178"/>
      <c r="M178"/>
      <c r="N178"/>
    </row>
    <row r="179" spans="1:14">
      <c r="A179" s="392"/>
      <c r="G179" s="392"/>
      <c r="H179" s="9"/>
      <c r="I179" s="9"/>
      <c r="J179"/>
      <c r="K179"/>
      <c r="L179"/>
      <c r="M179"/>
      <c r="N179"/>
    </row>
    <row r="180" spans="1:14" ht="15" customHeight="1">
      <c r="A180" s="942" t="s">
        <v>1624</v>
      </c>
      <c r="B180" s="942"/>
      <c r="C180" s="942"/>
      <c r="D180" s="942"/>
      <c r="E180" s="937" t="s">
        <v>1513</v>
      </c>
      <c r="F180" s="937"/>
      <c r="G180" s="937"/>
      <c r="H180"/>
      <c r="I180"/>
    </row>
    <row r="181" spans="1:14" ht="15" customHeight="1">
      <c r="A181" s="936" t="s">
        <v>1764</v>
      </c>
      <c r="B181" s="936"/>
      <c r="C181" s="936"/>
      <c r="D181" s="936"/>
      <c r="E181" s="936"/>
      <c r="F181" s="936"/>
      <c r="G181" s="936"/>
      <c r="H181"/>
      <c r="J181"/>
      <c r="K181"/>
      <c r="L181"/>
      <c r="M181"/>
      <c r="N181"/>
    </row>
    <row r="182" spans="1:14">
      <c r="A182" s="936"/>
      <c r="B182" s="936"/>
      <c r="C182" s="936"/>
      <c r="D182" s="936"/>
      <c r="E182" s="936"/>
      <c r="F182" s="936"/>
      <c r="G182" s="936"/>
      <c r="H182"/>
      <c r="J182"/>
      <c r="K182"/>
      <c r="L182"/>
      <c r="M182"/>
      <c r="N182"/>
    </row>
    <row r="183" spans="1:14">
      <c r="A183" s="936"/>
      <c r="B183" s="936"/>
      <c r="C183" s="936"/>
      <c r="D183" s="936"/>
      <c r="E183" s="936"/>
      <c r="F183" s="936"/>
      <c r="G183" s="936"/>
      <c r="H183"/>
      <c r="J183"/>
      <c r="K183"/>
      <c r="L183"/>
      <c r="M183"/>
      <c r="N183"/>
    </row>
    <row r="184" spans="1:14">
      <c r="A184" s="936"/>
      <c r="B184" s="936"/>
      <c r="C184" s="936"/>
      <c r="D184" s="936"/>
      <c r="E184" s="936"/>
      <c r="F184" s="936"/>
      <c r="G184" s="936"/>
      <c r="H184"/>
      <c r="J184"/>
      <c r="K184"/>
      <c r="L184"/>
      <c r="M184"/>
      <c r="N184"/>
    </row>
    <row r="185" spans="1:14">
      <c r="A185" s="936"/>
      <c r="B185" s="936"/>
      <c r="C185" s="936"/>
      <c r="D185" s="936"/>
      <c r="E185" s="936"/>
      <c r="F185" s="936"/>
      <c r="G185" s="936"/>
      <c r="H185"/>
      <c r="J185"/>
      <c r="K185"/>
      <c r="L185"/>
      <c r="M185"/>
      <c r="N185"/>
    </row>
    <row r="186" spans="1:14">
      <c r="A186" s="936"/>
      <c r="B186" s="936"/>
      <c r="C186" s="936"/>
      <c r="D186" s="936"/>
      <c r="E186" s="936"/>
      <c r="F186" s="936"/>
      <c r="G186" s="936"/>
      <c r="H186"/>
      <c r="J186"/>
      <c r="K186"/>
      <c r="L186"/>
      <c r="M186"/>
      <c r="N186"/>
    </row>
    <row r="187" spans="1:14">
      <c r="A187" s="936"/>
      <c r="B187" s="936"/>
      <c r="C187" s="936"/>
      <c r="D187" s="936"/>
      <c r="E187" s="936"/>
      <c r="F187" s="936"/>
      <c r="G187" s="936"/>
      <c r="H187"/>
      <c r="J187"/>
      <c r="K187"/>
      <c r="L187"/>
      <c r="M187"/>
      <c r="N187"/>
    </row>
    <row r="188" spans="1:14">
      <c r="A188" s="600" t="s">
        <v>1512</v>
      </c>
      <c r="B188" s="324"/>
      <c r="C188" s="324"/>
      <c r="D188" s="324"/>
      <c r="E188" s="324"/>
      <c r="F188" s="323"/>
      <c r="G188" s="323"/>
      <c r="H188"/>
      <c r="J188"/>
      <c r="K188"/>
      <c r="L188"/>
      <c r="M188"/>
      <c r="N188"/>
    </row>
    <row r="189" spans="1:14" ht="15" customHeight="1">
      <c r="A189" s="942" t="s">
        <v>1541</v>
      </c>
      <c r="B189" s="942"/>
      <c r="C189" s="942"/>
      <c r="D189" s="942"/>
      <c r="E189" s="937" t="s">
        <v>1920</v>
      </c>
      <c r="F189" s="937"/>
      <c r="G189" s="937"/>
      <c r="H189"/>
      <c r="I189"/>
    </row>
    <row r="190" spans="1:14">
      <c r="A190" s="948" t="s">
        <v>1380</v>
      </c>
      <c r="B190" s="948"/>
      <c r="C190" s="948"/>
      <c r="D190" s="948"/>
      <c r="E190" s="948"/>
      <c r="F190" s="948"/>
      <c r="G190" s="948"/>
      <c r="H190"/>
      <c r="I190" s="337"/>
    </row>
    <row r="191" spans="1:14">
      <c r="A191" s="948"/>
      <c r="B191" s="948"/>
      <c r="C191" s="948"/>
      <c r="D191" s="948"/>
      <c r="E191" s="948"/>
      <c r="F191" s="948"/>
      <c r="G191" s="948"/>
      <c r="H191"/>
      <c r="I191" s="337"/>
    </row>
    <row r="192" spans="1:14">
      <c r="A192" s="948"/>
      <c r="B192" s="948"/>
      <c r="C192" s="948"/>
      <c r="D192" s="948"/>
      <c r="E192" s="948"/>
      <c r="F192" s="948"/>
      <c r="G192" s="948"/>
      <c r="H192"/>
      <c r="I192" s="337"/>
    </row>
    <row r="193" spans="1:14">
      <c r="A193" s="944" t="s">
        <v>1630</v>
      </c>
      <c r="B193" s="944"/>
      <c r="C193" s="944"/>
      <c r="D193" s="944"/>
      <c r="E193" s="944"/>
      <c r="F193" s="944"/>
      <c r="G193" s="944"/>
      <c r="H193"/>
      <c r="I193" s="337"/>
    </row>
    <row r="194" spans="1:14">
      <c r="A194" s="956" t="s">
        <v>1945</v>
      </c>
      <c r="B194" s="956"/>
      <c r="C194" s="956"/>
      <c r="D194" s="956"/>
      <c r="E194" s="956"/>
      <c r="F194" s="956"/>
      <c r="G194" s="956"/>
      <c r="H194"/>
      <c r="I194"/>
    </row>
    <row r="195" spans="1:14">
      <c r="A195" s="330" t="s">
        <v>1505</v>
      </c>
      <c r="B195" s="330"/>
      <c r="C195" s="330"/>
      <c r="D195" s="937" t="s">
        <v>1728</v>
      </c>
      <c r="E195" s="937"/>
      <c r="F195" s="937"/>
      <c r="G195" s="937"/>
      <c r="H195"/>
      <c r="J195"/>
      <c r="K195"/>
      <c r="L195"/>
      <c r="M195"/>
      <c r="N195"/>
    </row>
    <row r="196" spans="1:14" ht="24" customHeight="1">
      <c r="A196" s="944" t="s">
        <v>1631</v>
      </c>
      <c r="B196" s="944"/>
      <c r="C196" s="944"/>
      <c r="D196" s="944"/>
      <c r="E196" s="944"/>
      <c r="F196" s="944"/>
      <c r="G196" s="944"/>
      <c r="H196"/>
      <c r="J196"/>
      <c r="K196"/>
      <c r="L196"/>
      <c r="M196"/>
      <c r="N196"/>
    </row>
    <row r="197" spans="1:14">
      <c r="A197" s="948" t="s">
        <v>1506</v>
      </c>
      <c r="B197" s="948"/>
      <c r="C197" s="948"/>
      <c r="D197" s="948"/>
      <c r="E197" s="948"/>
      <c r="F197" s="948"/>
      <c r="G197" s="948"/>
      <c r="H197"/>
      <c r="I197" s="83"/>
      <c r="J197"/>
      <c r="K197"/>
      <c r="L197"/>
      <c r="M197"/>
      <c r="N197"/>
    </row>
    <row r="198" spans="1:14">
      <c r="A198" s="948"/>
      <c r="B198" s="948"/>
      <c r="C198" s="948"/>
      <c r="D198" s="948"/>
      <c r="E198" s="948"/>
      <c r="F198" s="948"/>
      <c r="G198" s="948"/>
      <c r="H198"/>
      <c r="I198" s="83"/>
      <c r="J198"/>
      <c r="K198"/>
      <c r="L198"/>
      <c r="M198"/>
      <c r="N198"/>
    </row>
    <row r="199" spans="1:14">
      <c r="A199" s="948"/>
      <c r="B199" s="948"/>
      <c r="C199" s="948"/>
      <c r="D199" s="948"/>
      <c r="E199" s="948"/>
      <c r="F199" s="948"/>
      <c r="G199" s="948"/>
      <c r="H199"/>
      <c r="I199" s="83"/>
      <c r="J199"/>
      <c r="K199"/>
      <c r="L199"/>
      <c r="M199"/>
      <c r="N199"/>
    </row>
    <row r="200" spans="1:14">
      <c r="A200" s="948"/>
      <c r="B200" s="948"/>
      <c r="C200" s="948"/>
      <c r="D200" s="948"/>
      <c r="E200" s="948"/>
      <c r="F200" s="948"/>
      <c r="G200" s="948"/>
      <c r="H200"/>
    </row>
    <row r="201" spans="1:14">
      <c r="A201" s="330" t="s">
        <v>569</v>
      </c>
      <c r="B201" s="330"/>
      <c r="C201" s="330"/>
      <c r="D201" s="382"/>
      <c r="E201" s="382"/>
      <c r="F201" s="382"/>
      <c r="G201" s="693" t="s">
        <v>1742</v>
      </c>
      <c r="H201"/>
      <c r="I201" s="83"/>
      <c r="J201"/>
      <c r="K201"/>
      <c r="L201"/>
      <c r="M201"/>
      <c r="N201"/>
    </row>
    <row r="202" spans="1:14">
      <c r="A202" s="944" t="s">
        <v>1745</v>
      </c>
      <c r="B202" s="944"/>
      <c r="C202" s="944"/>
      <c r="D202" s="944"/>
      <c r="E202" s="944"/>
      <c r="F202" s="944"/>
      <c r="G202" s="944"/>
      <c r="H202"/>
      <c r="I202" s="83"/>
      <c r="J202"/>
      <c r="K202"/>
      <c r="L202"/>
      <c r="M202"/>
      <c r="N202"/>
    </row>
    <row r="203" spans="1:14">
      <c r="A203" s="944"/>
      <c r="B203" s="944"/>
      <c r="C203" s="944"/>
      <c r="D203" s="944"/>
      <c r="E203" s="944"/>
      <c r="F203" s="944"/>
      <c r="G203" s="944"/>
      <c r="H203"/>
      <c r="J203"/>
      <c r="K203"/>
      <c r="L203"/>
      <c r="M203"/>
      <c r="N203"/>
    </row>
    <row r="204" spans="1:14">
      <c r="A204" s="348" t="s">
        <v>1134</v>
      </c>
      <c r="B204" s="324"/>
      <c r="C204" s="324"/>
      <c r="D204" s="324"/>
      <c r="E204" s="324"/>
      <c r="F204" s="324"/>
      <c r="G204" s="324"/>
      <c r="H204"/>
      <c r="J204"/>
      <c r="K204"/>
      <c r="L204"/>
      <c r="M204"/>
      <c r="N204"/>
    </row>
    <row r="205" spans="1:14">
      <c r="A205" s="952" t="s">
        <v>1500</v>
      </c>
      <c r="B205" s="952"/>
      <c r="C205" s="952"/>
      <c r="D205" s="937" t="s">
        <v>1921</v>
      </c>
      <c r="E205" s="937"/>
      <c r="F205" s="937"/>
      <c r="G205" s="937"/>
      <c r="H205"/>
      <c r="J205"/>
      <c r="K205"/>
      <c r="L205"/>
      <c r="M205"/>
      <c r="N205"/>
    </row>
    <row r="206" spans="1:14">
      <c r="A206" s="955" t="s">
        <v>1493</v>
      </c>
      <c r="B206" s="955"/>
      <c r="C206" s="955"/>
      <c r="D206" s="955"/>
      <c r="E206" s="955"/>
      <c r="F206" s="955"/>
      <c r="G206" s="955"/>
      <c r="H206"/>
      <c r="J206"/>
      <c r="K206"/>
      <c r="L206"/>
      <c r="M206"/>
      <c r="N206"/>
    </row>
    <row r="207" spans="1:14" ht="27" customHeight="1">
      <c r="A207" s="955"/>
      <c r="B207" s="955"/>
      <c r="C207" s="955"/>
      <c r="D207" s="955"/>
      <c r="E207" s="955"/>
      <c r="F207" s="955"/>
      <c r="G207" s="955"/>
      <c r="H207"/>
      <c r="I207" s="128"/>
      <c r="J207"/>
      <c r="K207"/>
      <c r="L207"/>
      <c r="M207"/>
      <c r="N207"/>
    </row>
    <row r="208" spans="1:14">
      <c r="A208" s="386" t="s">
        <v>1494</v>
      </c>
      <c r="B208" s="324"/>
      <c r="C208" s="324"/>
      <c r="D208" s="324"/>
      <c r="E208" s="324"/>
      <c r="F208" s="324"/>
      <c r="G208" s="324"/>
      <c r="H208"/>
      <c r="I208" s="388"/>
      <c r="J208"/>
      <c r="K208"/>
      <c r="L208"/>
      <c r="M208"/>
      <c r="N208"/>
    </row>
    <row r="209" spans="1:15">
      <c r="A209" s="386" t="s">
        <v>1495</v>
      </c>
      <c r="B209" s="324"/>
      <c r="C209" s="324"/>
      <c r="D209" s="324"/>
      <c r="E209" s="324"/>
      <c r="F209" s="324"/>
      <c r="G209" s="324"/>
      <c r="H209"/>
      <c r="I209" s="389"/>
      <c r="J209"/>
      <c r="K209"/>
      <c r="L209"/>
      <c r="M209"/>
      <c r="N209"/>
    </row>
    <row r="210" spans="1:15">
      <c r="A210" s="387" t="s">
        <v>1626</v>
      </c>
      <c r="B210" s="324"/>
      <c r="C210" s="324"/>
      <c r="D210" s="324"/>
      <c r="E210" s="324"/>
      <c r="F210" s="324"/>
      <c r="G210" s="324"/>
      <c r="H210"/>
      <c r="I210" s="128"/>
      <c r="J210"/>
      <c r="K210"/>
      <c r="L210"/>
      <c r="M210"/>
      <c r="N210"/>
    </row>
    <row r="211" spans="1:15">
      <c r="A211" s="387" t="s">
        <v>1625</v>
      </c>
      <c r="B211" s="324"/>
      <c r="C211" s="324"/>
      <c r="D211" s="324"/>
      <c r="E211" s="324"/>
      <c r="F211" s="324"/>
      <c r="G211" s="324"/>
      <c r="H211"/>
      <c r="I211" s="128"/>
      <c r="J211"/>
      <c r="K211"/>
      <c r="L211"/>
      <c r="M211"/>
      <c r="N211"/>
    </row>
    <row r="212" spans="1:15">
      <c r="A212" s="386" t="s">
        <v>1496</v>
      </c>
      <c r="B212" s="324"/>
      <c r="C212" s="324"/>
      <c r="D212" s="324"/>
      <c r="E212" s="324"/>
      <c r="F212" s="324"/>
      <c r="G212" s="324"/>
      <c r="H212"/>
      <c r="I212" s="388"/>
      <c r="J212"/>
      <c r="K212"/>
      <c r="L212"/>
      <c r="M212"/>
      <c r="N212"/>
    </row>
    <row r="213" spans="1:15">
      <c r="A213" s="952" t="s">
        <v>1501</v>
      </c>
      <c r="B213" s="952"/>
      <c r="C213" s="952"/>
      <c r="D213" s="937"/>
      <c r="E213" s="937"/>
      <c r="F213" s="937"/>
      <c r="G213" s="937"/>
      <c r="H213"/>
      <c r="I213" s="388"/>
      <c r="J213"/>
      <c r="K213"/>
      <c r="L213"/>
      <c r="M213"/>
      <c r="N213"/>
    </row>
    <row r="214" spans="1:15">
      <c r="A214" s="441" t="s">
        <v>508</v>
      </c>
      <c r="B214" s="324"/>
      <c r="C214" s="324"/>
      <c r="D214" s="324"/>
      <c r="E214" s="324"/>
      <c r="F214" s="324"/>
      <c r="G214" s="324"/>
      <c r="H214"/>
      <c r="I214" s="388"/>
      <c r="J214"/>
      <c r="K214"/>
      <c r="L214"/>
      <c r="M214"/>
      <c r="N214"/>
    </row>
    <row r="215" spans="1:15">
      <c r="A215" s="601" t="s">
        <v>1502</v>
      </c>
      <c r="B215" s="324"/>
      <c r="C215" s="324"/>
      <c r="D215" s="324"/>
      <c r="E215" s="324"/>
      <c r="F215" s="324"/>
      <c r="G215" s="324"/>
      <c r="H215"/>
      <c r="I215" s="388"/>
      <c r="J215"/>
      <c r="K215"/>
      <c r="L215"/>
      <c r="M215"/>
      <c r="N215"/>
    </row>
    <row r="216" spans="1:15" ht="15" customHeight="1">
      <c r="A216" s="601"/>
      <c r="B216" s="602" t="s">
        <v>1557</v>
      </c>
      <c r="C216" s="324"/>
      <c r="D216" s="324"/>
      <c r="E216" s="324"/>
      <c r="F216" s="324"/>
      <c r="G216" s="324"/>
      <c r="H216"/>
      <c r="I216" s="128"/>
      <c r="J216"/>
      <c r="K216"/>
      <c r="L216"/>
      <c r="M216"/>
      <c r="N216"/>
    </row>
    <row r="217" spans="1:15" ht="15" customHeight="1">
      <c r="A217" s="601"/>
      <c r="B217" s="603" t="s">
        <v>1497</v>
      </c>
      <c r="C217" s="324"/>
      <c r="D217" s="324"/>
      <c r="E217" s="324"/>
      <c r="F217" s="324"/>
      <c r="G217" s="324"/>
      <c r="H217"/>
      <c r="I217" s="128"/>
      <c r="J217"/>
      <c r="K217"/>
      <c r="L217"/>
      <c r="M217"/>
      <c r="N217"/>
    </row>
    <row r="218" spans="1:15">
      <c r="A218" s="601"/>
      <c r="B218" s="602" t="s">
        <v>683</v>
      </c>
      <c r="C218" s="324"/>
      <c r="D218" s="324"/>
      <c r="E218" s="324"/>
      <c r="F218" s="324"/>
      <c r="G218" s="324"/>
      <c r="H218"/>
      <c r="J218"/>
      <c r="K218"/>
      <c r="L218"/>
      <c r="M218"/>
      <c r="N218"/>
    </row>
    <row r="219" spans="1:15">
      <c r="A219" s="601"/>
      <c r="B219" s="602" t="s">
        <v>1498</v>
      </c>
      <c r="C219" s="324"/>
      <c r="D219" s="324"/>
      <c r="E219" s="324"/>
      <c r="F219" s="324"/>
      <c r="G219" s="324"/>
      <c r="H219"/>
      <c r="J219"/>
      <c r="K219"/>
      <c r="L219"/>
      <c r="M219"/>
      <c r="N219"/>
    </row>
    <row r="220" spans="1:15" ht="15" customHeight="1">
      <c r="A220" s="601"/>
      <c r="B220" s="602" t="s">
        <v>685</v>
      </c>
      <c r="C220" s="324"/>
      <c r="D220" s="324"/>
      <c r="E220" s="324"/>
      <c r="F220" s="324"/>
      <c r="G220" s="324"/>
      <c r="H220"/>
      <c r="J220" s="312"/>
      <c r="K220" s="312"/>
      <c r="L220" s="312"/>
      <c r="M220" s="312"/>
      <c r="N220" s="312"/>
    </row>
    <row r="221" spans="1:15">
      <c r="A221" s="601"/>
      <c r="B221" s="602" t="s">
        <v>686</v>
      </c>
      <c r="C221" s="324"/>
      <c r="D221" s="324"/>
      <c r="E221" s="324"/>
      <c r="F221" s="324"/>
      <c r="G221" s="324"/>
      <c r="H221"/>
      <c r="J221" s="312"/>
      <c r="K221" s="312"/>
      <c r="L221" s="312"/>
      <c r="M221" s="312"/>
      <c r="N221" s="312"/>
    </row>
    <row r="222" spans="1:15" ht="15" customHeight="1">
      <c r="A222" s="601" t="s">
        <v>510</v>
      </c>
      <c r="B222" s="324"/>
      <c r="C222" s="324"/>
      <c r="D222" s="324"/>
      <c r="E222" s="324"/>
      <c r="F222" s="324"/>
      <c r="G222" s="324"/>
      <c r="H222"/>
      <c r="J222"/>
      <c r="K222"/>
      <c r="L222"/>
      <c r="M222"/>
      <c r="N222"/>
    </row>
    <row r="223" spans="1:15">
      <c r="A223" s="601" t="s">
        <v>1135</v>
      </c>
      <c r="B223" s="324"/>
      <c r="C223" s="324"/>
      <c r="D223" s="324"/>
      <c r="E223" s="324"/>
      <c r="F223" s="324"/>
      <c r="G223" s="324"/>
      <c r="H223"/>
      <c r="J223" s="332"/>
      <c r="K223" s="332"/>
      <c r="L223" s="332"/>
      <c r="M223" s="332"/>
      <c r="N223" s="332"/>
      <c r="O223" s="333"/>
    </row>
    <row r="224" spans="1:15">
      <c r="A224" s="601" t="s">
        <v>512</v>
      </c>
      <c r="B224" s="324"/>
      <c r="C224" s="324"/>
      <c r="D224" s="324"/>
      <c r="E224" s="324"/>
      <c r="F224" s="324"/>
      <c r="G224" s="324"/>
      <c r="H224"/>
      <c r="J224" s="332"/>
      <c r="K224" s="332"/>
      <c r="L224" s="332"/>
      <c r="M224" s="332"/>
      <c r="N224" s="332"/>
      <c r="O224" s="333"/>
    </row>
    <row r="225" spans="1:15" ht="17.25" customHeight="1">
      <c r="A225" s="601" t="s">
        <v>513</v>
      </c>
      <c r="B225" s="324"/>
      <c r="C225" s="324"/>
      <c r="D225" s="324"/>
      <c r="E225" s="324"/>
      <c r="F225" s="324"/>
      <c r="G225" s="324"/>
      <c r="H225"/>
      <c r="I225" s="954"/>
      <c r="J225" s="954"/>
      <c r="K225" s="954"/>
      <c r="L225" s="954"/>
      <c r="M225" s="954"/>
      <c r="N225" s="954"/>
      <c r="O225" s="954"/>
    </row>
    <row r="226" spans="1:15" ht="15" customHeight="1">
      <c r="A226" s="601" t="s">
        <v>514</v>
      </c>
      <c r="B226" s="324"/>
      <c r="C226" s="324"/>
      <c r="D226" s="324"/>
      <c r="E226" s="324"/>
      <c r="F226" s="324"/>
      <c r="G226" s="324"/>
      <c r="H226"/>
      <c r="I226" s="953"/>
      <c r="J226" s="953"/>
      <c r="K226" s="953"/>
      <c r="L226" s="953"/>
      <c r="M226" s="953"/>
      <c r="N226" s="953"/>
      <c r="O226" s="953"/>
    </row>
    <row r="227" spans="1:15" ht="15" customHeight="1">
      <c r="A227" s="601" t="s">
        <v>515</v>
      </c>
      <c r="B227" s="324"/>
      <c r="C227" s="324"/>
      <c r="D227" s="324"/>
      <c r="E227" s="324"/>
      <c r="F227" s="324"/>
      <c r="G227" s="324"/>
      <c r="H227"/>
      <c r="I227" s="953"/>
      <c r="J227" s="953"/>
      <c r="K227" s="953"/>
      <c r="L227" s="953"/>
      <c r="M227" s="953"/>
      <c r="N227" s="953"/>
      <c r="O227" s="953"/>
    </row>
    <row r="228" spans="1:15">
      <c r="A228" s="601" t="s">
        <v>516</v>
      </c>
      <c r="B228" s="324"/>
      <c r="C228" s="324"/>
      <c r="D228" s="324"/>
      <c r="E228" s="324"/>
      <c r="F228" s="324"/>
      <c r="G228" s="324"/>
      <c r="H228"/>
      <c r="I228" s="953"/>
      <c r="J228" s="953"/>
      <c r="K228" s="953"/>
      <c r="L228" s="953"/>
      <c r="M228" s="953"/>
      <c r="N228" s="953"/>
      <c r="O228" s="953"/>
    </row>
    <row r="229" spans="1:15">
      <c r="A229" s="601" t="s">
        <v>517</v>
      </c>
      <c r="B229" s="324"/>
      <c r="C229" s="324"/>
      <c r="D229" s="324"/>
      <c r="E229" s="324"/>
      <c r="F229" s="324"/>
      <c r="G229" s="324"/>
      <c r="H229"/>
      <c r="I229" s="953"/>
      <c r="J229" s="953"/>
      <c r="K229" s="953"/>
      <c r="L229" s="953"/>
      <c r="M229" s="953"/>
      <c r="N229" s="953"/>
      <c r="O229" s="953"/>
    </row>
    <row r="230" spans="1:15" ht="15" customHeight="1">
      <c r="A230" s="601" t="s">
        <v>518</v>
      </c>
      <c r="B230" s="324"/>
      <c r="C230" s="324"/>
      <c r="D230" s="324"/>
      <c r="E230" s="324"/>
      <c r="F230" s="324"/>
      <c r="G230" s="324"/>
      <c r="H230"/>
      <c r="I230" s="953"/>
      <c r="J230" s="953"/>
      <c r="K230" s="953"/>
      <c r="L230" s="953"/>
      <c r="M230" s="953"/>
      <c r="N230" s="953"/>
      <c r="O230" s="953"/>
    </row>
    <row r="231" spans="1:15">
      <c r="A231" s="601" t="s">
        <v>519</v>
      </c>
      <c r="B231" s="324"/>
      <c r="C231" s="324"/>
      <c r="D231" s="324"/>
      <c r="E231" s="324"/>
      <c r="F231" s="324"/>
      <c r="G231" s="324"/>
    </row>
    <row r="232" spans="1:15" ht="15" customHeight="1">
      <c r="A232" s="942" t="s">
        <v>1309</v>
      </c>
      <c r="B232" s="942"/>
      <c r="C232" s="942"/>
      <c r="D232" s="937" t="s">
        <v>1921</v>
      </c>
      <c r="E232" s="937"/>
      <c r="F232" s="937"/>
      <c r="G232" s="937"/>
    </row>
    <row r="233" spans="1:15" ht="15" customHeight="1">
      <c r="A233" s="948" t="s">
        <v>1400</v>
      </c>
      <c r="B233" s="948"/>
      <c r="C233" s="948"/>
      <c r="D233" s="948"/>
      <c r="E233" s="948"/>
      <c r="F233" s="948"/>
      <c r="G233" s="948"/>
    </row>
    <row r="234" spans="1:15">
      <c r="A234" s="948"/>
      <c r="B234" s="948"/>
      <c r="C234" s="948"/>
      <c r="D234" s="948"/>
      <c r="E234" s="948"/>
      <c r="F234" s="948"/>
      <c r="G234" s="948"/>
    </row>
    <row r="235" spans="1:15">
      <c r="A235" s="944" t="s">
        <v>1392</v>
      </c>
      <c r="B235" s="944"/>
      <c r="C235" s="944"/>
      <c r="D235" s="944"/>
      <c r="E235" s="944"/>
      <c r="F235" s="944"/>
      <c r="G235" s="944"/>
    </row>
    <row r="236" spans="1:15">
      <c r="A236" s="944"/>
      <c r="B236" s="944"/>
      <c r="C236" s="944"/>
      <c r="D236" s="944"/>
      <c r="E236" s="944"/>
      <c r="F236" s="944"/>
      <c r="G236" s="944"/>
    </row>
    <row r="237" spans="1:15" ht="15" customHeight="1">
      <c r="A237" s="948" t="s">
        <v>1393</v>
      </c>
      <c r="B237" s="948"/>
      <c r="C237" s="948"/>
      <c r="D237" s="948"/>
      <c r="E237" s="948"/>
      <c r="F237" s="948"/>
      <c r="G237" s="948"/>
    </row>
    <row r="238" spans="1:15">
      <c r="A238" s="948"/>
      <c r="B238" s="948"/>
      <c r="C238" s="948"/>
      <c r="D238" s="948"/>
      <c r="E238" s="948"/>
      <c r="F238" s="948"/>
      <c r="G238" s="948"/>
    </row>
    <row r="239" spans="1:15" ht="15" customHeight="1">
      <c r="A239" s="948" t="s">
        <v>1401</v>
      </c>
      <c r="B239" s="948"/>
      <c r="C239" s="948"/>
      <c r="D239" s="948"/>
      <c r="E239" s="948"/>
      <c r="F239" s="948"/>
      <c r="G239" s="948"/>
    </row>
    <row r="240" spans="1:15" ht="15" customHeight="1">
      <c r="A240" s="948"/>
      <c r="B240" s="948"/>
      <c r="C240" s="948"/>
      <c r="D240" s="948"/>
      <c r="E240" s="948"/>
      <c r="F240" s="948"/>
      <c r="G240" s="948"/>
    </row>
    <row r="241" spans="1:15">
      <c r="A241" s="406"/>
      <c r="B241" s="406"/>
      <c r="C241" s="406"/>
      <c r="D241" s="406"/>
      <c r="E241" s="406"/>
      <c r="F241" s="406"/>
      <c r="G241" s="406"/>
    </row>
    <row r="242" spans="1:15">
      <c r="A242" s="348" t="s">
        <v>1428</v>
      </c>
      <c r="B242" s="324"/>
      <c r="C242" s="324"/>
      <c r="D242" s="324"/>
      <c r="E242" s="324"/>
      <c r="F242" s="324"/>
      <c r="G242" s="324"/>
    </row>
    <row r="243" spans="1:15">
      <c r="A243" s="942" t="s">
        <v>1515</v>
      </c>
      <c r="B243" s="942"/>
      <c r="C243" s="942"/>
      <c r="D243" s="937" t="s">
        <v>1922</v>
      </c>
      <c r="E243" s="937"/>
      <c r="F243" s="937"/>
      <c r="G243" s="937"/>
    </row>
    <row r="244" spans="1:15">
      <c r="A244" s="944" t="s">
        <v>1377</v>
      </c>
      <c r="B244" s="944"/>
      <c r="C244" s="944"/>
      <c r="D244" s="944"/>
      <c r="E244" s="944"/>
      <c r="F244" s="944"/>
      <c r="G244" s="944"/>
    </row>
    <row r="245" spans="1:15" ht="11.25" customHeight="1">
      <c r="A245" s="944"/>
      <c r="B245" s="944"/>
      <c r="C245" s="944"/>
      <c r="D245" s="944"/>
      <c r="E245" s="944"/>
      <c r="F245" s="944"/>
      <c r="G245" s="944"/>
    </row>
    <row r="246" spans="1:15">
      <c r="A246" s="942" t="s">
        <v>204</v>
      </c>
      <c r="B246" s="942"/>
      <c r="C246" s="942"/>
      <c r="D246" s="937" t="s">
        <v>1922</v>
      </c>
      <c r="E246" s="937"/>
      <c r="F246" s="937"/>
      <c r="G246" s="937"/>
    </row>
    <row r="247" spans="1:15">
      <c r="A247" s="379" t="s">
        <v>1528</v>
      </c>
      <c r="B247" s="407"/>
      <c r="C247" s="407"/>
      <c r="D247" s="407"/>
      <c r="E247" s="407"/>
      <c r="F247" s="407"/>
      <c r="G247" s="407"/>
    </row>
    <row r="248" spans="1:15" s="380" customFormat="1">
      <c r="A248" s="408" t="s">
        <v>1378</v>
      </c>
      <c r="B248" s="408"/>
      <c r="C248" s="408"/>
      <c r="D248" s="382"/>
      <c r="E248" s="382"/>
      <c r="F248" s="382"/>
      <c r="G248" s="409" t="s">
        <v>1923</v>
      </c>
    </row>
    <row r="249" spans="1:15">
      <c r="A249" s="343" t="s">
        <v>1946</v>
      </c>
      <c r="B249" s="343"/>
      <c r="C249" s="343"/>
      <c r="D249" s="343"/>
      <c r="E249" s="343"/>
      <c r="F249" s="343"/>
      <c r="G249" s="343"/>
    </row>
    <row r="250" spans="1:15">
      <c r="A250" s="942" t="s">
        <v>1517</v>
      </c>
      <c r="B250" s="942"/>
      <c r="C250" s="942"/>
      <c r="D250" s="382"/>
      <c r="E250" s="382"/>
      <c r="F250" s="382"/>
      <c r="G250" s="409" t="s">
        <v>1936</v>
      </c>
    </row>
    <row r="251" spans="1:15">
      <c r="A251" s="343" t="s">
        <v>1429</v>
      </c>
      <c r="B251" s="332"/>
      <c r="C251" s="332"/>
      <c r="D251" s="332"/>
      <c r="E251" s="332"/>
      <c r="F251" s="332"/>
      <c r="G251" s="332"/>
    </row>
    <row r="252" spans="1:15">
      <c r="A252" s="942" t="s">
        <v>1947</v>
      </c>
      <c r="B252" s="942"/>
      <c r="C252" s="942"/>
      <c r="D252" s="937" t="s">
        <v>1924</v>
      </c>
      <c r="E252" s="937"/>
      <c r="F252" s="937"/>
      <c r="G252" s="937"/>
    </row>
    <row r="253" spans="1:15" s="350" customFormat="1">
      <c r="A253" s="944" t="s">
        <v>1399</v>
      </c>
      <c r="B253" s="944"/>
      <c r="C253" s="944"/>
      <c r="D253" s="944"/>
      <c r="E253" s="944"/>
      <c r="F253" s="944"/>
      <c r="G253" s="944"/>
    </row>
    <row r="254" spans="1:15">
      <c r="A254" s="942" t="s">
        <v>1948</v>
      </c>
      <c r="B254" s="942"/>
      <c r="C254" s="942"/>
      <c r="D254" s="937" t="s">
        <v>1940</v>
      </c>
      <c r="E254" s="937"/>
      <c r="F254" s="937"/>
      <c r="G254" s="937"/>
      <c r="I254" s="383"/>
      <c r="J254" s="383"/>
      <c r="K254" s="383"/>
      <c r="L254" s="383"/>
      <c r="M254" s="383"/>
      <c r="N254" s="383"/>
      <c r="O254" s="383"/>
    </row>
    <row r="255" spans="1:15">
      <c r="A255" s="944" t="s">
        <v>1864</v>
      </c>
      <c r="B255" s="944"/>
      <c r="C255" s="944"/>
      <c r="D255" s="944"/>
      <c r="E255" s="944"/>
      <c r="F255" s="944"/>
      <c r="G255" s="944"/>
      <c r="I255" s="383"/>
      <c r="J255" s="383"/>
      <c r="K255" s="383"/>
      <c r="L255" s="383"/>
      <c r="M255" s="383"/>
      <c r="N255" s="383"/>
      <c r="O255" s="383"/>
    </row>
    <row r="256" spans="1:15">
      <c r="A256" s="942" t="s">
        <v>1558</v>
      </c>
      <c r="B256" s="942"/>
      <c r="C256" s="942"/>
      <c r="D256" s="942"/>
      <c r="E256" s="937" t="s">
        <v>1702</v>
      </c>
      <c r="F256" s="937"/>
      <c r="G256" s="937"/>
      <c r="I256" s="383"/>
      <c r="J256" s="383"/>
      <c r="K256" s="383"/>
      <c r="L256" s="383"/>
      <c r="M256" s="383"/>
      <c r="N256" s="383"/>
      <c r="O256" s="383"/>
    </row>
    <row r="257" spans="1:15">
      <c r="A257" s="935" t="s">
        <v>1765</v>
      </c>
      <c r="B257" s="935"/>
      <c r="C257" s="935"/>
      <c r="D257" s="935"/>
      <c r="E257" s="935"/>
      <c r="F257" s="935"/>
      <c r="G257" s="935"/>
      <c r="I257" s="383"/>
      <c r="J257" s="383"/>
      <c r="K257" s="383"/>
      <c r="L257" s="383"/>
      <c r="M257" s="383"/>
      <c r="N257" s="383"/>
      <c r="O257" s="383"/>
    </row>
    <row r="258" spans="1:15">
      <c r="A258" s="935"/>
      <c r="B258" s="935"/>
      <c r="C258" s="935"/>
      <c r="D258" s="935"/>
      <c r="E258" s="935"/>
      <c r="F258" s="935"/>
      <c r="G258" s="935"/>
      <c r="I258" s="383"/>
      <c r="J258" s="383"/>
      <c r="K258" s="383"/>
      <c r="L258" s="383"/>
      <c r="M258" s="383"/>
      <c r="N258" s="383"/>
      <c r="O258" s="383"/>
    </row>
    <row r="259" spans="1:15">
      <c r="A259" s="935"/>
      <c r="B259" s="935"/>
      <c r="C259" s="935"/>
      <c r="D259" s="935"/>
      <c r="E259" s="935"/>
      <c r="F259" s="935"/>
      <c r="G259" s="935"/>
      <c r="I259" s="383"/>
      <c r="J259" s="383"/>
      <c r="K259" s="383"/>
      <c r="L259" s="383"/>
      <c r="M259" s="383"/>
      <c r="N259" s="383"/>
      <c r="O259" s="383"/>
    </row>
    <row r="260" spans="1:15">
      <c r="A260" s="935"/>
      <c r="B260" s="935"/>
      <c r="C260" s="935"/>
      <c r="D260" s="935"/>
      <c r="E260" s="935"/>
      <c r="F260" s="935"/>
      <c r="G260" s="935"/>
      <c r="I260" s="383"/>
      <c r="J260" s="383"/>
      <c r="K260" s="383"/>
      <c r="L260" s="383"/>
      <c r="M260" s="383"/>
      <c r="N260" s="383"/>
      <c r="O260" s="383"/>
    </row>
    <row r="261" spans="1:15">
      <c r="A261" s="942" t="s">
        <v>204</v>
      </c>
      <c r="B261" s="942"/>
      <c r="C261" s="942"/>
      <c r="D261" s="937" t="s">
        <v>1702</v>
      </c>
      <c r="E261" s="937"/>
      <c r="F261" s="937"/>
      <c r="G261" s="937"/>
      <c r="I261" s="383"/>
      <c r="J261" s="383"/>
      <c r="K261" s="383"/>
      <c r="L261" s="383"/>
      <c r="M261" s="383"/>
      <c r="N261" s="383"/>
      <c r="O261" s="383"/>
    </row>
    <row r="262" spans="1:15" ht="15" customHeight="1">
      <c r="A262" s="343" t="s">
        <v>1746</v>
      </c>
      <c r="B262" s="694"/>
      <c r="C262" s="694"/>
      <c r="D262" s="694"/>
      <c r="E262" s="694"/>
      <c r="F262" s="694"/>
      <c r="G262" s="694"/>
      <c r="I262" s="383"/>
      <c r="J262" s="383"/>
      <c r="K262" s="383"/>
      <c r="L262" s="383"/>
      <c r="M262" s="383"/>
      <c r="N262" s="383"/>
      <c r="O262" s="383"/>
    </row>
    <row r="263" spans="1:15">
      <c r="A263" s="942" t="s">
        <v>1559</v>
      </c>
      <c r="B263" s="942"/>
      <c r="C263" s="942"/>
      <c r="D263" s="942"/>
      <c r="E263" s="937" t="s">
        <v>1702</v>
      </c>
      <c r="F263" s="937"/>
      <c r="G263" s="937"/>
      <c r="I263" s="383"/>
      <c r="J263" s="383"/>
      <c r="K263" s="383"/>
      <c r="L263" s="383"/>
      <c r="M263" s="383"/>
      <c r="N263" s="383"/>
      <c r="O263" s="383"/>
    </row>
    <row r="264" spans="1:15" ht="15" customHeight="1">
      <c r="A264" s="935" t="s">
        <v>1574</v>
      </c>
      <c r="B264" s="935"/>
      <c r="C264" s="935"/>
      <c r="D264" s="935"/>
      <c r="E264" s="935"/>
      <c r="F264" s="935"/>
      <c r="G264" s="935"/>
      <c r="I264" s="383"/>
      <c r="J264" s="383"/>
      <c r="K264" s="383"/>
      <c r="L264" s="383"/>
      <c r="M264" s="383"/>
      <c r="N264" s="383"/>
      <c r="O264" s="383"/>
    </row>
    <row r="265" spans="1:15" ht="15" customHeight="1">
      <c r="A265" s="935"/>
      <c r="B265" s="935"/>
      <c r="C265" s="935"/>
      <c r="D265" s="935"/>
      <c r="E265" s="935"/>
      <c r="F265" s="935"/>
      <c r="G265" s="935"/>
      <c r="I265" s="383"/>
      <c r="J265" s="383"/>
      <c r="K265" s="383"/>
      <c r="L265" s="383"/>
      <c r="M265" s="383"/>
      <c r="N265" s="383"/>
      <c r="O265" s="383"/>
    </row>
    <row r="266" spans="1:15">
      <c r="A266" s="402" t="s">
        <v>1560</v>
      </c>
      <c r="B266" s="410"/>
      <c r="C266" s="410"/>
      <c r="D266" s="410"/>
      <c r="E266" s="410"/>
      <c r="F266" s="410"/>
      <c r="G266" s="410"/>
      <c r="I266" s="383"/>
      <c r="J266" s="383"/>
      <c r="K266" s="383"/>
      <c r="L266" s="383"/>
      <c r="M266" s="383"/>
      <c r="N266" s="383"/>
      <c r="O266" s="383"/>
    </row>
    <row r="267" spans="1:15">
      <c r="A267" s="402" t="s">
        <v>1561</v>
      </c>
      <c r="B267" s="410"/>
      <c r="C267" s="410"/>
      <c r="D267" s="410"/>
      <c r="E267" s="410"/>
      <c r="F267" s="410"/>
      <c r="G267" s="410"/>
      <c r="I267" s="383"/>
      <c r="J267" s="383"/>
      <c r="K267" s="383"/>
      <c r="L267" s="383"/>
      <c r="M267" s="383"/>
      <c r="N267" s="383"/>
      <c r="O267" s="383"/>
    </row>
    <row r="268" spans="1:15">
      <c r="A268" s="402" t="s">
        <v>1562</v>
      </c>
      <c r="B268" s="410"/>
      <c r="C268" s="410"/>
      <c r="D268" s="410"/>
      <c r="E268" s="410"/>
      <c r="F268" s="410"/>
      <c r="G268" s="410"/>
      <c r="I268" s="383"/>
      <c r="J268" s="383"/>
      <c r="K268" s="383"/>
      <c r="L268" s="383"/>
      <c r="M268" s="383"/>
      <c r="N268" s="383"/>
      <c r="O268" s="383"/>
    </row>
    <row r="269" spans="1:15">
      <c r="A269" s="402" t="s">
        <v>1563</v>
      </c>
      <c r="B269" s="410"/>
      <c r="C269" s="410"/>
      <c r="D269" s="410"/>
      <c r="E269" s="410"/>
      <c r="F269" s="410"/>
      <c r="G269" s="410"/>
      <c r="I269" s="383"/>
      <c r="J269" s="383"/>
      <c r="K269" s="383"/>
      <c r="L269" s="383"/>
      <c r="M269" s="383"/>
      <c r="N269" s="383"/>
      <c r="O269" s="383"/>
    </row>
    <row r="270" spans="1:15">
      <c r="A270" s="402" t="s">
        <v>1564</v>
      </c>
      <c r="B270" s="410"/>
      <c r="C270" s="410"/>
      <c r="D270" s="410"/>
      <c r="E270" s="410"/>
      <c r="F270" s="410"/>
      <c r="G270" s="410"/>
      <c r="I270" s="383"/>
      <c r="J270" s="383"/>
      <c r="K270" s="383"/>
      <c r="L270" s="383"/>
      <c r="M270" s="383"/>
      <c r="N270" s="383"/>
      <c r="O270" s="383"/>
    </row>
    <row r="271" spans="1:15">
      <c r="A271" s="402" t="s">
        <v>1565</v>
      </c>
      <c r="B271" s="410"/>
      <c r="C271" s="410"/>
      <c r="D271" s="410"/>
      <c r="E271" s="410"/>
      <c r="F271" s="410"/>
      <c r="G271" s="410"/>
      <c r="I271" s="383"/>
      <c r="J271" s="383"/>
      <c r="K271" s="383"/>
      <c r="L271" s="383"/>
      <c r="M271" s="383"/>
      <c r="N271" s="383"/>
      <c r="O271" s="383"/>
    </row>
    <row r="272" spans="1:15">
      <c r="A272" s="402" t="s">
        <v>1566</v>
      </c>
      <c r="B272" s="410"/>
      <c r="C272" s="410"/>
      <c r="D272" s="410"/>
      <c r="E272" s="410"/>
      <c r="F272" s="410"/>
      <c r="G272" s="410"/>
      <c r="I272" s="383"/>
      <c r="J272" s="383"/>
      <c r="K272" s="383"/>
      <c r="L272" s="383"/>
      <c r="M272" s="383"/>
      <c r="N272" s="383"/>
      <c r="O272" s="383"/>
    </row>
    <row r="273" spans="1:15">
      <c r="A273" s="402" t="s">
        <v>1567</v>
      </c>
      <c r="B273" s="410"/>
      <c r="C273" s="410"/>
      <c r="D273" s="410"/>
      <c r="E273" s="410"/>
      <c r="F273" s="410"/>
      <c r="G273" s="410"/>
      <c r="I273" s="383"/>
      <c r="J273" s="383"/>
      <c r="K273" s="383"/>
      <c r="L273" s="383"/>
      <c r="M273" s="383"/>
      <c r="N273" s="383"/>
      <c r="O273" s="383"/>
    </row>
    <row r="274" spans="1:15">
      <c r="A274" s="402" t="s">
        <v>1568</v>
      </c>
      <c r="B274" s="410"/>
      <c r="C274" s="410"/>
      <c r="D274" s="410"/>
      <c r="E274" s="410"/>
      <c r="F274" s="410"/>
      <c r="G274" s="410"/>
      <c r="I274" s="383"/>
      <c r="J274" s="383"/>
      <c r="K274" s="383"/>
      <c r="L274" s="383"/>
      <c r="M274" s="383"/>
      <c r="N274" s="383"/>
      <c r="O274" s="383"/>
    </row>
    <row r="275" spans="1:15">
      <c r="A275" s="402" t="s">
        <v>1569</v>
      </c>
      <c r="B275" s="410"/>
      <c r="C275" s="410"/>
      <c r="D275" s="410"/>
      <c r="E275" s="410"/>
      <c r="F275" s="410"/>
      <c r="G275" s="410"/>
      <c r="I275" s="383"/>
      <c r="J275" s="383"/>
      <c r="K275" s="383"/>
      <c r="L275" s="383"/>
      <c r="M275" s="383"/>
      <c r="N275" s="383"/>
      <c r="O275" s="383"/>
    </row>
    <row r="276" spans="1:15">
      <c r="A276" s="402" t="s">
        <v>1570</v>
      </c>
      <c r="B276" s="410"/>
      <c r="C276" s="410"/>
      <c r="D276" s="410"/>
      <c r="E276" s="410"/>
      <c r="F276" s="410"/>
      <c r="G276" s="410"/>
      <c r="I276" s="383"/>
      <c r="J276" s="383"/>
      <c r="K276" s="383"/>
      <c r="L276" s="383"/>
      <c r="M276" s="383"/>
      <c r="N276" s="383"/>
      <c r="O276" s="383"/>
    </row>
    <row r="277" spans="1:15">
      <c r="A277" s="402" t="s">
        <v>1571</v>
      </c>
      <c r="B277" s="410"/>
      <c r="C277" s="410"/>
      <c r="D277" s="410"/>
      <c r="E277" s="410"/>
      <c r="F277" s="410"/>
      <c r="G277" s="410"/>
      <c r="I277" s="383"/>
      <c r="J277" s="383"/>
      <c r="K277" s="383"/>
      <c r="L277" s="383"/>
      <c r="M277" s="383"/>
      <c r="N277" s="383"/>
      <c r="O277" s="383"/>
    </row>
    <row r="278" spans="1:15">
      <c r="A278" s="402" t="s">
        <v>1572</v>
      </c>
      <c r="B278" s="410"/>
      <c r="C278" s="410"/>
      <c r="D278" s="410"/>
      <c r="E278" s="410"/>
      <c r="F278" s="410"/>
      <c r="G278" s="410"/>
      <c r="I278" s="383"/>
      <c r="J278" s="383"/>
      <c r="K278" s="383"/>
      <c r="L278" s="383"/>
      <c r="M278" s="383"/>
      <c r="N278" s="383"/>
      <c r="O278" s="383"/>
    </row>
    <row r="279" spans="1:15">
      <c r="A279" s="402" t="s">
        <v>1573</v>
      </c>
      <c r="B279" s="410"/>
      <c r="C279" s="410"/>
      <c r="D279" s="410"/>
      <c r="E279" s="410"/>
      <c r="F279" s="410"/>
      <c r="G279" s="410"/>
      <c r="I279" s="383"/>
      <c r="J279" s="383"/>
      <c r="K279" s="383"/>
      <c r="L279" s="383"/>
      <c r="M279" s="383"/>
      <c r="N279" s="383"/>
      <c r="O279" s="383"/>
    </row>
    <row r="280" spans="1:15">
      <c r="A280" s="942" t="s">
        <v>204</v>
      </c>
      <c r="B280" s="942"/>
      <c r="C280" s="942"/>
      <c r="D280" s="937" t="s">
        <v>1702</v>
      </c>
      <c r="E280" s="937"/>
      <c r="F280" s="937"/>
      <c r="G280" s="937"/>
      <c r="I280" s="383"/>
      <c r="J280" s="383"/>
      <c r="K280" s="383"/>
      <c r="L280" s="383"/>
      <c r="M280" s="383"/>
      <c r="N280" s="383"/>
      <c r="O280" s="383"/>
    </row>
    <row r="281" spans="1:15" ht="15" customHeight="1">
      <c r="A281" s="944" t="s">
        <v>1766</v>
      </c>
      <c r="B281" s="944"/>
      <c r="C281" s="944"/>
      <c r="D281" s="944"/>
      <c r="E281" s="944"/>
      <c r="F281" s="944"/>
      <c r="G281" s="944"/>
      <c r="I281" s="383"/>
      <c r="J281" s="383"/>
      <c r="K281" s="383"/>
      <c r="L281" s="383"/>
      <c r="M281" s="383"/>
      <c r="N281" s="383"/>
      <c r="O281" s="383"/>
    </row>
    <row r="282" spans="1:15">
      <c r="A282" s="944"/>
      <c r="B282" s="944"/>
      <c r="C282" s="944"/>
      <c r="D282" s="944"/>
      <c r="E282" s="944"/>
      <c r="F282" s="944"/>
      <c r="G282" s="944"/>
      <c r="I282" s="383"/>
      <c r="J282" s="383"/>
      <c r="K282" s="383"/>
      <c r="L282" s="383"/>
      <c r="M282" s="383"/>
      <c r="N282" s="383"/>
      <c r="O282" s="383"/>
    </row>
    <row r="283" spans="1:15">
      <c r="A283" s="942" t="s">
        <v>1405</v>
      </c>
      <c r="B283" s="942"/>
      <c r="C283" s="942"/>
      <c r="D283" s="942"/>
      <c r="E283" s="937" t="s">
        <v>1698</v>
      </c>
      <c r="F283" s="937"/>
      <c r="G283" s="937"/>
      <c r="I283" s="383"/>
      <c r="J283" s="383"/>
      <c r="K283" s="383"/>
      <c r="L283" s="383"/>
      <c r="M283" s="383"/>
      <c r="N283" s="383"/>
      <c r="O283" s="383"/>
    </row>
    <row r="284" spans="1:15" ht="15" customHeight="1">
      <c r="A284" s="943" t="s">
        <v>1388</v>
      </c>
      <c r="B284" s="943"/>
      <c r="C284" s="943"/>
      <c r="D284" s="943"/>
      <c r="E284" s="943"/>
      <c r="F284" s="943"/>
      <c r="G284" s="943"/>
    </row>
    <row r="285" spans="1:15">
      <c r="A285" s="943"/>
      <c r="B285" s="943"/>
      <c r="C285" s="943"/>
      <c r="D285" s="943"/>
      <c r="E285" s="943"/>
      <c r="F285" s="943"/>
      <c r="G285" s="943"/>
    </row>
    <row r="286" spans="1:15">
      <c r="A286" s="943"/>
      <c r="B286" s="943"/>
      <c r="C286" s="943"/>
      <c r="D286" s="943"/>
      <c r="E286" s="943"/>
      <c r="F286" s="943"/>
      <c r="G286" s="943"/>
    </row>
    <row r="287" spans="1:15">
      <c r="A287" s="943" t="s">
        <v>1389</v>
      </c>
      <c r="B287" s="943"/>
      <c r="C287" s="943"/>
      <c r="D287" s="943"/>
      <c r="E287" s="943"/>
      <c r="F287" s="943"/>
      <c r="G287" s="943"/>
    </row>
    <row r="288" spans="1:15">
      <c r="A288" s="943"/>
      <c r="B288" s="943"/>
      <c r="C288" s="943"/>
      <c r="D288" s="943"/>
      <c r="E288" s="943"/>
      <c r="F288" s="943"/>
      <c r="G288" s="943"/>
    </row>
    <row r="289" spans="1:15">
      <c r="A289" s="942" t="s">
        <v>204</v>
      </c>
      <c r="B289" s="942"/>
      <c r="C289" s="942"/>
      <c r="D289" s="937" t="s">
        <v>1698</v>
      </c>
      <c r="E289" s="937"/>
      <c r="F289" s="937"/>
      <c r="G289" s="937"/>
      <c r="I289" s="383"/>
      <c r="J289" s="383"/>
      <c r="K289" s="383"/>
      <c r="L289" s="383"/>
      <c r="M289" s="383"/>
      <c r="N289" s="383"/>
      <c r="O289" s="383"/>
    </row>
    <row r="290" spans="1:15">
      <c r="A290" s="379" t="s">
        <v>1747</v>
      </c>
      <c r="B290" s="694"/>
      <c r="C290" s="694"/>
      <c r="D290" s="694"/>
      <c r="E290" s="694"/>
      <c r="F290" s="694"/>
      <c r="G290" s="694"/>
      <c r="I290" s="383"/>
      <c r="J290" s="383"/>
      <c r="K290" s="383"/>
      <c r="L290" s="383"/>
      <c r="M290" s="383"/>
      <c r="N290" s="383"/>
      <c r="O290" s="383"/>
    </row>
    <row r="291" spans="1:15">
      <c r="A291"/>
      <c r="B291" s="342"/>
      <c r="C291" s="342"/>
      <c r="D291" s="342"/>
      <c r="E291" s="342"/>
      <c r="F291" s="342"/>
      <c r="G291" s="342"/>
    </row>
    <row r="292" spans="1:15">
      <c r="A292" s="348" t="s">
        <v>1239</v>
      </c>
      <c r="B292" s="324"/>
      <c r="C292" s="324"/>
      <c r="D292" s="324"/>
      <c r="E292" s="324"/>
      <c r="F292" s="324"/>
      <c r="G292" s="324"/>
    </row>
    <row r="293" spans="1:15">
      <c r="A293" s="330" t="s">
        <v>1608</v>
      </c>
      <c r="B293" s="330"/>
      <c r="C293" s="330"/>
      <c r="D293" s="412"/>
      <c r="E293" s="412"/>
      <c r="F293" s="412"/>
      <c r="G293" s="411" t="s">
        <v>1925</v>
      </c>
    </row>
    <row r="294" spans="1:15">
      <c r="A294" s="943" t="s">
        <v>1575</v>
      </c>
      <c r="B294" s="943"/>
      <c r="C294" s="943"/>
      <c r="D294" s="943"/>
      <c r="E294" s="943"/>
      <c r="F294" s="943"/>
      <c r="G294" s="943"/>
    </row>
    <row r="295" spans="1:15">
      <c r="A295" s="943"/>
      <c r="B295" s="943"/>
      <c r="C295" s="943"/>
      <c r="D295" s="943"/>
      <c r="E295" s="943"/>
      <c r="F295" s="943"/>
      <c r="G295" s="943"/>
    </row>
    <row r="296" spans="1:15">
      <c r="A296" s="943"/>
      <c r="B296" s="943"/>
      <c r="C296" s="943"/>
      <c r="D296" s="943"/>
      <c r="E296" s="943"/>
      <c r="F296" s="943"/>
      <c r="G296" s="943"/>
    </row>
    <row r="297" spans="1:15">
      <c r="A297" s="323"/>
      <c r="B297" s="323"/>
      <c r="C297" s="323"/>
      <c r="D297" s="323"/>
      <c r="E297" s="323"/>
      <c r="F297" s="323"/>
      <c r="G297" s="323"/>
    </row>
    <row r="298" spans="1:15">
      <c r="A298" s="390" t="s">
        <v>1381</v>
      </c>
      <c r="B298" s="390"/>
      <c r="C298" s="390"/>
      <c r="D298" s="949" t="s">
        <v>1926</v>
      </c>
      <c r="E298" s="949"/>
      <c r="F298" s="949"/>
      <c r="G298" s="949"/>
    </row>
    <row r="299" spans="1:15">
      <c r="A299" s="950" t="s">
        <v>1382</v>
      </c>
      <c r="B299" s="950"/>
      <c r="C299" s="950"/>
      <c r="D299" s="950"/>
      <c r="E299" s="950"/>
      <c r="F299" s="950"/>
      <c r="G299" s="950"/>
    </row>
    <row r="300" spans="1:15" ht="18" customHeight="1">
      <c r="A300" s="944" t="s">
        <v>1576</v>
      </c>
      <c r="B300" s="944"/>
      <c r="C300" s="944"/>
      <c r="D300" s="944"/>
      <c r="E300" s="944"/>
      <c r="F300" s="944"/>
      <c r="G300" s="944"/>
    </row>
    <row r="301" spans="1:15">
      <c r="A301" s="944"/>
      <c r="B301" s="944"/>
      <c r="C301" s="944"/>
      <c r="D301" s="944"/>
      <c r="E301" s="944"/>
      <c r="F301" s="944"/>
      <c r="G301" s="944"/>
    </row>
    <row r="302" spans="1:15">
      <c r="A302" s="944"/>
      <c r="B302" s="944"/>
      <c r="C302" s="944"/>
      <c r="D302" s="944"/>
      <c r="E302" s="944"/>
      <c r="F302" s="944"/>
      <c r="G302" s="944"/>
    </row>
    <row r="303" spans="1:15" ht="15" customHeight="1">
      <c r="A303" s="943" t="s">
        <v>1606</v>
      </c>
      <c r="B303" s="943"/>
      <c r="C303" s="943"/>
      <c r="D303" s="943"/>
      <c r="E303" s="943"/>
      <c r="F303" s="943"/>
      <c r="G303" s="943"/>
    </row>
    <row r="304" spans="1:15">
      <c r="A304" s="943"/>
      <c r="B304" s="943"/>
      <c r="C304" s="943"/>
      <c r="D304" s="943"/>
      <c r="E304" s="943"/>
      <c r="F304" s="943"/>
      <c r="G304" s="943"/>
    </row>
    <row r="305" spans="1:7">
      <c r="A305" s="943"/>
      <c r="B305" s="943"/>
      <c r="C305" s="943"/>
      <c r="D305" s="943"/>
      <c r="E305" s="943"/>
      <c r="F305" s="943"/>
      <c r="G305" s="943"/>
    </row>
    <row r="306" spans="1:7">
      <c r="A306" s="938" t="s">
        <v>1383</v>
      </c>
      <c r="B306" s="938"/>
      <c r="C306" s="938"/>
      <c r="D306" s="938"/>
      <c r="E306" s="938"/>
      <c r="F306" s="938"/>
      <c r="G306" s="938"/>
    </row>
    <row r="307" spans="1:7">
      <c r="A307" s="938"/>
      <c r="B307" s="938"/>
      <c r="C307" s="938"/>
      <c r="D307" s="938"/>
      <c r="E307" s="938"/>
      <c r="F307" s="938"/>
      <c r="G307" s="938"/>
    </row>
    <row r="308" spans="1:7">
      <c r="A308" s="330" t="s">
        <v>1587</v>
      </c>
      <c r="B308" s="330"/>
      <c r="C308" s="330"/>
      <c r="D308" s="937" t="s">
        <v>1589</v>
      </c>
      <c r="E308" s="937"/>
      <c r="F308" s="937"/>
      <c r="G308" s="937"/>
    </row>
    <row r="309" spans="1:7" ht="15" customHeight="1">
      <c r="A309" s="938" t="s">
        <v>1533</v>
      </c>
      <c r="B309" s="938"/>
      <c r="C309" s="938"/>
      <c r="D309" s="938"/>
      <c r="E309" s="938"/>
      <c r="F309" s="938"/>
      <c r="G309" s="938"/>
    </row>
    <row r="310" spans="1:7" customFormat="1">
      <c r="A310" s="938"/>
      <c r="B310" s="938"/>
      <c r="C310" s="938"/>
      <c r="D310" s="938"/>
      <c r="E310" s="938"/>
      <c r="F310" s="938"/>
      <c r="G310" s="938"/>
    </row>
    <row r="311" spans="1:7" customFormat="1">
      <c r="A311" s="341" t="s">
        <v>1534</v>
      </c>
      <c r="B311" s="341"/>
      <c r="C311" s="341"/>
      <c r="D311" s="341"/>
      <c r="E311" s="341"/>
      <c r="F311" s="341"/>
      <c r="G311" s="341"/>
    </row>
    <row r="312" spans="1:7" customFormat="1" ht="15" customHeight="1">
      <c r="A312" s="951" t="s">
        <v>1535</v>
      </c>
      <c r="B312" s="951"/>
      <c r="C312" s="951"/>
      <c r="D312" s="951"/>
      <c r="E312" s="951"/>
      <c r="F312" s="951"/>
      <c r="G312" s="951"/>
    </row>
    <row r="313" spans="1:7">
      <c r="A313" s="951"/>
      <c r="B313" s="951"/>
      <c r="C313" s="951"/>
      <c r="D313" s="951"/>
      <c r="E313" s="951"/>
      <c r="F313" s="951"/>
      <c r="G313" s="951"/>
    </row>
    <row r="314" spans="1:7" ht="15" customHeight="1">
      <c r="A314" s="938" t="s">
        <v>1536</v>
      </c>
      <c r="B314" s="938"/>
      <c r="C314" s="938"/>
      <c r="D314" s="938"/>
      <c r="E314" s="938"/>
      <c r="F314" s="938"/>
      <c r="G314" s="938"/>
    </row>
    <row r="315" spans="1:7">
      <c r="A315" s="938"/>
      <c r="B315" s="938"/>
      <c r="C315" s="938"/>
      <c r="D315" s="938"/>
      <c r="E315" s="938"/>
      <c r="F315" s="938"/>
      <c r="G315" s="938"/>
    </row>
    <row r="316" spans="1:7">
      <c r="A316" s="938"/>
      <c r="B316" s="938"/>
      <c r="C316" s="938"/>
      <c r="D316" s="938"/>
      <c r="E316" s="938"/>
      <c r="F316" s="938"/>
      <c r="G316" s="938"/>
    </row>
    <row r="317" spans="1:7">
      <c r="A317" s="938"/>
      <c r="B317" s="938"/>
      <c r="C317" s="938"/>
      <c r="D317" s="938"/>
      <c r="E317" s="938"/>
      <c r="F317" s="938"/>
      <c r="G317" s="938"/>
    </row>
    <row r="318" spans="1:7">
      <c r="A318" s="938"/>
      <c r="B318" s="938"/>
      <c r="C318" s="938"/>
      <c r="D318" s="938"/>
      <c r="E318" s="938"/>
      <c r="F318" s="938"/>
      <c r="G318" s="938"/>
    </row>
    <row r="319" spans="1:7">
      <c r="A319" s="938" t="s">
        <v>1588</v>
      </c>
      <c r="B319" s="938"/>
      <c r="C319" s="938"/>
      <c r="D319" s="938"/>
      <c r="E319" s="938"/>
      <c r="F319" s="938"/>
      <c r="G319" s="938"/>
    </row>
    <row r="320" spans="1:7">
      <c r="A320" s="938"/>
      <c r="B320" s="938"/>
      <c r="C320" s="938"/>
      <c r="D320" s="938"/>
      <c r="E320" s="938"/>
      <c r="F320" s="938"/>
      <c r="G320" s="938"/>
    </row>
    <row r="321" spans="1:9">
      <c r="A321" s="938"/>
      <c r="B321" s="938"/>
      <c r="C321" s="938"/>
      <c r="D321" s="938"/>
      <c r="E321" s="938"/>
      <c r="F321" s="938"/>
      <c r="G321" s="938"/>
    </row>
    <row r="322" spans="1:9">
      <c r="A322" s="938"/>
      <c r="B322" s="938"/>
      <c r="C322" s="938"/>
      <c r="D322" s="938"/>
      <c r="E322" s="938"/>
      <c r="F322" s="938"/>
      <c r="G322" s="938"/>
    </row>
    <row r="323" spans="1:9">
      <c r="A323" s="938"/>
      <c r="B323" s="938"/>
      <c r="C323" s="938"/>
      <c r="D323" s="938"/>
      <c r="E323" s="938"/>
      <c r="F323" s="938"/>
      <c r="G323" s="938"/>
    </row>
    <row r="324" spans="1:9">
      <c r="A324" s="330" t="s">
        <v>1430</v>
      </c>
      <c r="B324" s="330"/>
      <c r="C324" s="330"/>
      <c r="D324" s="937" t="s">
        <v>1431</v>
      </c>
      <c r="E324" s="937"/>
      <c r="F324" s="937"/>
      <c r="G324" s="937"/>
    </row>
    <row r="325" spans="1:9">
      <c r="A325" s="944" t="s">
        <v>843</v>
      </c>
      <c r="B325" s="944"/>
      <c r="C325" s="944"/>
      <c r="D325" s="944"/>
      <c r="E325" s="944"/>
      <c r="F325" s="944"/>
      <c r="G325" s="944"/>
    </row>
    <row r="326" spans="1:9" ht="15" customHeight="1">
      <c r="A326" s="935" t="s">
        <v>1767</v>
      </c>
      <c r="B326" s="935"/>
      <c r="C326" s="935"/>
      <c r="D326" s="935"/>
      <c r="E326" s="935"/>
      <c r="F326" s="935"/>
      <c r="G326" s="935"/>
      <c r="I326" s="341"/>
    </row>
    <row r="327" spans="1:9">
      <c r="A327" s="935"/>
      <c r="B327" s="935"/>
      <c r="C327" s="935"/>
      <c r="D327" s="935"/>
      <c r="E327" s="935"/>
      <c r="F327" s="935"/>
      <c r="G327" s="935"/>
    </row>
    <row r="328" spans="1:9">
      <c r="A328" s="935"/>
      <c r="B328" s="935"/>
      <c r="C328" s="935"/>
      <c r="D328" s="935"/>
      <c r="E328" s="935"/>
      <c r="F328" s="935"/>
      <c r="G328" s="935"/>
    </row>
    <row r="329" spans="1:9">
      <c r="A329" s="935"/>
      <c r="B329" s="935"/>
      <c r="C329" s="935"/>
      <c r="D329" s="935"/>
      <c r="E329" s="935"/>
      <c r="F329" s="935"/>
      <c r="G329" s="935"/>
    </row>
    <row r="330" spans="1:9">
      <c r="A330" s="935"/>
      <c r="B330" s="935"/>
      <c r="C330" s="935"/>
      <c r="D330" s="935"/>
      <c r="E330" s="935"/>
      <c r="F330" s="935"/>
      <c r="G330" s="935"/>
    </row>
    <row r="331" spans="1:9">
      <c r="A331" s="935"/>
      <c r="B331" s="935"/>
      <c r="C331" s="935"/>
      <c r="D331" s="935"/>
      <c r="E331" s="935"/>
      <c r="F331" s="935"/>
      <c r="G331" s="935"/>
    </row>
    <row r="332" spans="1:9">
      <c r="A332" s="935"/>
      <c r="B332" s="935"/>
      <c r="C332" s="935"/>
      <c r="D332" s="935"/>
      <c r="E332" s="935"/>
      <c r="F332" s="935"/>
      <c r="G332" s="935"/>
    </row>
    <row r="333" spans="1:9">
      <c r="A333" s="935"/>
      <c r="B333" s="935"/>
      <c r="C333" s="935"/>
      <c r="D333" s="935"/>
      <c r="E333" s="935"/>
      <c r="F333" s="935"/>
      <c r="G333" s="935"/>
    </row>
    <row r="334" spans="1:9">
      <c r="A334" s="435" t="s">
        <v>1532</v>
      </c>
      <c r="B334" s="437"/>
      <c r="C334" s="437"/>
      <c r="D334" s="437"/>
      <c r="E334" s="437"/>
      <c r="F334" s="437"/>
      <c r="G334" s="437"/>
    </row>
    <row r="335" spans="1:9">
      <c r="A335" s="936" t="s">
        <v>1609</v>
      </c>
      <c r="B335" s="936"/>
      <c r="C335" s="936"/>
      <c r="D335" s="936"/>
      <c r="E335" s="936"/>
      <c r="F335" s="936"/>
      <c r="G335" s="936"/>
    </row>
    <row r="336" spans="1:9">
      <c r="A336" s="936"/>
      <c r="B336" s="936"/>
      <c r="C336" s="936"/>
      <c r="D336" s="936"/>
      <c r="E336" s="936"/>
      <c r="F336" s="936"/>
      <c r="G336" s="936"/>
    </row>
    <row r="337" spans="1:15">
      <c r="A337" s="936"/>
      <c r="B337" s="936"/>
      <c r="C337" s="936"/>
      <c r="D337" s="936"/>
      <c r="E337" s="936"/>
      <c r="F337" s="936"/>
      <c r="G337" s="936"/>
    </row>
    <row r="338" spans="1:15" customFormat="1" ht="15" customHeight="1">
      <c r="A338" s="936"/>
      <c r="B338" s="936"/>
      <c r="C338" s="936"/>
      <c r="D338" s="936"/>
      <c r="E338" s="936"/>
      <c r="F338" s="936"/>
      <c r="G338" s="936"/>
      <c r="I338" s="324"/>
      <c r="J338" s="324"/>
      <c r="K338" s="324"/>
      <c r="L338" s="324"/>
      <c r="M338" s="324"/>
      <c r="N338" s="324"/>
      <c r="O338" s="324"/>
    </row>
    <row r="339" spans="1:15" customFormat="1">
      <c r="A339" s="936"/>
      <c r="B339" s="936"/>
      <c r="C339" s="936"/>
      <c r="D339" s="936"/>
      <c r="E339" s="936"/>
      <c r="F339" s="936"/>
      <c r="G339" s="936"/>
      <c r="I339" s="324"/>
      <c r="J339" s="324"/>
      <c r="K339" s="324"/>
      <c r="L339" s="324"/>
      <c r="M339" s="324"/>
      <c r="N339" s="324"/>
      <c r="O339" s="324"/>
    </row>
    <row r="340" spans="1:15" customFormat="1">
      <c r="A340" s="339"/>
      <c r="B340" s="339"/>
      <c r="C340" s="339"/>
      <c r="D340" s="339"/>
      <c r="E340" s="339"/>
      <c r="F340" s="339"/>
      <c r="G340" s="339"/>
      <c r="I340" s="324"/>
      <c r="J340" s="324"/>
      <c r="K340" s="324"/>
      <c r="L340" s="324"/>
      <c r="M340" s="324"/>
      <c r="N340" s="324"/>
      <c r="O340" s="324"/>
    </row>
    <row r="341" spans="1:15"/>
    <row r="342" spans="1:15"/>
    <row r="343" spans="1:15"/>
    <row r="344" spans="1:15"/>
    <row r="345" spans="1:15"/>
    <row r="346" spans="1:15"/>
    <row r="347" spans="1:15"/>
    <row r="348" spans="1:15"/>
    <row r="349" spans="1:15"/>
    <row r="350" spans="1:15"/>
    <row r="351" spans="1:15"/>
    <row r="352" spans="1:15"/>
    <row r="353"/>
    <row r="354"/>
    <row r="355"/>
  </sheetData>
  <mergeCells count="161">
    <mergeCell ref="J109:P109"/>
    <mergeCell ref="A114:G116"/>
    <mergeCell ref="E44:G44"/>
    <mergeCell ref="D61:G61"/>
    <mergeCell ref="A62:G64"/>
    <mergeCell ref="A85:C85"/>
    <mergeCell ref="D85:G85"/>
    <mergeCell ref="D53:G53"/>
    <mergeCell ref="A54:G56"/>
    <mergeCell ref="A53:C53"/>
    <mergeCell ref="E113:G113"/>
    <mergeCell ref="A58:G59"/>
    <mergeCell ref="A73:G76"/>
    <mergeCell ref="A78:C78"/>
    <mergeCell ref="A110:G112"/>
    <mergeCell ref="A104:C104"/>
    <mergeCell ref="A72:C72"/>
    <mergeCell ref="D72:G72"/>
    <mergeCell ref="D78:G78"/>
    <mergeCell ref="A79:G83"/>
    <mergeCell ref="A65:C65"/>
    <mergeCell ref="D65:G65"/>
    <mergeCell ref="A95:G100"/>
    <mergeCell ref="J107:P107"/>
    <mergeCell ref="J108:P108"/>
    <mergeCell ref="A107:D107"/>
    <mergeCell ref="A38:C38"/>
    <mergeCell ref="D38:G38"/>
    <mergeCell ref="A39:G39"/>
    <mergeCell ref="A40:C40"/>
    <mergeCell ref="D40:G40"/>
    <mergeCell ref="A66:G67"/>
    <mergeCell ref="A68:G71"/>
    <mergeCell ref="A57:C57"/>
    <mergeCell ref="D57:G57"/>
    <mergeCell ref="A61:C61"/>
    <mergeCell ref="A101:C101"/>
    <mergeCell ref="A102:G103"/>
    <mergeCell ref="E107:G107"/>
    <mergeCell ref="A159:G159"/>
    <mergeCell ref="A133:G134"/>
    <mergeCell ref="A135:G135"/>
    <mergeCell ref="A6:G7"/>
    <mergeCell ref="E10:G10"/>
    <mergeCell ref="A11:G15"/>
    <mergeCell ref="A26:G33"/>
    <mergeCell ref="E18:G18"/>
    <mergeCell ref="A19:G20"/>
    <mergeCell ref="A16:G16"/>
    <mergeCell ref="F22:G22"/>
    <mergeCell ref="A23:G25"/>
    <mergeCell ref="A36:G36"/>
    <mergeCell ref="A113:D113"/>
    <mergeCell ref="A86:G87"/>
    <mergeCell ref="A108:G109"/>
    <mergeCell ref="A121:G122"/>
    <mergeCell ref="A120:B120"/>
    <mergeCell ref="C120:G120"/>
    <mergeCell ref="A105:G106"/>
    <mergeCell ref="A117:G118"/>
    <mergeCell ref="A91:G92"/>
    <mergeCell ref="A94:C94"/>
    <mergeCell ref="D94:G94"/>
    <mergeCell ref="A137:G140"/>
    <mergeCell ref="A157:G158"/>
    <mergeCell ref="D127:G127"/>
    <mergeCell ref="D136:G136"/>
    <mergeCell ref="D147:G147"/>
    <mergeCell ref="A128:G129"/>
    <mergeCell ref="A142:C142"/>
    <mergeCell ref="D142:G142"/>
    <mergeCell ref="A154:G156"/>
    <mergeCell ref="A130:G132"/>
    <mergeCell ref="A143:G143"/>
    <mergeCell ref="A146:G146"/>
    <mergeCell ref="A148:G152"/>
    <mergeCell ref="A144:G145"/>
    <mergeCell ref="A206:G207"/>
    <mergeCell ref="A172:G174"/>
    <mergeCell ref="A181:G187"/>
    <mergeCell ref="A203:G203"/>
    <mergeCell ref="A205:C205"/>
    <mergeCell ref="A189:D189"/>
    <mergeCell ref="E189:G189"/>
    <mergeCell ref="D205:G205"/>
    <mergeCell ref="A161:D161"/>
    <mergeCell ref="E161:G161"/>
    <mergeCell ref="A197:G200"/>
    <mergeCell ref="A202:G202"/>
    <mergeCell ref="A190:G192"/>
    <mergeCell ref="A194:G194"/>
    <mergeCell ref="A180:D180"/>
    <mergeCell ref="E180:G180"/>
    <mergeCell ref="D195:G195"/>
    <mergeCell ref="A196:G196"/>
    <mergeCell ref="A193:G193"/>
    <mergeCell ref="B178:F178"/>
    <mergeCell ref="I226:O230"/>
    <mergeCell ref="A250:C250"/>
    <mergeCell ref="I225:O225"/>
    <mergeCell ref="A256:D256"/>
    <mergeCell ref="E256:G256"/>
    <mergeCell ref="A257:G260"/>
    <mergeCell ref="A263:D263"/>
    <mergeCell ref="E263:G263"/>
    <mergeCell ref="A287:G288"/>
    <mergeCell ref="A254:C254"/>
    <mergeCell ref="D254:G254"/>
    <mergeCell ref="A255:G255"/>
    <mergeCell ref="A253:G253"/>
    <mergeCell ref="A243:C243"/>
    <mergeCell ref="D243:G243"/>
    <mergeCell ref="A252:C252"/>
    <mergeCell ref="D252:G252"/>
    <mergeCell ref="A246:C246"/>
    <mergeCell ref="D213:G213"/>
    <mergeCell ref="A264:G265"/>
    <mergeCell ref="A300:G302"/>
    <mergeCell ref="A294:G296"/>
    <mergeCell ref="D298:G298"/>
    <mergeCell ref="A299:G299"/>
    <mergeCell ref="A309:G310"/>
    <mergeCell ref="A312:G313"/>
    <mergeCell ref="A232:C232"/>
    <mergeCell ref="D232:G232"/>
    <mergeCell ref="A233:G234"/>
    <mergeCell ref="A239:G240"/>
    <mergeCell ref="A235:G236"/>
    <mergeCell ref="A237:G238"/>
    <mergeCell ref="A280:C280"/>
    <mergeCell ref="D280:G280"/>
    <mergeCell ref="A281:G282"/>
    <mergeCell ref="A213:C213"/>
    <mergeCell ref="A261:C261"/>
    <mergeCell ref="D261:G261"/>
    <mergeCell ref="A289:C289"/>
    <mergeCell ref="D289:G289"/>
    <mergeCell ref="A326:G333"/>
    <mergeCell ref="C1:G4"/>
    <mergeCell ref="A335:G339"/>
    <mergeCell ref="D308:G308"/>
    <mergeCell ref="A319:G323"/>
    <mergeCell ref="A314:G318"/>
    <mergeCell ref="B176:F176"/>
    <mergeCell ref="B177:F177"/>
    <mergeCell ref="D104:G104"/>
    <mergeCell ref="A283:D283"/>
    <mergeCell ref="E283:G283"/>
    <mergeCell ref="A284:G286"/>
    <mergeCell ref="D246:G246"/>
    <mergeCell ref="A244:G245"/>
    <mergeCell ref="D324:G324"/>
    <mergeCell ref="A325:G325"/>
    <mergeCell ref="A164:G166"/>
    <mergeCell ref="A167:G168"/>
    <mergeCell ref="A169:G171"/>
    <mergeCell ref="A303:G305"/>
    <mergeCell ref="A34:G35"/>
    <mergeCell ref="A46:G47"/>
    <mergeCell ref="A124:G126"/>
    <mergeCell ref="A306:G307"/>
  </mergeCell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mars 2017</oddHeader>
    <oddFooter>&amp;C&amp;"-,Italique"&amp;8&amp;A&amp;R&amp;8Page &amp;P</oddFooter>
  </headerFooter>
  <rowBreaks count="3" manualBreakCount="3">
    <brk id="51" max="16383" man="1"/>
    <brk id="203" max="16383" man="1"/>
    <brk id="253"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showGridLines="0" tabSelected="1" view="pageLayout" zoomScaleNormal="100" workbookViewId="0">
      <selection activeCell="B12" sqref="B12"/>
    </sheetView>
  </sheetViews>
  <sheetFormatPr baseColWidth="10" defaultColWidth="0" defaultRowHeight="15" zeroHeight="1"/>
  <cols>
    <col min="1" max="17" width="4.85546875" customWidth="1"/>
    <col min="18" max="18" width="3.5703125" customWidth="1"/>
    <col min="19" max="20" width="4.85546875" customWidth="1"/>
    <col min="21" max="21" width="1.85546875" customWidth="1"/>
    <col min="22" max="16384" width="11.42578125" hidden="1"/>
  </cols>
  <sheetData>
    <row r="1" spans="1:20" ht="15" customHeight="1">
      <c r="A1" s="610"/>
      <c r="B1" s="611"/>
      <c r="C1" s="324"/>
      <c r="D1" s="622"/>
      <c r="E1" s="622"/>
      <c r="F1" s="622"/>
      <c r="G1" s="977" t="s">
        <v>1369</v>
      </c>
      <c r="H1" s="977"/>
      <c r="I1" s="977"/>
      <c r="J1" s="977"/>
      <c r="K1" s="977"/>
      <c r="L1" s="977"/>
      <c r="M1" s="977"/>
      <c r="N1" s="977"/>
      <c r="O1" s="977"/>
      <c r="P1" s="977"/>
      <c r="Q1" s="977"/>
      <c r="R1" s="977"/>
      <c r="S1" s="977"/>
      <c r="T1" s="977"/>
    </row>
    <row r="2" spans="1:20" ht="18.75" customHeight="1">
      <c r="A2" s="610"/>
      <c r="B2" s="611"/>
      <c r="C2" s="324"/>
      <c r="D2" s="622"/>
      <c r="E2" s="622"/>
      <c r="F2" s="622"/>
      <c r="G2" s="977"/>
      <c r="H2" s="977"/>
      <c r="I2" s="977"/>
      <c r="J2" s="977"/>
      <c r="K2" s="977"/>
      <c r="L2" s="977"/>
      <c r="M2" s="977"/>
      <c r="N2" s="977"/>
      <c r="O2" s="977"/>
      <c r="P2" s="977"/>
      <c r="Q2" s="977"/>
      <c r="R2" s="977"/>
      <c r="S2" s="977"/>
      <c r="T2" s="977"/>
    </row>
    <row r="3" spans="1:20" ht="14.25" customHeight="1">
      <c r="A3" s="610"/>
      <c r="B3" s="612"/>
      <c r="C3" s="324"/>
      <c r="D3" s="622"/>
      <c r="E3" s="622"/>
      <c r="F3" s="622"/>
      <c r="G3" s="977"/>
      <c r="H3" s="977"/>
      <c r="I3" s="977"/>
      <c r="J3" s="977"/>
      <c r="K3" s="977"/>
      <c r="L3" s="977"/>
      <c r="M3" s="977"/>
      <c r="N3" s="977"/>
      <c r="O3" s="977"/>
      <c r="P3" s="977"/>
      <c r="Q3" s="977"/>
      <c r="R3" s="977"/>
      <c r="S3" s="977"/>
      <c r="T3" s="977"/>
    </row>
    <row r="4" spans="1:20" ht="21">
      <c r="A4" s="610"/>
      <c r="B4" s="610"/>
      <c r="C4" s="324"/>
      <c r="D4" s="622"/>
      <c r="E4" s="622"/>
      <c r="F4" s="622"/>
      <c r="G4" s="977"/>
      <c r="H4" s="977"/>
      <c r="I4" s="977"/>
      <c r="J4" s="977"/>
      <c r="K4" s="977"/>
      <c r="L4" s="977"/>
      <c r="M4" s="977"/>
      <c r="N4" s="977"/>
      <c r="O4" s="977"/>
      <c r="P4" s="977"/>
      <c r="Q4" s="977"/>
      <c r="R4" s="977"/>
      <c r="S4" s="977"/>
      <c r="T4" s="977"/>
    </row>
    <row r="5" spans="1:20">
      <c r="A5" s="561"/>
      <c r="B5" s="561"/>
      <c r="C5" s="561"/>
      <c r="D5" s="561"/>
      <c r="E5" s="561"/>
      <c r="F5" s="561"/>
      <c r="G5" s="561"/>
      <c r="H5" s="173"/>
      <c r="J5" s="324"/>
      <c r="K5" s="324"/>
      <c r="L5" s="324"/>
      <c r="M5" s="324"/>
      <c r="N5" s="324"/>
      <c r="O5" s="324"/>
      <c r="P5" s="324"/>
      <c r="Q5" s="324"/>
      <c r="R5" s="324"/>
      <c r="S5" s="324"/>
      <c r="T5" s="324"/>
    </row>
    <row r="6" spans="1:20" ht="15" customHeight="1">
      <c r="A6" s="875" t="s">
        <v>2034</v>
      </c>
      <c r="B6" s="875"/>
      <c r="C6" s="875"/>
      <c r="D6" s="875"/>
      <c r="E6" s="875"/>
      <c r="F6" s="875"/>
      <c r="G6" s="875"/>
      <c r="H6" s="875"/>
      <c r="I6" s="875"/>
      <c r="J6" s="875"/>
      <c r="K6" s="875"/>
      <c r="L6" s="875"/>
      <c r="M6" s="875"/>
      <c r="N6" s="875"/>
      <c r="O6" s="875"/>
      <c r="P6" s="875"/>
      <c r="Q6" s="875"/>
      <c r="R6" s="875"/>
      <c r="S6" s="875"/>
      <c r="T6" s="875"/>
    </row>
    <row r="7" spans="1:20" ht="15" customHeight="1">
      <c r="A7" s="875"/>
      <c r="B7" s="875"/>
      <c r="C7" s="875"/>
      <c r="D7" s="875"/>
      <c r="E7" s="875"/>
      <c r="F7" s="875"/>
      <c r="G7" s="875"/>
      <c r="H7" s="875"/>
      <c r="I7" s="875"/>
      <c r="J7" s="875"/>
      <c r="K7" s="875"/>
      <c r="L7" s="875"/>
      <c r="M7" s="875"/>
      <c r="N7" s="875"/>
      <c r="O7" s="875"/>
      <c r="P7" s="875"/>
      <c r="Q7" s="875"/>
      <c r="R7" s="875"/>
      <c r="S7" s="875"/>
      <c r="T7" s="875"/>
    </row>
    <row r="8" spans="1:20"/>
    <row r="9" spans="1:20" ht="15" customHeight="1">
      <c r="A9" s="978" t="s">
        <v>1577</v>
      </c>
      <c r="B9" s="978"/>
      <c r="C9" s="978"/>
      <c r="D9" s="978"/>
      <c r="E9" s="978"/>
      <c r="F9" s="978"/>
      <c r="G9" s="978"/>
      <c r="H9" s="978"/>
      <c r="I9" s="978"/>
      <c r="J9" s="978"/>
      <c r="K9" s="978"/>
      <c r="L9" s="978"/>
      <c r="M9" s="978"/>
      <c r="N9" s="978"/>
      <c r="O9" s="978"/>
      <c r="P9" s="978"/>
      <c r="Q9" s="978"/>
      <c r="R9" s="978"/>
      <c r="S9" s="978"/>
      <c r="T9" s="978"/>
    </row>
    <row r="10" spans="1:20"/>
    <row r="11" spans="1:20"/>
    <row r="12" spans="1:20">
      <c r="T12" t="s">
        <v>1768</v>
      </c>
    </row>
    <row r="13" spans="1:20"/>
    <row r="14" spans="1:20">
      <c r="A14" s="621" t="s">
        <v>1134</v>
      </c>
      <c r="B14" s="621"/>
      <c r="C14" s="621"/>
      <c r="D14" s="621"/>
      <c r="E14" s="621"/>
      <c r="F14" s="621"/>
      <c r="G14" s="621"/>
      <c r="H14" s="621"/>
      <c r="T14">
        <v>2</v>
      </c>
    </row>
    <row r="15" spans="1:20">
      <c r="A15" s="621"/>
      <c r="B15" s="621"/>
    </row>
    <row r="16" spans="1:20">
      <c r="A16" s="621"/>
      <c r="B16" s="621"/>
    </row>
    <row r="17" spans="1:20">
      <c r="A17" s="621" t="s">
        <v>1610</v>
      </c>
      <c r="B17" s="621"/>
      <c r="C17" s="621"/>
      <c r="D17" s="621"/>
      <c r="E17" s="621"/>
      <c r="F17" s="621"/>
      <c r="G17" s="621"/>
      <c r="H17" s="621"/>
      <c r="T17">
        <v>5</v>
      </c>
    </row>
    <row r="18" spans="1:20">
      <c r="A18" s="621"/>
      <c r="B18" s="621"/>
    </row>
    <row r="19" spans="1:20">
      <c r="A19" s="621"/>
      <c r="B19" s="621"/>
    </row>
    <row r="20" spans="1:20">
      <c r="A20" s="621" t="s">
        <v>0</v>
      </c>
      <c r="B20" s="621"/>
      <c r="C20" s="621"/>
      <c r="D20" s="698"/>
      <c r="T20">
        <v>9</v>
      </c>
    </row>
    <row r="21" spans="1:20"/>
    <row r="22" spans="1:20"/>
    <row r="23" spans="1:20">
      <c r="A23" s="621" t="s">
        <v>507</v>
      </c>
      <c r="B23" s="621"/>
      <c r="C23" s="621"/>
      <c r="D23" s="621"/>
      <c r="E23" s="621"/>
      <c r="F23" s="621"/>
      <c r="G23" s="621"/>
      <c r="H23" s="621"/>
      <c r="T23">
        <v>10</v>
      </c>
    </row>
    <row r="24" spans="1:20">
      <c r="A24" s="621"/>
      <c r="B24" s="621"/>
    </row>
    <row r="25" spans="1:20">
      <c r="A25" s="621"/>
      <c r="B25" s="621"/>
    </row>
    <row r="26" spans="1:20">
      <c r="A26" s="621" t="s">
        <v>1053</v>
      </c>
      <c r="B26" s="621"/>
      <c r="C26" s="621"/>
      <c r="D26" s="621"/>
      <c r="E26" s="621"/>
      <c r="F26" s="621"/>
      <c r="G26" s="621"/>
      <c r="H26" s="621"/>
      <c r="I26" s="698"/>
      <c r="J26" s="698"/>
      <c r="T26">
        <v>11</v>
      </c>
    </row>
    <row r="27" spans="1:20">
      <c r="A27" s="621"/>
      <c r="B27" s="621"/>
    </row>
    <row r="28" spans="1:20">
      <c r="A28" s="621"/>
      <c r="B28" s="621"/>
    </row>
    <row r="29" spans="1:20">
      <c r="A29" s="621" t="s">
        <v>2036</v>
      </c>
      <c r="B29" s="621"/>
      <c r="C29" s="621"/>
      <c r="D29" s="621"/>
      <c r="E29" s="621"/>
      <c r="F29" s="621"/>
      <c r="G29" s="621"/>
      <c r="H29" s="621"/>
      <c r="I29" s="621"/>
      <c r="J29" s="698"/>
      <c r="K29" s="621"/>
      <c r="L29" s="698"/>
      <c r="M29" s="621"/>
      <c r="N29" s="698"/>
      <c r="T29">
        <v>14</v>
      </c>
    </row>
    <row r="30" spans="1:20">
      <c r="A30" s="621"/>
      <c r="B30" s="621"/>
    </row>
    <row r="31" spans="1:20">
      <c r="A31" s="621"/>
      <c r="B31" s="621"/>
    </row>
    <row r="32" spans="1:20">
      <c r="A32" s="621" t="s">
        <v>1239</v>
      </c>
      <c r="B32" s="621"/>
      <c r="C32" s="621"/>
      <c r="D32" s="621"/>
      <c r="T32">
        <v>16</v>
      </c>
    </row>
    <row r="33" spans="1:20"/>
    <row r="34" spans="1:20"/>
    <row r="35" spans="1:20">
      <c r="A35" s="621" t="s">
        <v>1975</v>
      </c>
      <c r="B35" s="621"/>
      <c r="T35">
        <v>18</v>
      </c>
    </row>
    <row r="36" spans="1:20"/>
    <row r="37" spans="1:20"/>
    <row r="38" spans="1:20">
      <c r="A38" s="621" t="s">
        <v>1370</v>
      </c>
      <c r="B38" s="621"/>
      <c r="T38">
        <v>20</v>
      </c>
    </row>
    <row r="39" spans="1:20"/>
    <row r="40" spans="1:20"/>
    <row r="41" spans="1:20"/>
    <row r="42" spans="1:20"/>
    <row r="43" spans="1:20"/>
    <row r="44" spans="1:20"/>
    <row r="45" spans="1:20"/>
    <row r="46" spans="1:20"/>
    <row r="47" spans="1:20"/>
    <row r="48" spans="1:20"/>
    <row r="49"/>
    <row r="50"/>
    <row r="51"/>
  </sheetData>
  <sheetProtection sheet="1" objects="1" scenarios="1" autoFilter="0"/>
  <mergeCells count="3">
    <mergeCell ref="A6:T7"/>
    <mergeCell ref="G1:T4"/>
    <mergeCell ref="A9:T9"/>
  </mergeCells>
  <hyperlinks>
    <hyperlink ref="A20:D20" location="'Population active'!A1" display="Population active"/>
    <hyperlink ref="A17:H17" location="'Marché du travail'!A8" display="Conditions d'emploi et marché du travail"/>
    <hyperlink ref="A23:G23" location="Entreprises!A8" display="Caractéristiques des entreprises"/>
    <hyperlink ref="A26:J26" location="'Richesse et échanges'!A1" display="Création de richesse et ouverture du territoire"/>
    <hyperlink ref="A29:N29" location="E.S.R.I.!A8" display="Enseignement supérieur, recherche et emplois stratégiques"/>
    <hyperlink ref="A32:C32" location="Tourisme!A8" display="Tourisme"/>
    <hyperlink ref="A35:B35" location="Annexe!A1" display="Annexe"/>
    <hyperlink ref="A38:B38" location="Glossaire!A1" display="Glossaire"/>
    <hyperlink ref="A9:T9" location="Annexe!A6" display="Pour visualiser les périmètres étudiés dans l'ensemble du document, cliquez ici"/>
    <hyperlink ref="A14:H14" location="'Dynamique de l''emploi'!A1" display="Dynamique et spécialisation de l'emploi"/>
    <hyperlink ref="A29:L29" location="E.S.R.I.!A1" display="Enseignement supérieur, recherche et emplois stratégiques"/>
    <hyperlink ref="A32:B32" location="Tourisme!A1" display="Tourisme"/>
    <hyperlink ref="A17:I17" location="'Marché du travail'!A1" display="Conditions d'emploi et marché du travail"/>
  </hyperlink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mars 2017</oddHeader>
    <oddFooter>&amp;C&amp;"-,Italique"&amp;8&amp;A&amp;R&amp;8Page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7"/>
  <sheetViews>
    <sheetView showGridLines="0" view="pageLayout" zoomScaleNormal="100" workbookViewId="0"/>
  </sheetViews>
  <sheetFormatPr baseColWidth="10" defaultColWidth="0" defaultRowHeight="15" zeroHeight="1"/>
  <cols>
    <col min="1" max="20" width="4.85546875" customWidth="1"/>
    <col min="21" max="21" width="1.42578125" customWidth="1"/>
    <col min="22" max="16384" width="11.42578125" hidden="1"/>
  </cols>
  <sheetData>
    <row r="1" spans="1:21" s="223" customFormat="1" ht="15.75" customHeight="1">
      <c r="A1" s="543"/>
      <c r="B1" s="451"/>
      <c r="C1" s="451"/>
      <c r="D1" s="451"/>
      <c r="E1" s="451"/>
      <c r="F1" s="985" t="s">
        <v>1369</v>
      </c>
      <c r="G1" s="977"/>
      <c r="H1" s="977"/>
      <c r="I1" s="977"/>
      <c r="J1" s="977"/>
      <c r="K1" s="977"/>
      <c r="L1" s="977"/>
      <c r="M1" s="977"/>
      <c r="N1" s="977"/>
      <c r="O1" s="977"/>
      <c r="P1" s="977"/>
      <c r="Q1" s="977"/>
      <c r="R1" s="977"/>
      <c r="S1" s="977"/>
      <c r="T1" s="977"/>
      <c r="U1" s="622"/>
    </row>
    <row r="2" spans="1:21" s="208" customFormat="1" ht="16.7" customHeight="1">
      <c r="A2" s="452"/>
      <c r="B2" s="451"/>
      <c r="C2" s="451"/>
      <c r="D2" s="451"/>
      <c r="E2" s="451"/>
      <c r="F2" s="985"/>
      <c r="G2" s="977"/>
      <c r="H2" s="977"/>
      <c r="I2" s="977"/>
      <c r="J2" s="977"/>
      <c r="K2" s="977"/>
      <c r="L2" s="977"/>
      <c r="M2" s="977"/>
      <c r="N2" s="977"/>
      <c r="O2" s="977"/>
      <c r="P2" s="977"/>
      <c r="Q2" s="977"/>
      <c r="R2" s="977"/>
      <c r="S2" s="977"/>
      <c r="T2" s="977"/>
      <c r="U2" s="622"/>
    </row>
    <row r="3" spans="1:21" s="208" customFormat="1" ht="16.7" customHeight="1">
      <c r="A3" s="453"/>
      <c r="B3" s="451"/>
      <c r="C3" s="451"/>
      <c r="D3" s="451"/>
      <c r="E3" s="451"/>
      <c r="F3" s="985"/>
      <c r="G3" s="977"/>
      <c r="H3" s="977"/>
      <c r="I3" s="977"/>
      <c r="J3" s="977"/>
      <c r="K3" s="977"/>
      <c r="L3" s="977"/>
      <c r="M3" s="977"/>
      <c r="N3" s="977"/>
      <c r="O3" s="977"/>
      <c r="P3" s="977"/>
      <c r="Q3" s="977"/>
      <c r="R3" s="977"/>
      <c r="S3" s="977"/>
      <c r="T3" s="977"/>
      <c r="U3" s="622"/>
    </row>
    <row r="4" spans="1:21" s="208" customFormat="1" ht="16.7" customHeight="1">
      <c r="A4"/>
      <c r="B4"/>
      <c r="C4"/>
      <c r="D4"/>
      <c r="E4"/>
      <c r="F4" s="985"/>
      <c r="G4" s="977"/>
      <c r="H4" s="977"/>
      <c r="I4" s="977"/>
      <c r="J4" s="977"/>
      <c r="K4" s="977"/>
      <c r="L4" s="977"/>
      <c r="M4" s="977"/>
      <c r="N4" s="977"/>
      <c r="O4" s="977"/>
      <c r="P4" s="977"/>
      <c r="Q4" s="977"/>
      <c r="R4" s="977"/>
      <c r="S4" s="977"/>
      <c r="T4" s="977"/>
      <c r="U4" s="622"/>
    </row>
    <row r="5" spans="1:21" s="208" customFormat="1" ht="5.25" customHeight="1">
      <c r="A5"/>
      <c r="B5"/>
      <c r="C5"/>
      <c r="D5"/>
      <c r="E5"/>
      <c r="F5"/>
      <c r="G5"/>
      <c r="H5" s="399"/>
      <c r="I5" s="399"/>
      <c r="J5" s="399"/>
      <c r="K5" s="399"/>
      <c r="L5" s="399"/>
      <c r="M5" s="399"/>
      <c r="N5" s="399"/>
      <c r="O5" s="399"/>
      <c r="P5" s="399"/>
      <c r="Q5" s="399"/>
      <c r="R5" s="399"/>
      <c r="S5" s="399"/>
      <c r="T5" s="399"/>
      <c r="U5" s="225"/>
    </row>
    <row r="6" spans="1:21" s="208" customFormat="1" ht="15" customHeight="1">
      <c r="A6" s="875" t="s">
        <v>1134</v>
      </c>
      <c r="B6" s="875"/>
      <c r="C6" s="875"/>
      <c r="D6" s="875"/>
      <c r="E6" s="875"/>
      <c r="F6" s="875"/>
      <c r="G6" s="875"/>
      <c r="H6" s="875"/>
      <c r="I6" s="875"/>
      <c r="J6" s="875"/>
      <c r="K6" s="875"/>
      <c r="L6" s="875"/>
      <c r="M6" s="875"/>
      <c r="N6" s="875"/>
      <c r="O6" s="875"/>
      <c r="P6" s="875"/>
      <c r="Q6" s="875"/>
      <c r="R6" s="875"/>
      <c r="S6" s="875"/>
      <c r="T6" s="875"/>
      <c r="U6" s="860"/>
    </row>
    <row r="7" spans="1:21" s="208" customFormat="1" ht="15" customHeight="1">
      <c r="A7" s="875"/>
      <c r="B7" s="875"/>
      <c r="C7" s="875"/>
      <c r="D7" s="875"/>
      <c r="E7" s="875"/>
      <c r="F7" s="875"/>
      <c r="G7" s="875"/>
      <c r="H7" s="875"/>
      <c r="I7" s="875"/>
      <c r="J7" s="875"/>
      <c r="K7" s="875"/>
      <c r="L7" s="875"/>
      <c r="M7" s="875"/>
      <c r="N7" s="875"/>
      <c r="O7" s="875"/>
      <c r="P7" s="875"/>
      <c r="Q7" s="875"/>
      <c r="R7" s="875"/>
      <c r="S7" s="875"/>
      <c r="T7" s="875"/>
      <c r="U7" s="860"/>
    </row>
    <row r="8" spans="1:21" ht="9.75" customHeight="1">
      <c r="B8" s="495"/>
      <c r="C8" s="495"/>
      <c r="D8" s="495"/>
      <c r="E8" s="495"/>
      <c r="F8" s="495"/>
      <c r="G8" s="324"/>
      <c r="H8" s="324"/>
      <c r="I8" s="324"/>
    </row>
    <row r="9" spans="1:21" ht="18" customHeight="1">
      <c r="A9" s="986" t="s">
        <v>1976</v>
      </c>
      <c r="B9" s="986"/>
      <c r="C9" s="986"/>
      <c r="D9" s="986"/>
      <c r="E9" s="986"/>
      <c r="F9" s="986"/>
      <c r="G9" s="986"/>
      <c r="H9" s="986"/>
      <c r="I9" s="986"/>
      <c r="J9" s="986"/>
    </row>
    <row r="10" spans="1:21">
      <c r="A10" s="979" t="s">
        <v>1979</v>
      </c>
      <c r="B10" s="980"/>
      <c r="C10" s="980"/>
      <c r="D10" s="980"/>
      <c r="E10" s="980"/>
      <c r="F10" s="980"/>
      <c r="G10" s="981"/>
      <c r="H10" s="982">
        <v>293712</v>
      </c>
      <c r="I10" s="983"/>
      <c r="J10" s="984"/>
    </row>
    <row r="11" spans="1:21">
      <c r="A11" s="979" t="s">
        <v>1977</v>
      </c>
      <c r="B11" s="980"/>
      <c r="C11" s="980"/>
      <c r="D11" s="980"/>
      <c r="E11" s="980"/>
      <c r="F11" s="980"/>
      <c r="G11" s="981"/>
      <c r="H11" s="982">
        <v>416</v>
      </c>
      <c r="I11" s="983"/>
      <c r="J11" s="984"/>
    </row>
    <row r="12" spans="1:21">
      <c r="A12" s="979" t="s">
        <v>1978</v>
      </c>
      <c r="B12" s="980"/>
      <c r="C12" s="980"/>
      <c r="D12" s="980"/>
      <c r="E12" s="980"/>
      <c r="F12" s="980"/>
      <c r="G12" s="981"/>
      <c r="H12" s="982">
        <v>7673</v>
      </c>
      <c r="I12" s="983"/>
      <c r="J12" s="984"/>
    </row>
    <row r="13" spans="1:21" ht="6.75" customHeight="1"/>
    <row r="14" spans="1:21" s="863" customFormat="1" ht="25.5" customHeight="1">
      <c r="A14" s="1027" t="s">
        <v>2002</v>
      </c>
      <c r="B14" s="1027"/>
      <c r="C14" s="1027"/>
      <c r="D14" s="1027"/>
      <c r="E14" s="1027"/>
      <c r="F14" s="1027"/>
      <c r="G14" s="1027"/>
      <c r="H14" s="1027"/>
      <c r="I14" s="1027"/>
      <c r="J14" s="1027"/>
      <c r="K14" s="1027"/>
      <c r="L14" s="1027"/>
      <c r="M14" s="1027"/>
      <c r="N14" s="1027"/>
      <c r="O14" s="1027"/>
      <c r="P14" s="1027"/>
      <c r="Q14" s="1027"/>
      <c r="R14" s="1027"/>
      <c r="S14" s="1027"/>
      <c r="T14" s="1027"/>
    </row>
    <row r="15" spans="1:21"/>
    <row r="16" spans="1:21"/>
    <row r="17" spans="1:33"/>
    <row r="18" spans="1:33"/>
    <row r="19" spans="1:33"/>
    <row r="20" spans="1:33"/>
    <row r="21" spans="1:33"/>
    <row r="22" spans="1:33"/>
    <row r="23" spans="1:33"/>
    <row r="24" spans="1:33"/>
    <row r="25" spans="1:33"/>
    <row r="26" spans="1:33"/>
    <row r="27" spans="1:33" ht="8.25" customHeight="1"/>
    <row r="28" spans="1:33" ht="15.75" thickBot="1">
      <c r="A28" s="435" t="s">
        <v>2003</v>
      </c>
    </row>
    <row r="29" spans="1:33" ht="16.5" thickTop="1" thickBot="1">
      <c r="A29" s="889" t="s">
        <v>1407</v>
      </c>
      <c r="B29" s="890"/>
      <c r="C29" s="891"/>
      <c r="D29" s="341"/>
      <c r="E29" s="581"/>
      <c r="F29" s="581"/>
      <c r="G29" s="581"/>
      <c r="H29" s="581"/>
      <c r="I29" s="876" t="s">
        <v>116</v>
      </c>
      <c r="J29" s="877"/>
      <c r="K29" s="877"/>
      <c r="L29" s="878"/>
      <c r="M29" s="582"/>
      <c r="N29" s="581"/>
      <c r="O29" s="879" t="s">
        <v>74</v>
      </c>
      <c r="P29" s="880"/>
      <c r="Q29" s="880"/>
      <c r="R29" s="881"/>
      <c r="W29" s="624"/>
      <c r="X29" s="625"/>
      <c r="Y29" s="624"/>
      <c r="Z29" s="624"/>
      <c r="AA29" s="624"/>
      <c r="AB29" s="624"/>
      <c r="AC29" s="624"/>
      <c r="AD29" s="624"/>
      <c r="AE29" s="624"/>
      <c r="AF29" s="624"/>
      <c r="AG29" s="624"/>
    </row>
    <row r="30" spans="1:33" ht="15.75" thickTop="1">
      <c r="A30" s="422"/>
      <c r="B30" s="422"/>
      <c r="C30" s="422"/>
      <c r="D30" s="422"/>
      <c r="E30" s="422"/>
      <c r="F30" s="990">
        <v>2013</v>
      </c>
      <c r="G30" s="991"/>
      <c r="H30" s="992"/>
      <c r="I30" s="993" t="s">
        <v>1679</v>
      </c>
      <c r="J30" s="994"/>
      <c r="K30" s="995"/>
      <c r="L30" s="341"/>
      <c r="M30" s="341"/>
      <c r="N30" s="990">
        <v>2013</v>
      </c>
      <c r="O30" s="996"/>
      <c r="P30" s="997"/>
      <c r="Q30" s="993" t="s">
        <v>1679</v>
      </c>
      <c r="R30" s="994"/>
      <c r="S30" s="998"/>
      <c r="T30" s="341"/>
      <c r="W30" s="624"/>
      <c r="X30" s="625"/>
      <c r="Y30" s="624"/>
      <c r="Z30" s="624"/>
      <c r="AA30" s="624"/>
      <c r="AB30" s="624"/>
      <c r="AC30" s="624"/>
      <c r="AD30" s="624"/>
      <c r="AE30" s="624"/>
      <c r="AF30" s="624"/>
      <c r="AG30" s="624"/>
    </row>
    <row r="31" spans="1:33">
      <c r="A31" s="979" t="s">
        <v>885</v>
      </c>
      <c r="B31" s="980"/>
      <c r="C31" s="980"/>
      <c r="D31" s="980"/>
      <c r="E31" s="980"/>
      <c r="F31" s="982">
        <f>VLOOKUP($I$29,'D_Ch-2-1'!$B$5:$AF$39,MATCH("Emploi total Exp Princ",'D_Ch-2-1'!$5:$5,0)-1,FALSE)</f>
        <v>634730.42292500997</v>
      </c>
      <c r="G31" s="983"/>
      <c r="H31" s="984"/>
      <c r="I31" s="987">
        <f>VLOOKUP($I$29,'D_Ch-2-1'!$B$5:$AE$39,MATCH("Evol Empl total",'D_Ch-2-1'!$5:$5,0)-1,FALSE)</f>
        <v>9.4796052347009899E-3</v>
      </c>
      <c r="J31" s="988"/>
      <c r="K31" s="989"/>
      <c r="L31" s="341"/>
      <c r="M31" s="341"/>
      <c r="N31" s="887">
        <f>VLOOKUP($O$29,'D_Ch-2-1'!$B$5:$AF$39,MATCH("Emploi total Exp Princ",'D_Ch-2-1'!$5:$5,0)-1,FALSE)</f>
        <v>1328033.9164851799</v>
      </c>
      <c r="O31" s="999"/>
      <c r="P31" s="888"/>
      <c r="Q31" s="987">
        <f>VLOOKUP($O$29,'D_Ch-2-1'!$B$5:$AE$39,MATCH("Evol Empl total",'D_Ch-2-1'!$5:$5,0)-1,FALSE)</f>
        <v>5.9541997368824694E-3</v>
      </c>
      <c r="R31" s="988"/>
      <c r="S31" s="989"/>
      <c r="T31" s="341"/>
      <c r="W31" s="624"/>
      <c r="X31" s="625"/>
      <c r="Y31" s="624"/>
      <c r="Z31" s="624"/>
      <c r="AA31" s="624"/>
      <c r="AB31" s="624"/>
      <c r="AC31" s="624"/>
      <c r="AD31" s="624"/>
      <c r="AE31" s="624"/>
      <c r="AF31" s="624"/>
      <c r="AG31" s="624"/>
    </row>
    <row r="32" spans="1:33">
      <c r="A32" s="979" t="s">
        <v>886</v>
      </c>
      <c r="B32" s="980"/>
      <c r="C32" s="980"/>
      <c r="D32" s="980"/>
      <c r="E32" s="980"/>
      <c r="F32" s="982">
        <f>VLOOKUP($I$29,'D_Ch-2-1'!$B$5:$AF$39,MATCH("Emploi salarié total Exp Princ",'D_Ch-2-1'!$5:$5,0)-1,FALSE)</f>
        <v>547605.14064186101</v>
      </c>
      <c r="G32" s="983"/>
      <c r="H32" s="984"/>
      <c r="I32" s="987">
        <f>VLOOKUP($I$29,'D_Ch-2-1'!$B$5:$AE$39,MATCH("Evol Empl salarié total",'D_Ch-2-1'!$5:$5,0)-1,FALSE)</f>
        <v>6.6864187296138654E-3</v>
      </c>
      <c r="J32" s="988"/>
      <c r="K32" s="989"/>
      <c r="L32" s="341"/>
      <c r="M32" s="341"/>
      <c r="N32" s="887">
        <f>VLOOKUP($O$29,'D_Ch-2-1'!$B$5:$AF$39,MATCH("Emploi salarié total Exp Princ",'D_Ch-2-1'!$5:$5,0)-1,FALSE)</f>
        <v>1119221.86353913</v>
      </c>
      <c r="O32" s="999"/>
      <c r="P32" s="888"/>
      <c r="Q32" s="987">
        <f>VLOOKUP($O$29,'D_Ch-2-1'!$B$5:$AE$39,MATCH("Evol Empl salarié total",'D_Ch-2-1'!$5:$5,0)-1,FALSE)</f>
        <v>3.7558100040987735E-3</v>
      </c>
      <c r="R32" s="988"/>
      <c r="S32" s="989"/>
      <c r="T32" s="341"/>
      <c r="W32" s="625"/>
      <c r="X32" s="625"/>
      <c r="Y32" s="625"/>
      <c r="Z32" s="625"/>
      <c r="AA32" s="625"/>
      <c r="AB32" s="625"/>
      <c r="AC32" s="625"/>
      <c r="AD32" s="625"/>
      <c r="AE32" s="625"/>
      <c r="AF32" s="625"/>
      <c r="AG32" s="625"/>
    </row>
    <row r="33" spans="1:33">
      <c r="A33" s="979" t="s">
        <v>887</v>
      </c>
      <c r="B33" s="980"/>
      <c r="C33" s="980"/>
      <c r="D33" s="980"/>
      <c r="E33" s="980"/>
      <c r="F33" s="982">
        <f>VLOOKUP($I$29,'D_Ch-2-1'!$B$5:$AF$39,MATCH("Emploi salarié privé acoss N",'D_Ch-2-1'!$5:$5,0)-1,FALSE)</f>
        <v>410588</v>
      </c>
      <c r="G33" s="983"/>
      <c r="H33" s="984"/>
      <c r="I33" s="987">
        <f>VLOOKUP($I$29,'D_Ch-2-1'!$B$5:$AE$39,MATCH("Evol Empl salarié privés",'D_Ch-2-1'!$5:$5,0)-1,FALSE)</f>
        <v>8.6083261595958464E-3</v>
      </c>
      <c r="J33" s="988"/>
      <c r="K33" s="989"/>
      <c r="L33" s="341"/>
      <c r="M33" s="341"/>
      <c r="N33" s="887">
        <f>VLOOKUP($O$29,'D_Ch-2-1'!$B$5:$AF$39,MATCH("Emploi salarié privé acoss N",'D_Ch-2-1'!$5:$5,0)-1,FALSE)</f>
        <v>803694</v>
      </c>
      <c r="O33" s="999"/>
      <c r="P33" s="888"/>
      <c r="Q33" s="987">
        <f>VLOOKUP($O$29,'D_Ch-2-1'!$B$5:$AE$39,MATCH("Evol Empl salarié privés",'D_Ch-2-1'!$5:$5,0)-1,FALSE)</f>
        <v>1.713903855994039E-3</v>
      </c>
      <c r="R33" s="988"/>
      <c r="S33" s="989"/>
      <c r="T33" s="341"/>
      <c r="W33" s="625"/>
      <c r="X33" s="625"/>
      <c r="Y33" s="625"/>
      <c r="Z33" s="625"/>
      <c r="AA33" s="625"/>
      <c r="AB33" s="625"/>
      <c r="AC33" s="625"/>
      <c r="AD33" s="625"/>
      <c r="AE33" s="625"/>
      <c r="AF33" s="625"/>
      <c r="AG33" s="625"/>
    </row>
    <row r="34" spans="1:33" ht="12.75" customHeight="1">
      <c r="A34" s="776" t="s">
        <v>1537</v>
      </c>
      <c r="B34" s="341"/>
      <c r="C34" s="341"/>
      <c r="D34" s="341"/>
      <c r="E34" s="341"/>
      <c r="F34" s="341"/>
      <c r="G34" s="341"/>
      <c r="H34" s="341"/>
      <c r="I34" s="341"/>
      <c r="J34" s="341"/>
      <c r="K34" s="341"/>
      <c r="L34" s="341"/>
      <c r="M34" s="341"/>
      <c r="N34" s="341"/>
      <c r="O34" s="341"/>
      <c r="P34" s="341"/>
      <c r="Q34" s="341"/>
      <c r="R34" s="341"/>
      <c r="S34" s="341"/>
      <c r="T34" s="341"/>
      <c r="W34" s="625"/>
      <c r="X34" s="625"/>
      <c r="Y34" s="625"/>
      <c r="Z34" s="625"/>
      <c r="AA34" s="625"/>
      <c r="AB34" s="625"/>
      <c r="AC34" s="625"/>
      <c r="AD34" s="625"/>
      <c r="AE34" s="625"/>
      <c r="AF34" s="625"/>
      <c r="AG34" s="625"/>
    </row>
    <row r="35" spans="1:33">
      <c r="A35" s="979" t="s">
        <v>882</v>
      </c>
      <c r="B35" s="980"/>
      <c r="C35" s="980"/>
      <c r="D35" s="980"/>
      <c r="E35" s="980"/>
      <c r="F35" s="434"/>
      <c r="G35" s="1002">
        <f>VLOOKUP($I$29,'D_Ch-2-1'!$B$5:$AE$39,MATCH("Actifs occupés ",'D_Ch-2-1'!$5:$5,0)-1,FALSE)/VLOOKUP($I$29,'D_Ch-2-1'!$B$5:$AE$39,MATCH("Pop 15 - 64 ans",'D_Ch-2-1'!$5:$5,0)-1,FALSE)</f>
        <v>0.63626081683981928</v>
      </c>
      <c r="H35" s="1003"/>
      <c r="I35" s="439"/>
      <c r="J35" s="341"/>
      <c r="K35" s="341"/>
      <c r="L35" s="341"/>
      <c r="M35" s="341"/>
      <c r="N35" s="1000">
        <f>VLOOKUP($O$29,'D_Ch-2-1'!$B$5:$AE$39,MATCH("Actifs occupés ",'D_Ch-2-1'!$5:$5,0)-1,FALSE)/VLOOKUP($O$29,'D_Ch-2-1'!$B$5:$AE$39,MATCH("Pop 15 - 64 ans",'D_Ch-2-1'!$5:$5,0)-1,FALSE)</f>
        <v>0.63660140609280025</v>
      </c>
      <c r="O35" s="1001"/>
      <c r="P35" s="341"/>
      <c r="Q35" s="341"/>
      <c r="R35" s="341"/>
      <c r="S35" s="341"/>
      <c r="T35" s="341"/>
    </row>
    <row r="36" spans="1:33">
      <c r="A36" s="979" t="s">
        <v>883</v>
      </c>
      <c r="B36" s="980"/>
      <c r="C36" s="980"/>
      <c r="D36" s="980"/>
      <c r="E36" s="980"/>
      <c r="F36" s="434"/>
      <c r="G36" s="1004">
        <f>VLOOKUP($I$29,'D_Ch-2-1'!$B$5:$AE$39,MATCH("Salaire horaire net moyen",'D_Ch-2-1'!$5:$5,0)-1,FALSE)</f>
        <v>13.743413535452037</v>
      </c>
      <c r="H36" s="1005"/>
      <c r="I36" s="695" t="e">
        <f>VLOOKUP($H$9,'D_Ch-2-1'!$B$5:$AG$39,MATCH("Evol Salaire horaire net moyen n-2/n-1",'D_Ch-2-1'!$5:$5,0)-1,FALSE)</f>
        <v>#N/A</v>
      </c>
      <c r="J36" s="680"/>
      <c r="K36" s="680"/>
      <c r="L36" s="341"/>
      <c r="M36" s="341"/>
      <c r="N36" s="1006">
        <f>VLOOKUP($O$29,'D_Ch-2-1'!$B$5:$AE$39,MATCH("Salaire horaire net moyen",'D_Ch-2-1'!$5:$5,0)-1,FALSE)</f>
        <v>13.098953263660176</v>
      </c>
      <c r="O36" s="1007"/>
      <c r="P36" s="695" t="e">
        <f>VLOOKUP($O$9,'D_Ch-2-1'!$B$5:$AG$39,MATCH("Evol Salaire horaire net moyen n-2/n-1",'D_Ch-2-1'!$5:$5,0)-1,FALSE)</f>
        <v>#N/A</v>
      </c>
      <c r="Q36" s="341"/>
      <c r="R36" s="341"/>
      <c r="S36" s="341"/>
      <c r="T36" s="341"/>
    </row>
    <row r="37" spans="1:33">
      <c r="A37" s="979" t="s">
        <v>884</v>
      </c>
      <c r="B37" s="980"/>
      <c r="C37" s="980"/>
      <c r="D37" s="980"/>
      <c r="E37" s="980"/>
      <c r="F37" s="434"/>
      <c r="G37" s="1002">
        <f>VLOOKUP($I$29,'D_Ch-2-1'!$B$5:$AE$39,MATCH("Emploi total Exp Princ",'D_Ch-2-1'!$5:$5,0)-1,FALSE)/VLOOKUP($I$29,'D_Ch-2-1'!$B$5:$AE$39,MATCH("Actifs occupés ",'D_Ch-2-1'!$5:$5,0)-1,FALSE)</f>
        <v>1.0153549313590398</v>
      </c>
      <c r="H37" s="1003"/>
      <c r="I37" s="439"/>
      <c r="J37" s="341"/>
      <c r="K37" s="341"/>
      <c r="L37" s="341"/>
      <c r="M37" s="341"/>
      <c r="N37" s="1000">
        <f>VLOOKUP($O$29,'D_Ch-2-1'!$B$5:$AE$39,MATCH("Emploi total Exp Princ",'D_Ch-2-1'!$5:$5,0)-1,FALSE)/VLOOKUP($O$29,'D_Ch-2-1'!$B$5:$AE$39,MATCH("Actifs occupés ",'D_Ch-2-1'!$5:$5,0)-1,FALSE)</f>
        <v>1.0009605140927818</v>
      </c>
      <c r="O37" s="1001"/>
      <c r="P37" s="341"/>
      <c r="Q37" s="341"/>
      <c r="R37" s="341"/>
      <c r="S37" s="341"/>
      <c r="T37" s="341"/>
    </row>
    <row r="38" spans="1:33" ht="7.5" customHeight="1">
      <c r="I38" s="341"/>
      <c r="J38" s="341"/>
      <c r="K38" s="341"/>
      <c r="L38" s="341"/>
      <c r="M38" s="341"/>
      <c r="N38" s="341"/>
      <c r="O38" s="341"/>
      <c r="P38" s="341"/>
      <c r="Q38" s="341"/>
      <c r="R38" s="341"/>
      <c r="S38" s="341"/>
      <c r="T38" s="341"/>
    </row>
    <row r="39" spans="1:33" ht="15.75" thickBot="1">
      <c r="A39" s="435" t="s">
        <v>903</v>
      </c>
      <c r="B39" s="341"/>
      <c r="C39" s="341"/>
      <c r="D39" s="341"/>
      <c r="E39" s="341"/>
      <c r="F39" s="341"/>
      <c r="G39" s="341"/>
      <c r="H39" s="341"/>
      <c r="I39" s="341"/>
      <c r="J39" s="341"/>
      <c r="K39" s="341"/>
      <c r="L39" s="341"/>
      <c r="M39" s="341"/>
      <c r="N39" s="341"/>
      <c r="O39" s="341"/>
      <c r="P39" s="341"/>
      <c r="Q39" s="341"/>
      <c r="R39" s="341"/>
      <c r="S39" s="341"/>
      <c r="T39" s="341"/>
    </row>
    <row r="40" spans="1:33" ht="26.25" customHeight="1" thickTop="1" thickBot="1">
      <c r="A40" s="341"/>
      <c r="B40" s="341"/>
      <c r="C40" s="341"/>
      <c r="D40" s="1008" t="s">
        <v>1950</v>
      </c>
      <c r="E40" s="1008"/>
      <c r="H40" s="1020" t="s">
        <v>2026</v>
      </c>
      <c r="I40" s="1021"/>
      <c r="J40" s="1016" t="s">
        <v>116</v>
      </c>
      <c r="K40" s="1017"/>
      <c r="L40" s="1016" t="s">
        <v>74</v>
      </c>
      <c r="M40" s="1017"/>
      <c r="N40" s="1016" t="s">
        <v>467</v>
      </c>
      <c r="O40" s="1017"/>
      <c r="P40" s="1016" t="s">
        <v>471</v>
      </c>
      <c r="Q40" s="1017"/>
      <c r="R40" s="1018" t="s">
        <v>469</v>
      </c>
      <c r="S40" s="1019"/>
    </row>
    <row r="41" spans="1:33" ht="16.5" thickTop="1" thickBot="1">
      <c r="A41" s="1009" t="s">
        <v>116</v>
      </c>
      <c r="B41" s="1010"/>
      <c r="C41" s="1011"/>
      <c r="D41" s="1012">
        <f>VLOOKUP($A41,'D_Ch-2-1'!$B$47:$L$95,MATCH("Effectifs_n-1",'D_Ch-2-1'!$47:$47,0)-1,FALSE)</f>
        <v>417767</v>
      </c>
      <c r="E41" s="1013"/>
    </row>
    <row r="42" spans="1:33" ht="16.5" thickTop="1" thickBot="1">
      <c r="A42" s="1009" t="s">
        <v>74</v>
      </c>
      <c r="B42" s="1010"/>
      <c r="C42" s="1011"/>
      <c r="D42" s="1014">
        <f>VLOOKUP($A42,'D_Ch-2-1'!$B$47:$L$95,MATCH("Effectifs_n-1",'D_Ch-2-1'!$47:$47,0)-1,FALSE)</f>
        <v>810253</v>
      </c>
      <c r="E42" s="1015"/>
      <c r="H42" s="341"/>
      <c r="I42" s="416"/>
      <c r="J42" s="416"/>
      <c r="K42" s="416"/>
      <c r="L42" s="416"/>
      <c r="M42" s="416">
        <v>2008</v>
      </c>
      <c r="N42" s="416">
        <v>2009</v>
      </c>
      <c r="O42" s="416">
        <v>2010</v>
      </c>
      <c r="P42" s="416">
        <v>2011</v>
      </c>
      <c r="Q42" s="416">
        <v>2012</v>
      </c>
      <c r="R42" s="416">
        <v>2013</v>
      </c>
      <c r="S42" s="416">
        <v>2014</v>
      </c>
      <c r="T42" s="449">
        <v>2015</v>
      </c>
    </row>
    <row r="43" spans="1:33" ht="16.5" thickTop="1" thickBot="1">
      <c r="A43" s="1009" t="s">
        <v>471</v>
      </c>
      <c r="B43" s="1010"/>
      <c r="C43" s="1011"/>
      <c r="D43" s="1014">
        <f>VLOOKUP($A43,'D_Ch-2-1'!$B$47:$L$95,MATCH("Effectifs_n-1",'D_Ch-2-1'!$47:$47,0)-1,FALSE)</f>
        <v>411731</v>
      </c>
      <c r="E43" s="1015"/>
      <c r="H43" s="341"/>
      <c r="I43" s="416" t="str">
        <f>$H$40</f>
        <v>France Métro.</v>
      </c>
      <c r="J43" s="416"/>
      <c r="K43" s="449"/>
      <c r="L43" s="416"/>
      <c r="M43" s="416">
        <f>VLOOKUP($I43,'D_Ch-2-1'!$B$47:$J$95,MATCH("base 100",'D_Ch-2-1'!$47:$47,0)-1,FALSE)</f>
        <v>100</v>
      </c>
      <c r="N43" s="416">
        <f>VLOOKUP($I43,'D_Ch-2-1'!$B$47:$J$95,MATCH("base 100_n-7",'D_Ch-2-1'!$47:$47,0)-1,FALSE)</f>
        <v>97.779571593997744</v>
      </c>
      <c r="O43" s="416">
        <f>VLOOKUP($I43,'D_Ch-2-1'!$B$47:$J$95,MATCH("base 100_n-6",'D_Ch-2-1'!$47:$47,0)-1,FALSE)</f>
        <v>98.668417290260209</v>
      </c>
      <c r="P43" s="416">
        <f>VLOOKUP($I43,'D_Ch-2-1'!$B$47:$J$95,MATCH("base 100_n-5",'D_Ch-2-1'!$47:$47,0)-1,FALSE)</f>
        <v>99.328539140689003</v>
      </c>
      <c r="Q43" s="416">
        <f>VLOOKUP($I43,'D_Ch-2-1'!$B$47:$J$95,MATCH("base 100_n-4",'D_Ch-2-1'!$47:$47,0)-1,FALSE)</f>
        <v>98.816170072666552</v>
      </c>
      <c r="R43" s="416">
        <f>VLOOKUP($I43,'D_Ch-2-1'!$B$47:$J$95,MATCH("base 100_n-3",'D_Ch-2-1'!$47:$47,0)-1,FALSE)</f>
        <v>98.493492819902713</v>
      </c>
      <c r="S43" s="416">
        <f>VLOOKUP($I43,'D_Ch-2-1'!$B$47:$J$95,MATCH("base 100_n-2",'D_Ch-2-1'!$47:$47,0)-1,FALSE)</f>
        <v>98.306504006761472</v>
      </c>
      <c r="T43" s="416">
        <f>VLOOKUP($I43,'D_Ch-2-1'!$B$47:$J$95,MATCH("base 100_n-1",'D_Ch-2-1'!$47:$47,0)-1,FALSE)</f>
        <v>98.856856771204477</v>
      </c>
    </row>
    <row r="44" spans="1:33" ht="16.5" thickTop="1" thickBot="1">
      <c r="A44" s="1009" t="s">
        <v>466</v>
      </c>
      <c r="B44" s="1010"/>
      <c r="C44" s="1011"/>
      <c r="D44" s="1014">
        <f>VLOOKUP($A44,'D_Ch-2-1'!$B$47:$L$95,MATCH("Effectifs_n-1",'D_Ch-2-1'!$47:$47,0)-1,FALSE)</f>
        <v>586556</v>
      </c>
      <c r="E44" s="1015"/>
      <c r="H44" s="341"/>
      <c r="I44" s="416" t="str">
        <f>$J$40</f>
        <v>Gironde</v>
      </c>
      <c r="J44" s="416"/>
      <c r="K44" s="449"/>
      <c r="L44" s="416"/>
      <c r="M44" s="416">
        <f>VLOOKUP($I44,'D_Ch-2-1'!$B$47:$J$95,MATCH("base 100",'D_Ch-2-1'!$47:$47,0)-1,FALSE)</f>
        <v>100</v>
      </c>
      <c r="N44" s="416">
        <f>VLOOKUP($I44,'D_Ch-2-1'!$B$47:$J$95,MATCH("base 100_n-7",'D_Ch-2-1'!$47:$47,0)-1,FALSE)</f>
        <v>99.474785376357204</v>
      </c>
      <c r="O44" s="416">
        <f>VLOOKUP($I44,'D_Ch-2-1'!$B$47:$J$95,MATCH("base 100_n-6",'D_Ch-2-1'!$47:$47,0)-1,FALSE)</f>
        <v>100.98153613837599</v>
      </c>
      <c r="P44" s="416">
        <f>VLOOKUP($I44,'D_Ch-2-1'!$B$47:$J$95,MATCH("base 100_n-5",'D_Ch-2-1'!$47:$47,0)-1,FALSE)</f>
        <v>102.51243762123026</v>
      </c>
      <c r="Q44" s="416">
        <f>VLOOKUP($I44,'D_Ch-2-1'!$B$47:$J$95,MATCH("base 100_n-4",'D_Ch-2-1'!$47:$47,0)-1,FALSE)</f>
        <v>103.63582746725035</v>
      </c>
      <c r="R44" s="416">
        <f>VLOOKUP($I44,'D_Ch-2-1'!$B$47:$J$95,MATCH("base 100_n-3",'D_Ch-2-1'!$47:$47,0)-1,FALSE)</f>
        <v>104.37890701464043</v>
      </c>
      <c r="S44" s="416">
        <f>VLOOKUP($I44,'D_Ch-2-1'!$B$47:$J$95,MATCH("base 100_n-2",'D_Ch-2-1'!$47:$47,0)-1,FALSE)</f>
        <v>104.75260764230494</v>
      </c>
      <c r="T44" s="416">
        <f>VLOOKUP($I44,'D_Ch-2-1'!$B$47:$J$95,MATCH("base 100_n-1",'D_Ch-2-1'!$47:$47,0)-1,FALSE)</f>
        <v>106.2039388554592</v>
      </c>
    </row>
    <row r="45" spans="1:33" ht="16.5" thickTop="1" thickBot="1">
      <c r="A45" s="1009" t="s">
        <v>465</v>
      </c>
      <c r="B45" s="1010"/>
      <c r="C45" s="1011"/>
      <c r="D45" s="1014">
        <f>VLOOKUP($A45,'D_Ch-2-1'!$B$47:$L$95,MATCH("Effectifs_n-1",'D_Ch-2-1'!$47:$47,0)-1,FALSE)</f>
        <v>295338</v>
      </c>
      <c r="E45" s="1015"/>
      <c r="H45" s="341"/>
      <c r="I45" s="416" t="str">
        <f>$L$40</f>
        <v>Aquitaine</v>
      </c>
      <c r="J45" s="416"/>
      <c r="K45" s="449"/>
      <c r="L45" s="416"/>
      <c r="M45" s="416">
        <f>VLOOKUP($I45,'D_Ch-2-1'!$B$47:$J$95,MATCH("base 100",'D_Ch-2-1'!$47:$47,0)-1,FALSE)</f>
        <v>100</v>
      </c>
      <c r="N45" s="416">
        <f>VLOOKUP($I45,'D_Ch-2-1'!$B$47:$J$95,MATCH("base 100_n-7",'D_Ch-2-1'!$47:$47,0)-1,FALSE)</f>
        <v>98.724339329503223</v>
      </c>
      <c r="O45" s="416">
        <f>VLOOKUP($I45,'D_Ch-2-1'!$B$47:$J$95,MATCH("base 100_n-6",'D_Ch-2-1'!$47:$47,0)-1,FALSE)</f>
        <v>99.922694837872513</v>
      </c>
      <c r="P45" s="416">
        <f>VLOOKUP($I45,'D_Ch-2-1'!$B$47:$J$95,MATCH("base 100_n-5",'D_Ch-2-1'!$47:$47,0)-1,FALSE)</f>
        <v>100.9122260121831</v>
      </c>
      <c r="Q45" s="416">
        <f>VLOOKUP($I45,'D_Ch-2-1'!$B$47:$J$95,MATCH("base 100_n-4",'D_Ch-2-1'!$47:$47,0)-1,FALSE)</f>
        <v>100.88097765931012</v>
      </c>
      <c r="R45" s="416">
        <f>VLOOKUP($I45,'D_Ch-2-1'!$B$47:$J$95,MATCH("base 100_n-3",'D_Ch-2-1'!$47:$47,0)-1,FALSE)</f>
        <v>100.85989443327537</v>
      </c>
      <c r="S45" s="416">
        <f>VLOOKUP($I45,'D_Ch-2-1'!$B$47:$J$95,MATCH("base 100_n-2",'D_Ch-2-1'!$47:$47,0)-1,FALSE)</f>
        <v>100.98990766048979</v>
      </c>
      <c r="T45" s="416">
        <f>VLOOKUP($I45,'D_Ch-2-1'!$B$47:$J$95,MATCH("base 100_n-1",'D_Ch-2-1'!$47:$47,0)-1,FALSE)</f>
        <v>101.68301871638292</v>
      </c>
    </row>
    <row r="46" spans="1:33" ht="16.5" thickTop="1" thickBot="1">
      <c r="A46" s="1009" t="s">
        <v>467</v>
      </c>
      <c r="B46" s="1010"/>
      <c r="C46" s="1011"/>
      <c r="D46" s="1014">
        <f>VLOOKUP($A46,'D_Ch-2-1'!$B$47:$L$95,MATCH("Effectifs_n-1",'D_Ch-2-1'!$47:$47,0)-1,FALSE)</f>
        <v>433671</v>
      </c>
      <c r="E46" s="1015"/>
      <c r="H46" s="341"/>
      <c r="I46" s="449" t="str">
        <f>$N$40</f>
        <v>Haute-Garonne</v>
      </c>
      <c r="J46" s="449"/>
      <c r="K46" s="449"/>
      <c r="L46" s="449"/>
      <c r="M46" s="449">
        <f>VLOOKUP($I46,'D_Ch-2-1'!$B$47:$J$95,MATCH("base 100",'D_Ch-2-1'!$47:$47,0)-1,FALSE)</f>
        <v>100</v>
      </c>
      <c r="N46" s="449">
        <f>VLOOKUP($I46,'D_Ch-2-1'!$B$47:$J$95,MATCH("base 100_n-7",'D_Ch-2-1'!$47:$47,0)-1,FALSE)</f>
        <v>99.760342268226736</v>
      </c>
      <c r="O46" s="449">
        <f>VLOOKUP($I46,'D_Ch-2-1'!$B$47:$J$95,MATCH("base 100_n-6",'D_Ch-2-1'!$47:$47,0)-1,FALSE)</f>
        <v>101.43919590957482</v>
      </c>
      <c r="P46" s="449">
        <f>VLOOKUP($I46,'D_Ch-2-1'!$B$47:$J$95,MATCH("base 100_n-5",'D_Ch-2-1'!$47:$47,0)-1,FALSE)</f>
        <v>103.66858759377639</v>
      </c>
      <c r="Q46" s="449">
        <f>VLOOKUP($I46,'D_Ch-2-1'!$B$47:$J$95,MATCH("base 100_n-4",'D_Ch-2-1'!$47:$47,0)-1,FALSE)</f>
        <v>105.12652628737935</v>
      </c>
      <c r="R46" s="449">
        <f>VLOOKUP($I46,'D_Ch-2-1'!$B$47:$J$95,MATCH("base 100_n-3",'D_Ch-2-1'!$47:$47,0)-1,FALSE)</f>
        <v>106.01243521244321</v>
      </c>
      <c r="S46" s="449">
        <f>VLOOKUP($I46,'D_Ch-2-1'!$B$47:$J$95,MATCH("base 100_n-2",'D_Ch-2-1'!$47:$47,0)-1,FALSE)</f>
        <v>106.69517235864193</v>
      </c>
      <c r="T46" s="449">
        <f>VLOOKUP($I46,'D_Ch-2-1'!$B$47:$J$95,MATCH("base 100_n-1",'D_Ch-2-1'!$47:$47,0)-1,FALSE)</f>
        <v>108.37602523028633</v>
      </c>
    </row>
    <row r="47" spans="1:33" ht="16.5" thickTop="1" thickBot="1">
      <c r="A47" s="1009" t="s">
        <v>468</v>
      </c>
      <c r="B47" s="1010"/>
      <c r="C47" s="1011"/>
      <c r="D47" s="1014">
        <f>VLOOKUP($A47,'D_Ch-2-1'!$B$47:$L$95,MATCH("Effectifs_n-1",'D_Ch-2-1'!$47:$47,0)-1,FALSE)</f>
        <v>258781</v>
      </c>
      <c r="E47" s="1015"/>
      <c r="H47" s="341"/>
      <c r="I47" s="449" t="str">
        <f>$P$40</f>
        <v>Loire-Atlantique</v>
      </c>
      <c r="J47" s="449"/>
      <c r="K47" s="449"/>
      <c r="L47" s="449"/>
      <c r="M47" s="449">
        <f>VLOOKUP($I47,'D_Ch-2-1'!$B$47:$J$95,MATCH("base 100",'D_Ch-2-1'!$47:$47,0)-1,FALSE)</f>
        <v>100</v>
      </c>
      <c r="N47" s="449">
        <f>VLOOKUP($I47,'D_Ch-2-1'!$B$47:$J$95,MATCH("base 100_n-7",'D_Ch-2-1'!$47:$47,0)-1,FALSE)</f>
        <v>97.707863100609131</v>
      </c>
      <c r="O47" s="449">
        <f>VLOOKUP($I47,'D_Ch-2-1'!$B$47:$J$95,MATCH("base 100_n-6",'D_Ch-2-1'!$47:$47,0)-1,FALSE)</f>
        <v>99.505632567924394</v>
      </c>
      <c r="P47" s="449">
        <f>VLOOKUP($I47,'D_Ch-2-1'!$B$47:$J$95,MATCH("base 100_n-5",'D_Ch-2-1'!$47:$47,0)-1,FALSE)</f>
        <v>101.67532789546199</v>
      </c>
      <c r="Q47" s="449">
        <f>VLOOKUP($I47,'D_Ch-2-1'!$B$47:$J$95,MATCH("base 100_n-4",'D_Ch-2-1'!$47:$47,0)-1,FALSE)</f>
        <v>102.57229548551024</v>
      </c>
      <c r="R47" s="449">
        <f>VLOOKUP($I47,'D_Ch-2-1'!$B$47:$J$95,MATCH("base 100_n-3",'D_Ch-2-1'!$47:$47,0)-1,FALSE)</f>
        <v>102.99713450935182</v>
      </c>
      <c r="S47" s="449">
        <f>VLOOKUP($I47,'D_Ch-2-1'!$B$47:$J$95,MATCH("base 100_n-2",'D_Ch-2-1'!$47:$47,0)-1,FALSE)</f>
        <v>103.51501890303598</v>
      </c>
      <c r="T47" s="449">
        <f>VLOOKUP($I47,'D_Ch-2-1'!$B$47:$J$95,MATCH("base 100_n-1",'D_Ch-2-1'!$47:$47,0)-1,FALSE)</f>
        <v>105.24632739189228</v>
      </c>
    </row>
    <row r="48" spans="1:33" ht="16.5" thickTop="1" thickBot="1">
      <c r="A48" s="1009" t="s">
        <v>469</v>
      </c>
      <c r="B48" s="1010"/>
      <c r="C48" s="1011"/>
      <c r="D48" s="1014">
        <f>VLOOKUP($A48,'D_Ch-2-1'!$B$47:$L$95,MATCH("Effectifs_n-1",'D_Ch-2-1'!$47:$47,0)-1,FALSE)</f>
        <v>299494</v>
      </c>
      <c r="E48" s="1015"/>
      <c r="H48" s="341"/>
      <c r="I48" s="449" t="str">
        <f>$R$40</f>
        <v>Ille-et-Vilaine</v>
      </c>
      <c r="J48" s="449"/>
      <c r="K48" s="449"/>
      <c r="L48" s="449"/>
      <c r="M48" s="449">
        <f>VLOOKUP($I48,'D_Ch-2-1'!$B$47:$J$95,MATCH("base 100",'D_Ch-2-1'!$47:$47,0)-1,FALSE)</f>
        <v>100</v>
      </c>
      <c r="N48" s="449">
        <f>VLOOKUP($I48,'D_Ch-2-1'!$B$47:$J$95,MATCH("base 100_n-7",'D_Ch-2-1'!$47:$47,0)-1,FALSE)</f>
        <v>98.276580432559371</v>
      </c>
      <c r="O48" s="449">
        <f>VLOOKUP($I48,'D_Ch-2-1'!$B$47:$J$95,MATCH("base 100_n-6",'D_Ch-2-1'!$47:$47,0)-1,FALSE)</f>
        <v>99.586448171729032</v>
      </c>
      <c r="P48" s="449">
        <f>VLOOKUP($I48,'D_Ch-2-1'!$B$47:$J$95,MATCH("base 100_n-5",'D_Ch-2-1'!$47:$47,0)-1,FALSE)</f>
        <v>101.04093853194267</v>
      </c>
      <c r="Q48" s="449">
        <f>VLOOKUP($I48,'D_Ch-2-1'!$B$47:$J$95,MATCH("base 100_n-4",'D_Ch-2-1'!$47:$47,0)-1,FALSE)</f>
        <v>100.54646690380184</v>
      </c>
      <c r="R48" s="449">
        <f>VLOOKUP($I48,'D_Ch-2-1'!$B$47:$J$95,MATCH("base 100_n-3",'D_Ch-2-1'!$47:$47,0)-1,FALSE)</f>
        <v>100.80472158423753</v>
      </c>
      <c r="S48" s="449">
        <f>VLOOKUP($I48,'D_Ch-2-1'!$B$47:$J$95,MATCH("base 100_n-2",'D_Ch-2-1'!$47:$47,0)-1,FALSE)</f>
        <v>101.4465705500136</v>
      </c>
      <c r="T48" s="449">
        <f>VLOOKUP($I48,'D_Ch-2-1'!$B$47:$J$95,MATCH("base 100_n-1",'D_Ch-2-1'!$47:$47,0)-1,FALSE)</f>
        <v>103.12763634986277</v>
      </c>
    </row>
    <row r="49" spans="1:21" ht="16.5" thickTop="1" thickBot="1">
      <c r="A49" s="1009" t="s">
        <v>470</v>
      </c>
      <c r="B49" s="1010"/>
      <c r="C49" s="1011"/>
      <c r="D49" s="1014">
        <f>VLOOKUP($A49,'D_Ch-2-1'!$B$47:$L$95,MATCH("Effectifs_n-1",'D_Ch-2-1'!$47:$47,0)-1,FALSE)</f>
        <v>338044</v>
      </c>
      <c r="E49" s="1015"/>
      <c r="J49" s="300"/>
      <c r="K49" s="300"/>
      <c r="L49" s="300"/>
      <c r="M49" s="300"/>
      <c r="N49" s="300"/>
      <c r="O49" s="300"/>
      <c r="P49" s="300"/>
      <c r="Q49" s="300"/>
      <c r="R49" s="300"/>
      <c r="S49" s="300"/>
      <c r="T49" s="300"/>
    </row>
    <row r="50" spans="1:21" ht="16.5" thickTop="1" thickBot="1">
      <c r="A50" s="1009" t="s">
        <v>472</v>
      </c>
      <c r="B50" s="1010"/>
      <c r="C50" s="1011"/>
      <c r="D50" s="1014">
        <f>VLOOKUP($A50,'D_Ch-2-1'!$B$47:$L$95,MATCH("Effectifs_n-1",'D_Ch-2-1'!$47:$47,0)-1,FALSE)</f>
        <v>694358</v>
      </c>
      <c r="E50" s="1015"/>
      <c r="J50" s="300"/>
      <c r="K50" s="300"/>
      <c r="L50" s="300"/>
      <c r="M50" s="300"/>
      <c r="N50" s="300"/>
      <c r="O50" s="300"/>
      <c r="P50" s="300"/>
      <c r="Q50" s="300"/>
      <c r="R50" s="300"/>
      <c r="S50" s="300"/>
      <c r="T50" s="300"/>
    </row>
    <row r="51" spans="1:21" ht="16.5" thickTop="1" thickBot="1">
      <c r="A51" s="1009" t="s">
        <v>474</v>
      </c>
      <c r="B51" s="1010"/>
      <c r="C51" s="1011"/>
      <c r="D51" s="1014">
        <f>VLOOKUP($A51,'D_Ch-2-1'!$B$47:$L$95,MATCH("Effectifs_n-1",'D_Ch-2-1'!$47:$47,0)-1,FALSE)</f>
        <v>675490</v>
      </c>
      <c r="E51" s="1015"/>
      <c r="J51" s="300"/>
      <c r="K51" s="300"/>
      <c r="L51" s="300"/>
      <c r="M51" s="300"/>
      <c r="N51" s="300"/>
      <c r="O51" s="300"/>
      <c r="P51" s="300"/>
      <c r="Q51" s="300"/>
      <c r="R51" s="300"/>
      <c r="S51" s="300"/>
      <c r="T51" s="300"/>
    </row>
    <row r="52" spans="1:21" ht="6" customHeight="1" thickTop="1">
      <c r="A52" s="846"/>
      <c r="B52" s="846"/>
      <c r="C52" s="846"/>
      <c r="D52" s="847"/>
      <c r="E52" s="847"/>
      <c r="J52" s="300"/>
      <c r="K52" s="300"/>
      <c r="L52" s="300"/>
      <c r="M52" s="300"/>
      <c r="N52" s="300"/>
      <c r="O52" s="300"/>
      <c r="P52" s="300"/>
      <c r="Q52" s="300"/>
      <c r="R52" s="300"/>
      <c r="S52" s="300"/>
      <c r="T52" s="300"/>
      <c r="U52" s="173"/>
    </row>
    <row r="53" spans="1:21" ht="15" customHeight="1">
      <c r="A53" s="205"/>
      <c r="B53" s="206"/>
      <c r="C53" s="207"/>
      <c r="D53" s="207"/>
      <c r="E53" s="207"/>
      <c r="F53" s="985" t="s">
        <v>1369</v>
      </c>
      <c r="G53" s="977"/>
      <c r="H53" s="977"/>
      <c r="I53" s="977"/>
      <c r="J53" s="977"/>
      <c r="K53" s="977"/>
      <c r="L53" s="977"/>
      <c r="M53" s="977"/>
      <c r="N53" s="977"/>
      <c r="O53" s="977"/>
      <c r="P53" s="977"/>
      <c r="Q53" s="977"/>
      <c r="R53" s="977"/>
      <c r="S53" s="977"/>
      <c r="T53" s="977"/>
      <c r="U53" s="622"/>
    </row>
    <row r="54" spans="1:21" ht="15" customHeight="1">
      <c r="A54" s="209"/>
      <c r="B54" s="207"/>
      <c r="C54" s="207"/>
      <c r="D54" s="207"/>
      <c r="E54" s="207"/>
      <c r="F54" s="985"/>
      <c r="G54" s="977"/>
      <c r="H54" s="977"/>
      <c r="I54" s="977"/>
      <c r="J54" s="977"/>
      <c r="K54" s="977"/>
      <c r="L54" s="977"/>
      <c r="M54" s="977"/>
      <c r="N54" s="977"/>
      <c r="O54" s="977"/>
      <c r="P54" s="977"/>
      <c r="Q54" s="977"/>
      <c r="R54" s="977"/>
      <c r="S54" s="977"/>
      <c r="T54" s="977"/>
      <c r="U54" s="622"/>
    </row>
    <row r="55" spans="1:21" ht="15" customHeight="1">
      <c r="A55" s="210"/>
      <c r="B55" s="207"/>
      <c r="C55" s="207"/>
      <c r="D55" s="207"/>
      <c r="E55" s="207"/>
      <c r="F55" s="985"/>
      <c r="G55" s="977"/>
      <c r="H55" s="977"/>
      <c r="I55" s="977"/>
      <c r="J55" s="977"/>
      <c r="K55" s="977"/>
      <c r="L55" s="977"/>
      <c r="M55" s="977"/>
      <c r="N55" s="977"/>
      <c r="O55" s="977"/>
      <c r="P55" s="977"/>
      <c r="Q55" s="977"/>
      <c r="R55" s="977"/>
      <c r="S55" s="977"/>
      <c r="T55" s="977"/>
      <c r="U55" s="622"/>
    </row>
    <row r="56" spans="1:21" ht="15" customHeight="1">
      <c r="F56" s="985"/>
      <c r="G56" s="977"/>
      <c r="H56" s="977"/>
      <c r="I56" s="977"/>
      <c r="J56" s="977"/>
      <c r="K56" s="977"/>
      <c r="L56" s="977"/>
      <c r="M56" s="977"/>
      <c r="N56" s="977"/>
      <c r="O56" s="977"/>
      <c r="P56" s="977"/>
      <c r="Q56" s="977"/>
      <c r="R56" s="977"/>
      <c r="S56" s="977"/>
      <c r="T56" s="977"/>
    </row>
    <row r="57" spans="1:21" ht="6" customHeight="1"/>
    <row r="58" spans="1:21" ht="15" customHeight="1">
      <c r="A58" s="875" t="s">
        <v>1134</v>
      </c>
      <c r="B58" s="875"/>
      <c r="C58" s="875"/>
      <c r="D58" s="875"/>
      <c r="E58" s="875"/>
      <c r="F58" s="875"/>
      <c r="G58" s="875"/>
      <c r="H58" s="875"/>
      <c r="I58" s="875"/>
      <c r="J58" s="875"/>
      <c r="K58" s="875"/>
      <c r="L58" s="875"/>
      <c r="M58" s="875"/>
      <c r="N58" s="875"/>
      <c r="O58" s="875"/>
      <c r="P58" s="875"/>
      <c r="Q58" s="875"/>
      <c r="R58" s="875"/>
      <c r="S58" s="875"/>
      <c r="T58" s="875"/>
      <c r="U58" s="860"/>
    </row>
    <row r="59" spans="1:21" ht="15.75" customHeight="1">
      <c r="A59" s="875"/>
      <c r="B59" s="875"/>
      <c r="C59" s="875"/>
      <c r="D59" s="875"/>
      <c r="E59" s="875"/>
      <c r="F59" s="875"/>
      <c r="G59" s="875"/>
      <c r="H59" s="875"/>
      <c r="I59" s="875"/>
      <c r="J59" s="875"/>
      <c r="K59" s="875"/>
      <c r="L59" s="875"/>
      <c r="M59" s="875"/>
      <c r="N59" s="875"/>
      <c r="O59" s="875"/>
      <c r="P59" s="875"/>
      <c r="Q59" s="875"/>
      <c r="R59" s="875"/>
      <c r="S59" s="875"/>
      <c r="T59" s="875"/>
      <c r="U59" s="860"/>
    </row>
    <row r="60" spans="1:21" ht="4.5" customHeight="1" thickBot="1">
      <c r="U60" s="173"/>
    </row>
    <row r="61" spans="1:21" ht="16.5" thickTop="1" thickBot="1">
      <c r="A61" s="889" t="s">
        <v>1407</v>
      </c>
      <c r="B61" s="890"/>
      <c r="C61" s="891"/>
      <c r="D61" s="341"/>
      <c r="E61" s="581"/>
      <c r="F61" s="581"/>
      <c r="G61" s="581"/>
      <c r="H61" s="581"/>
      <c r="I61" s="876" t="s">
        <v>116</v>
      </c>
      <c r="J61" s="877"/>
      <c r="K61" s="877"/>
      <c r="L61" s="878"/>
      <c r="M61" s="582"/>
      <c r="N61" s="581"/>
      <c r="O61" s="879" t="s">
        <v>74</v>
      </c>
      <c r="P61" s="880"/>
      <c r="Q61" s="880"/>
      <c r="R61" s="881"/>
      <c r="S61" s="581"/>
      <c r="T61" s="215"/>
      <c r="U61" s="173"/>
    </row>
    <row r="62" spans="1:21" ht="15.75" thickTop="1">
      <c r="A62" s="435" t="s">
        <v>2033</v>
      </c>
      <c r="B62" s="435"/>
      <c r="C62" s="435"/>
      <c r="D62" s="435"/>
      <c r="E62" s="435"/>
      <c r="F62" s="435"/>
      <c r="G62" s="435"/>
      <c r="H62" s="435"/>
      <c r="I62" s="435"/>
      <c r="J62" s="435"/>
      <c r="K62" s="435"/>
      <c r="L62" s="435"/>
      <c r="M62" s="324"/>
      <c r="N62" s="324"/>
      <c r="O62" s="324"/>
      <c r="P62" s="324"/>
      <c r="Q62" s="324"/>
      <c r="R62" s="324"/>
      <c r="S62" s="324"/>
      <c r="T62" s="324"/>
    </row>
    <row r="63" spans="1:21" ht="6" customHeight="1"/>
    <row r="64" spans="1:21" ht="27" customHeight="1">
      <c r="A64" s="534"/>
      <c r="B64" s="534"/>
      <c r="C64" s="534"/>
      <c r="D64" s="534"/>
      <c r="E64" s="892" t="s">
        <v>1962</v>
      </c>
      <c r="F64" s="893"/>
      <c r="G64" s="892" t="s">
        <v>1963</v>
      </c>
      <c r="H64" s="895"/>
      <c r="I64" s="893"/>
      <c r="J64" s="892" t="s">
        <v>1682</v>
      </c>
      <c r="K64" s="895"/>
      <c r="L64" s="1023"/>
      <c r="M64" s="895" t="s">
        <v>1962</v>
      </c>
      <c r="N64" s="893"/>
      <c r="O64" s="892" t="s">
        <v>1963</v>
      </c>
      <c r="P64" s="895"/>
      <c r="Q64" s="893"/>
      <c r="R64" s="892" t="s">
        <v>1682</v>
      </c>
      <c r="S64" s="895"/>
      <c r="T64" s="893"/>
    </row>
    <row r="65" spans="1:20">
      <c r="A65" s="497" t="s">
        <v>724</v>
      </c>
      <c r="B65" s="535"/>
      <c r="C65" s="535"/>
      <c r="D65" s="498"/>
      <c r="E65" s="887">
        <f>VLOOKUP($I$61,'D_Ch5-2'!$B$58:$J$106,MATCH("Agriculture",'D_Ch5-2'!$B$58:$J$58,0),FALSE)</f>
        <v>71</v>
      </c>
      <c r="F65" s="888" t="e">
        <f>VLOOKUP($I$8,'D_Ch5-2'!$B$58:$J$106,MATCH("Agriculture",'D_Ch5-2'!$B$58:$J$58,0),FALSE)</f>
        <v>#N/A</v>
      </c>
      <c r="G65" s="901">
        <f>VLOOKUP($I$61,'D_Ch5-2'!$B$58:$S$106,MATCH("% Agriculture",'D_Ch5-2'!$B$58:$S$58,0),FALSE)</f>
        <v>1.6995119288981656E-4</v>
      </c>
      <c r="H65" s="902"/>
      <c r="I65" s="903"/>
      <c r="J65" s="897">
        <f>VLOOKUP($I$61,'D_Ch5-2'!$B$113:$Q$161,MATCH("MA Agric",'D_Ch5-2'!$B$113:$Q$113,0),FALSE)</f>
        <v>-1.1522465553552365E-2</v>
      </c>
      <c r="K65" s="898"/>
      <c r="L65" s="898"/>
      <c r="M65" s="905">
        <f>VLOOKUP($O$61,'D_Ch5-2'!$B$58:$J$106,MATCH("Agriculture",'D_Ch5-2'!$B$58:$J$58,0),FALSE)</f>
        <v>326</v>
      </c>
      <c r="N65" s="888" t="e">
        <f>VLOOKUP($I$8,'D_Ch5-2'!$B$58:$J$106,MATCH("Agriculture",'D_Ch5-2'!$B$58:$J$58,0),FALSE)</f>
        <v>#N/A</v>
      </c>
      <c r="O65" s="899">
        <f>VLOOKUP($O$61,'D_Ch5-2'!$B$58:$S$106,MATCH("% Agriculture",'D_Ch5-2'!$B$58:$S$58,0),FALSE)</f>
        <v>4.0234346555952278E-4</v>
      </c>
      <c r="P65" s="900"/>
      <c r="Q65" s="900"/>
      <c r="R65" s="1024">
        <f>VLOOKUP($O$61,'D_Ch5-2'!$B$113:$Q$161,MATCH("MA Agric",'D_Ch5-2'!$B$113:$Q$113,0),FALSE)</f>
        <v>3.0594137350886733E-2</v>
      </c>
      <c r="S65" s="1025"/>
      <c r="T65" s="1026"/>
    </row>
    <row r="66" spans="1:20">
      <c r="A66" s="497" t="s">
        <v>726</v>
      </c>
      <c r="B66" s="498"/>
      <c r="C66" s="498"/>
      <c r="D66" s="498"/>
      <c r="E66" s="887">
        <f>VLOOKUP($I$61,'D_Ch5-2'!$B$58:$J$106,MATCH("Industrie",'D_Ch5-2'!$B$58:$J$58,0),FALSE)</f>
        <v>53851</v>
      </c>
      <c r="F66" s="888" t="e">
        <f>VLOOKUP($I$8,'D_Ch5-2'!$B$58:$J$106,MATCH("Agriculture",'D_Ch5-2'!$B$58:$J$58,0),FALSE)</f>
        <v>#N/A</v>
      </c>
      <c r="G66" s="899">
        <f>VLOOKUP($I$61,'D_Ch5-2'!$B$58:$S$106,MATCH("% Industrie",'D_Ch5-2'!$B$58:$S$58,0),FALSE)</f>
        <v>0.12890199560999313</v>
      </c>
      <c r="H66" s="900"/>
      <c r="I66" s="904"/>
      <c r="J66" s="897">
        <f>VLOOKUP($I$61,'D_Ch5-2'!$B$113:$Q$161,MATCH("MA Industrie",'D_Ch5-2'!$B$113:$Q$113,0),FALSE)</f>
        <v>-4.0789862264693092E-3</v>
      </c>
      <c r="K66" s="898"/>
      <c r="L66" s="898"/>
      <c r="M66" s="905">
        <f>VLOOKUP($O$61,'D_Ch5-2'!$B$58:$J$106,MATCH("Industrie",'D_Ch5-2'!$B$58:$J$58,0),FALSE)</f>
        <v>132534</v>
      </c>
      <c r="N66" s="888" t="e">
        <f>VLOOKUP($I$8,'D_Ch5-2'!$B$58:$J$106,MATCH("Agriculture",'D_Ch5-2'!$B$58:$J$58,0),FALSE)</f>
        <v>#N/A</v>
      </c>
      <c r="O66" s="899">
        <f>VLOOKUP($O$61,'D_Ch5-2'!$B$58:$S$106,MATCH("% Industrie",'D_Ch5-2'!$B$58:$S$58,0),FALSE)</f>
        <v>0.16357113148609137</v>
      </c>
      <c r="P66" s="900"/>
      <c r="Q66" s="900"/>
      <c r="R66" s="897">
        <f>VLOOKUP($O$61,'D_Ch5-2'!$B$113:$Q$161,MATCH("MA Industrie",'D_Ch5-2'!$B$113:$Q$113,0),FALSE)</f>
        <v>-1.0138281373991509E-2</v>
      </c>
      <c r="S66" s="898"/>
      <c r="T66" s="1022"/>
    </row>
    <row r="67" spans="1:20">
      <c r="A67" s="497" t="s">
        <v>510</v>
      </c>
      <c r="B67" s="498"/>
      <c r="C67" s="498"/>
      <c r="D67" s="498"/>
      <c r="E67" s="887">
        <f>VLOOKUP($I$61,'D_Ch5-2'!$B$58:$J$106,MATCH("Construction",'D_Ch5-2'!$B$58:$J$58,0),FALSE)</f>
        <v>34059</v>
      </c>
      <c r="F67" s="888" t="e">
        <f>VLOOKUP($I$8,'D_Ch5-2'!$B$58:$J$106,MATCH("Agriculture",'D_Ch5-2'!$B$58:$J$58,0),FALSE)</f>
        <v>#N/A</v>
      </c>
      <c r="G67" s="899">
        <f>VLOOKUP($I$61,'D_Ch5-2'!$B$58:$S$106,MATCH("% Construction",'D_Ch5-2'!$B$58:$S$58,0),FALSE)</f>
        <v>8.1526305332876942E-2</v>
      </c>
      <c r="H67" s="900"/>
      <c r="I67" s="904"/>
      <c r="J67" s="897">
        <f>VLOOKUP($I$61,'D_Ch5-2'!$B$113:$Q$161,MATCH("MA Construction",'D_Ch5-2'!$B$113:$Q$113,0),FALSE)</f>
        <v>-8.7066459732848146E-3</v>
      </c>
      <c r="K67" s="898"/>
      <c r="L67" s="898"/>
      <c r="M67" s="905">
        <f>VLOOKUP($O$61,'D_Ch5-2'!$B$58:$J$106,MATCH("Construction",'D_Ch5-2'!$B$58:$J$58,0),FALSE)</f>
        <v>70566</v>
      </c>
      <c r="N67" s="888" t="e">
        <f>VLOOKUP($I$8,'D_Ch5-2'!$B$58:$J$106,MATCH("Agriculture",'D_Ch5-2'!$B$58:$J$58,0),FALSE)</f>
        <v>#N/A</v>
      </c>
      <c r="O67" s="899">
        <f>VLOOKUP($O$61,'D_Ch5-2'!$B$58:$S$106,MATCH("% Construction",'D_Ch5-2'!$B$58:$S$58,0),FALSE)</f>
        <v>8.7091315922310689E-2</v>
      </c>
      <c r="P67" s="900"/>
      <c r="Q67" s="900"/>
      <c r="R67" s="897">
        <f>VLOOKUP($O$61,'D_Ch5-2'!$B$113:$Q$161,MATCH("MA Construction",'D_Ch5-2'!$B$113:$Q$113,0),FALSE)</f>
        <v>-1.7014504112582839E-2</v>
      </c>
      <c r="S67" s="898"/>
      <c r="T67" s="1022"/>
    </row>
    <row r="68" spans="1:20">
      <c r="A68" s="497" t="s">
        <v>725</v>
      </c>
      <c r="B68" s="498"/>
      <c r="C68" s="498"/>
      <c r="D68" s="498"/>
      <c r="E68" s="887">
        <f>VLOOKUP($I$61,'D_Ch5-2'!$B$58:$J$106,MATCH("Commerce",'D_Ch5-2'!$B$58:$J$58,0),FALSE)</f>
        <v>75956</v>
      </c>
      <c r="F68" s="888" t="e">
        <f>VLOOKUP($I$8,'D_Ch5-2'!$B$58:$J$106,MATCH("Agriculture",'D_Ch5-2'!$B$58:$J$58,0),FALSE)</f>
        <v>#N/A</v>
      </c>
      <c r="G68" s="899">
        <f>VLOOKUP($I$61,'D_Ch5-2'!$B$58:$S$106,MATCH("% Commerce",'D_Ch5-2'!$B$58:$S$58,0),FALSE)</f>
        <v>0.18181426488928037</v>
      </c>
      <c r="H68" s="900"/>
      <c r="I68" s="904"/>
      <c r="J68" s="897">
        <f>VLOOKUP($I$61,'D_Ch5-2'!$B$113:$Q$161,MATCH("MA Commerce",'D_Ch5-2'!$B$113:$Q$113,0),FALSE)</f>
        <v>4.8922384067365231E-3</v>
      </c>
      <c r="K68" s="898"/>
      <c r="L68" s="898"/>
      <c r="M68" s="905">
        <f>VLOOKUP($O$61,'D_Ch5-2'!$B$58:$J$106,MATCH("Commerce",'D_Ch5-2'!$B$58:$J$58,0),FALSE)</f>
        <v>152784</v>
      </c>
      <c r="N68" s="888" t="e">
        <f>VLOOKUP($I$8,'D_Ch5-2'!$B$58:$J$106,MATCH("Agriculture",'D_Ch5-2'!$B$58:$J$58,0),FALSE)</f>
        <v>#N/A</v>
      </c>
      <c r="O68" s="899">
        <f>VLOOKUP($O$61,'D_Ch5-2'!$B$58:$S$106,MATCH("% Commerce",'D_Ch5-2'!$B$58:$S$58,0),FALSE)</f>
        <v>0.18856332528235009</v>
      </c>
      <c r="P68" s="900"/>
      <c r="Q68" s="900"/>
      <c r="R68" s="897">
        <f>VLOOKUP($O$61,'D_Ch5-2'!$B$113:$Q$161,MATCH("MA Commerce",'D_Ch5-2'!$B$113:$Q$113,0),FALSE)</f>
        <v>4.0083339109276561E-4</v>
      </c>
      <c r="S68" s="898"/>
      <c r="T68" s="1022"/>
    </row>
    <row r="69" spans="1:20">
      <c r="A69" s="497" t="s">
        <v>727</v>
      </c>
      <c r="B69" s="498"/>
      <c r="C69" s="498"/>
      <c r="D69" s="498"/>
      <c r="E69" s="887">
        <f>VLOOKUP($I$61,'D_Ch5-2'!$B$58:$J$106,MATCH("Service",'D_Ch5-2'!$B$58:$J$58,0),FALSE)</f>
        <v>242779</v>
      </c>
      <c r="F69" s="888" t="e">
        <f>VLOOKUP($I$8,'D_Ch5-2'!$B$58:$J$106,MATCH("Agriculture",'D_Ch5-2'!$B$58:$J$58,0),FALSE)</f>
        <v>#N/A</v>
      </c>
      <c r="G69" s="899">
        <f>VLOOKUP($I$61,'D_Ch5-2'!$B$58:$S$106,MATCH("% Service",'D_Ch5-2'!$B$58:$S$58,0),FALSE)</f>
        <v>0.58113493885347578</v>
      </c>
      <c r="H69" s="900"/>
      <c r="I69" s="904"/>
      <c r="J69" s="897">
        <f>VLOOKUP($I$61,'D_Ch5-2'!$B$113:$Q$161,MATCH("MA Service",'D_Ch5-2'!$B$113:$Q$113,0),FALSE)</f>
        <v>1.5798853060731557E-2</v>
      </c>
      <c r="K69" s="898"/>
      <c r="L69" s="898"/>
      <c r="M69" s="905">
        <f>VLOOKUP($O$61,'D_Ch5-2'!$B$58:$J$106,MATCH("Service",'D_Ch5-2'!$B$58:$J$58,0),FALSE)</f>
        <v>433482</v>
      </c>
      <c r="N69" s="888" t="e">
        <f>VLOOKUP($I$8,'D_Ch5-2'!$B$58:$J$106,MATCH("Agriculture",'D_Ch5-2'!$B$58:$J$58,0),FALSE)</f>
        <v>#N/A</v>
      </c>
      <c r="O69" s="899">
        <f>VLOOKUP($O$61,'D_Ch5-2'!$B$58:$S$106,MATCH("% Service",'D_Ch5-2'!$B$58:$S$58,0),FALSE)</f>
        <v>0.53499585931801552</v>
      </c>
      <c r="P69" s="900"/>
      <c r="Q69" s="900"/>
      <c r="R69" s="897">
        <f>VLOOKUP($O$61,'D_Ch5-2'!$B$113:$Q$161,MATCH("MA Service",'D_Ch5-2'!$B$113:$Q$113,0),FALSE)</f>
        <v>1.0631256129145561E-2</v>
      </c>
      <c r="S69" s="898"/>
      <c r="T69" s="1022"/>
    </row>
    <row r="70" spans="1:20">
      <c r="A70" s="497" t="s">
        <v>1522</v>
      </c>
      <c r="B70" s="498"/>
      <c r="C70" s="498"/>
      <c r="D70" s="498"/>
      <c r="E70" s="887">
        <f>VLOOKUP($I$61,'D_Ch5-2'!$B$58:$J$106,MATCH("Support service public",'D_Ch5-2'!$B$58:$J$58,0),FALSE)</f>
        <v>11047</v>
      </c>
      <c r="F70" s="888" t="e">
        <f>VLOOKUP($I$8,'D_Ch5-2'!$B$58:$J$106,MATCH("Agriculture",'D_Ch5-2'!$B$58:$J$58,0),FALSE)</f>
        <v>#N/A</v>
      </c>
      <c r="G70" s="907">
        <f>VLOOKUP($I$61,'D_Ch5-2'!$B$58:$S$106,MATCH("%Support service public",'D_Ch5-2'!$B$58:$S$58,0),FALSE)</f>
        <v>2.6442969406391601E-2</v>
      </c>
      <c r="H70" s="908"/>
      <c r="I70" s="912"/>
      <c r="J70" s="909">
        <f>VLOOKUP($I$61,'D_Ch5-2'!$B$113:$Q$161,MATCH("MA Support service public",'D_Ch5-2'!$B$113:$Q$113,0),FALSE)</f>
        <v>4.4892704201814583E-3</v>
      </c>
      <c r="K70" s="910"/>
      <c r="L70" s="911"/>
      <c r="M70" s="905">
        <f>VLOOKUP($O$61,'D_Ch5-2'!$B$58:$J$106,MATCH("Support service public",'D_Ch5-2'!$B$58:$J$58,0),FALSE)</f>
        <v>20550</v>
      </c>
      <c r="N70" s="888" t="e">
        <f>VLOOKUP($I$8,'D_Ch5-2'!$B$58:$J$106,MATCH("Agriculture",'D_Ch5-2'!$B$58:$J$58,0),FALSE)</f>
        <v>#N/A</v>
      </c>
      <c r="O70" s="907">
        <f>VLOOKUP($O$61,'D_Ch5-2'!$B$58:$S$106,MATCH("%Support service public",'D_Ch5-2'!$B$58:$S$58,0),FALSE)</f>
        <v>2.5362448519166237E-2</v>
      </c>
      <c r="P70" s="908"/>
      <c r="Q70" s="908"/>
      <c r="R70" s="909">
        <f>VLOOKUP($O$61,'D_Ch5-2'!$B$113:$Q$161,MATCH("MA Support service public",'D_Ch5-2'!$B$113:$Q$113,0),FALSE)</f>
        <v>5.6158886867879888E-3</v>
      </c>
      <c r="S70" s="910"/>
      <c r="T70" s="1028"/>
    </row>
    <row r="71" spans="1:20">
      <c r="A71" s="536" t="s">
        <v>1481</v>
      </c>
      <c r="B71" s="324"/>
      <c r="C71" s="537"/>
      <c r="D71" s="537"/>
      <c r="E71" s="538"/>
      <c r="F71" s="538"/>
      <c r="G71" s="539"/>
      <c r="H71" s="539"/>
      <c r="I71" s="539"/>
      <c r="J71" s="539"/>
      <c r="K71" s="539"/>
      <c r="L71" s="539"/>
      <c r="M71" s="538"/>
      <c r="N71" s="538"/>
      <c r="O71" s="540"/>
      <c r="P71" s="540"/>
      <c r="Q71" s="540"/>
      <c r="R71" s="539"/>
      <c r="S71" s="539"/>
      <c r="T71" s="539"/>
    </row>
    <row r="72" spans="1:20" ht="5.25" customHeight="1">
      <c r="A72" s="851"/>
      <c r="B72" s="324"/>
      <c r="C72" s="537"/>
      <c r="D72" s="537"/>
      <c r="E72" s="538"/>
      <c r="F72" s="538"/>
      <c r="G72" s="539"/>
      <c r="H72" s="539"/>
      <c r="I72" s="539"/>
      <c r="J72" s="539"/>
      <c r="K72" s="539"/>
      <c r="L72" s="539"/>
      <c r="M72" s="538"/>
      <c r="N72" s="538"/>
      <c r="O72" s="540"/>
      <c r="P72" s="540"/>
      <c r="Q72" s="540"/>
      <c r="R72" s="539"/>
      <c r="S72" s="539"/>
      <c r="T72" s="539"/>
    </row>
    <row r="73" spans="1:20">
      <c r="A73" s="324"/>
      <c r="B73" s="587"/>
      <c r="C73" s="587"/>
      <c r="D73" s="587"/>
      <c r="E73" s="613"/>
      <c r="F73" s="894" t="str">
        <f>I61</f>
        <v>Gironde</v>
      </c>
      <c r="G73" s="894"/>
      <c r="H73" s="894"/>
      <c r="I73" s="894"/>
      <c r="J73" s="894"/>
      <c r="K73" s="894"/>
      <c r="L73" s="807"/>
      <c r="M73" s="807"/>
      <c r="N73" s="896" t="str">
        <f>O61</f>
        <v>Aquitaine</v>
      </c>
      <c r="O73" s="896"/>
      <c r="P73" s="896"/>
      <c r="Q73" s="896"/>
      <c r="R73" s="896"/>
      <c r="S73" s="896"/>
      <c r="T73" s="613"/>
    </row>
    <row r="74" spans="1:20" ht="5.25" customHeight="1"/>
    <row r="75" spans="1:20">
      <c r="A75" s="435" t="s">
        <v>1961</v>
      </c>
      <c r="B75" s="435"/>
      <c r="C75" s="435"/>
      <c r="D75" s="435"/>
      <c r="E75" s="435"/>
      <c r="F75" s="435"/>
      <c r="G75" s="435"/>
      <c r="H75" s="435"/>
      <c r="J75" s="324"/>
      <c r="K75" s="324"/>
      <c r="L75" s="483" t="s">
        <v>1749</v>
      </c>
      <c r="M75" s="483"/>
      <c r="N75" s="483"/>
      <c r="O75" s="483"/>
      <c r="P75" s="483"/>
      <c r="Q75" s="483"/>
      <c r="R75" s="483"/>
      <c r="S75" s="416"/>
      <c r="T75" s="416"/>
    </row>
    <row r="76" spans="1:20" ht="30" customHeight="1">
      <c r="A76" s="855" t="s">
        <v>1596</v>
      </c>
      <c r="B76" s="856"/>
      <c r="C76" s="856"/>
      <c r="D76" s="856"/>
      <c r="E76" s="856"/>
      <c r="F76" s="856"/>
      <c r="G76" s="857"/>
      <c r="H76" s="857"/>
      <c r="I76" s="858"/>
      <c r="J76" s="882" t="s">
        <v>2035</v>
      </c>
      <c r="K76" s="883"/>
      <c r="L76" s="884"/>
      <c r="M76" s="882" t="s">
        <v>1597</v>
      </c>
      <c r="N76" s="884"/>
      <c r="O76" s="530"/>
      <c r="P76" s="882" t="s">
        <v>2035</v>
      </c>
      <c r="Q76" s="883"/>
      <c r="R76" s="884"/>
      <c r="S76" s="882" t="s">
        <v>1597</v>
      </c>
      <c r="T76" s="884"/>
    </row>
    <row r="77" spans="1:20">
      <c r="A77" s="531" t="s">
        <v>724</v>
      </c>
      <c r="B77" s="532"/>
      <c r="C77" s="532"/>
      <c r="D77" s="532"/>
      <c r="E77" s="532"/>
      <c r="F77" s="854"/>
      <c r="G77" s="498"/>
      <c r="H77" s="414"/>
      <c r="I77" s="414"/>
      <c r="J77" s="415"/>
      <c r="K77" s="887">
        <f>VLOOKUP($I$61,'D_Ch-5-1'!$B$57:$O$105,MATCH("Agriculture",'D_Ch-5-1'!$B$57:$O$57,0),FALSE)</f>
        <v>19361</v>
      </c>
      <c r="L77" s="888"/>
      <c r="M77" s="864">
        <f>VLOOKUP($I$61,'D_Ch-5-1'!$B$107:$O$155,MATCH("Agriculture",'D_Ch-5-1'!$B$57:$O$57,0),FALSE)</f>
        <v>3.5838306505353253E-2</v>
      </c>
      <c r="N77" s="865"/>
      <c r="O77" s="324"/>
      <c r="P77" s="324"/>
      <c r="Q77" s="885">
        <f>VLOOKUP($O$61,'D_Ch-5-1'!$B$57:$O$105,MATCH("Agriculture",'D_Ch-5-1'!$B$57:$O$57,0),FALSE)</f>
        <v>30417</v>
      </c>
      <c r="R77" s="886"/>
      <c r="S77" s="864">
        <f>VLOOKUP($O$61,'D_Ch-5-1'!$B$107:$O$155,MATCH("Agriculture",'D_Ch-5-1'!$B$57:$O$57,0),FALSE)</f>
        <v>2.8330936484754553E-2</v>
      </c>
      <c r="T77" s="865"/>
    </row>
    <row r="78" spans="1:20">
      <c r="A78" s="531" t="s">
        <v>726</v>
      </c>
      <c r="B78" s="532"/>
      <c r="C78" s="532"/>
      <c r="D78" s="532"/>
      <c r="E78" s="532"/>
      <c r="F78" s="532"/>
      <c r="G78" s="498"/>
      <c r="H78" s="414"/>
      <c r="I78" s="414"/>
      <c r="J78" s="415"/>
      <c r="K78" s="887">
        <f>VLOOKUP($I$61,'D_Ch-5-1'!$B$57:$O$105,MATCH("Industries",'D_Ch-5-1'!$B$57:$O$57,0),FALSE)</f>
        <v>56782</v>
      </c>
      <c r="L78" s="888"/>
      <c r="M78" s="864">
        <f>VLOOKUP($I$61,'D_Ch-5-1'!$B$107:$O$155,MATCH("Industries",'D_Ch-5-1'!$B$57:$O$57,0),FALSE)</f>
        <v>0.10510669490144975</v>
      </c>
      <c r="N78" s="865"/>
      <c r="O78" s="324"/>
      <c r="P78" s="324"/>
      <c r="Q78" s="887">
        <f>VLOOKUP($O$61,'D_Ch-5-1'!$B$57:$O$105,MATCH("Industries",'D_Ch-5-1'!$B$57:$O$57,0),FALSE)</f>
        <v>141986</v>
      </c>
      <c r="R78" s="888"/>
      <c r="S78" s="864">
        <f>VLOOKUP($O$61,'D_Ch-5-1'!$B$107:$O$155,MATCH("Industries",'D_Ch-5-1'!$B$57:$O$57,0),FALSE)</f>
        <v>0.13224829364251439</v>
      </c>
      <c r="T78" s="865"/>
    </row>
    <row r="79" spans="1:20">
      <c r="A79" s="531" t="s">
        <v>510</v>
      </c>
      <c r="B79" s="532"/>
      <c r="C79" s="532"/>
      <c r="D79" s="532"/>
      <c r="E79" s="532"/>
      <c r="F79" s="532"/>
      <c r="G79" s="498"/>
      <c r="H79" s="414"/>
      <c r="I79" s="414"/>
      <c r="J79" s="415"/>
      <c r="K79" s="887">
        <f>VLOOKUP($I$61,'D_Ch-5-1'!$B$57:$O$105,MATCH("Construction",'D_Ch-5-1'!$B$57:$O$57,0),FALSE)</f>
        <v>33727</v>
      </c>
      <c r="L79" s="888"/>
      <c r="M79" s="864">
        <f>VLOOKUP($I$61,'D_Ch-5-1'!$B$107:$O$155,MATCH("Construction",'D_Ch-5-1'!$B$57:$O$57,0),FALSE)</f>
        <v>6.243058537813384E-2</v>
      </c>
      <c r="N79" s="865"/>
      <c r="O79" s="324"/>
      <c r="P79" s="324"/>
      <c r="Q79" s="887">
        <f>VLOOKUP($O$61,'D_Ch-5-1'!$B$57:$O$105,MATCH("Construction",'D_Ch-5-1'!$B$57:$O$57,0),FALSE)</f>
        <v>71507</v>
      </c>
      <c r="R79" s="888"/>
      <c r="S79" s="864">
        <f>VLOOKUP($O$61,'D_Ch-5-1'!$B$107:$O$155,MATCH("Construction",'D_Ch-5-1'!$B$57:$O$57,0),FALSE)</f>
        <v>6.6602895591785644E-2</v>
      </c>
      <c r="T79" s="865"/>
    </row>
    <row r="80" spans="1:20">
      <c r="A80" s="531" t="s">
        <v>1135</v>
      </c>
      <c r="B80" s="532"/>
      <c r="C80" s="532"/>
      <c r="D80" s="532"/>
      <c r="E80" s="532"/>
      <c r="F80" s="532"/>
      <c r="G80" s="498"/>
      <c r="H80" s="414"/>
      <c r="I80" s="414"/>
      <c r="J80" s="415"/>
      <c r="K80" s="887">
        <f>VLOOKUP($I$61,'D_Ch-5-1'!$B$57:$O$105,MATCH("Commerce ; répar auto,moto",'D_Ch-5-1'!$B$57:$O$57,0),FALSE)</f>
        <v>75122</v>
      </c>
      <c r="L80" s="888"/>
      <c r="M80" s="864">
        <f>VLOOKUP($I$61,'D_Ch-5-1'!$B$107:$O$155,MATCH("Commerce ; répar auto,moto",'D_Ch-5-1'!$B$57:$O$57,0),FALSE)</f>
        <v>0.13905507263546033</v>
      </c>
      <c r="N80" s="865"/>
      <c r="O80" s="324"/>
      <c r="P80" s="324"/>
      <c r="Q80" s="887">
        <f>VLOOKUP($O$61,'D_Ch-5-1'!$B$57:$O$105,MATCH("Commerce ; répar auto,moto",'D_Ch-5-1'!$B$57:$O$57,0),FALSE)</f>
        <v>156193</v>
      </c>
      <c r="R80" s="888"/>
      <c r="S80" s="864">
        <f>VLOOKUP($O$61,'D_Ch-5-1'!$B$107:$O$155,MATCH("Commerce ; répar auto,moto",'D_Ch-5-1'!$B$57:$O$57,0),FALSE)</f>
        <v>0.14548094691663438</v>
      </c>
      <c r="T80" s="865"/>
    </row>
    <row r="81" spans="1:20">
      <c r="A81" s="531" t="s">
        <v>512</v>
      </c>
      <c r="B81" s="532"/>
      <c r="C81" s="532"/>
      <c r="D81" s="532"/>
      <c r="E81" s="532"/>
      <c r="F81" s="532"/>
      <c r="G81" s="498"/>
      <c r="H81" s="414"/>
      <c r="I81" s="414"/>
      <c r="J81" s="415"/>
      <c r="K81" s="887">
        <f>VLOOKUP($I$61,'D_Ch-5-1'!$B$57:$O$105,MATCH("Transports et entreposage",'D_Ch-5-1'!$B$57:$O$57,0),FALSE)</f>
        <v>33725</v>
      </c>
      <c r="L81" s="888"/>
      <c r="M81" s="864">
        <f>VLOOKUP($I$61,'D_Ch-5-1'!$B$107:$O$155,MATCH("Transports et entreposage",'D_Ch-5-1'!$B$57:$O$57,0),FALSE)</f>
        <v>6.2426883264967641E-2</v>
      </c>
      <c r="N81" s="865"/>
      <c r="O81" s="324"/>
      <c r="P81" s="324"/>
      <c r="Q81" s="887">
        <f>VLOOKUP($O$61,'D_Ch-5-1'!$B$57:$O$105,MATCH("Transports et entreposage",'D_Ch-5-1'!$B$57:$O$57,0),FALSE)</f>
        <v>61114</v>
      </c>
      <c r="R81" s="888"/>
      <c r="S81" s="864">
        <f>VLOOKUP($O$61,'D_Ch-5-1'!$B$107:$O$155,MATCH("Transports et entreposage",'D_Ch-5-1'!$B$57:$O$57,0),FALSE)</f>
        <v>5.6922669965127716E-2</v>
      </c>
      <c r="T81" s="865"/>
    </row>
    <row r="82" spans="1:20">
      <c r="A82" s="531" t="s">
        <v>513</v>
      </c>
      <c r="B82" s="532"/>
      <c r="C82" s="532"/>
      <c r="D82" s="532"/>
      <c r="E82" s="532"/>
      <c r="F82" s="532"/>
      <c r="G82" s="498"/>
      <c r="H82" s="414"/>
      <c r="I82" s="414"/>
      <c r="J82" s="415"/>
      <c r="K82" s="887">
        <f>VLOOKUP($I$61,'D_Ch-5-1'!$B$57:$O$105,MATCH("Hébergement et restauration",'D_Ch-5-1'!$B$57:$O$57,0),FALSE)</f>
        <v>21909</v>
      </c>
      <c r="L82" s="888"/>
      <c r="M82" s="864">
        <f>VLOOKUP($I$61,'D_Ch-5-1'!$B$107:$O$155,MATCH("Hébergement et restauration",'D_Ch-5-1'!$B$57:$O$57,0),FALSE)</f>
        <v>4.055479867908602E-2</v>
      </c>
      <c r="N82" s="865"/>
      <c r="O82" s="324"/>
      <c r="P82" s="324"/>
      <c r="Q82" s="887">
        <f>VLOOKUP($O$61,'D_Ch-5-1'!$B$57:$O$105,MATCH("Hébergement et restauration",'D_Ch-5-1'!$B$57:$O$57,0),FALSE)</f>
        <v>43041</v>
      </c>
      <c r="R82" s="888"/>
      <c r="S82" s="864">
        <f>VLOOKUP($O$61,'D_Ch-5-1'!$B$107:$O$155,MATCH("Hébergement et restauration",'D_Ch-5-1'!$B$57:$O$57,0),FALSE)</f>
        <v>4.0089155315787904E-2</v>
      </c>
      <c r="T82" s="865"/>
    </row>
    <row r="83" spans="1:20">
      <c r="A83" s="531" t="s">
        <v>514</v>
      </c>
      <c r="B83" s="532"/>
      <c r="C83" s="532"/>
      <c r="D83" s="532"/>
      <c r="E83" s="532"/>
      <c r="F83" s="532"/>
      <c r="G83" s="498"/>
      <c r="H83" s="414"/>
      <c r="I83" s="414"/>
      <c r="J83" s="415"/>
      <c r="K83" s="887">
        <f>VLOOKUP($I$61,'D_Ch-5-1'!$B$57:$O$105,MATCH("Information et communication",'D_Ch-5-1'!$B$57:$O$57,0),FALSE)</f>
        <v>17586</v>
      </c>
      <c r="L83" s="888"/>
      <c r="M83" s="864">
        <f>VLOOKUP($I$61,'D_Ch-5-1'!$B$107:$O$155,MATCH("Information et communication",'D_Ch-5-1'!$B$57:$O$57,0),FALSE)</f>
        <v>3.2552681070354958E-2</v>
      </c>
      <c r="N83" s="865"/>
      <c r="O83" s="324"/>
      <c r="P83" s="324"/>
      <c r="Q83" s="887">
        <f>VLOOKUP($O$61,'D_Ch-5-1'!$B$57:$O$105,MATCH("Information et communication",'D_Ch-5-1'!$B$57:$O$57,0),FALSE)</f>
        <v>22842</v>
      </c>
      <c r="R83" s="888"/>
      <c r="S83" s="864">
        <f>VLOOKUP($O$61,'D_Ch-5-1'!$B$107:$O$155,MATCH("Information et communication",'D_Ch-5-1'!$B$57:$O$57,0),FALSE)</f>
        <v>2.1275446335429646E-2</v>
      </c>
      <c r="T83" s="865"/>
    </row>
    <row r="84" spans="1:20">
      <c r="A84" s="531" t="s">
        <v>515</v>
      </c>
      <c r="B84" s="532"/>
      <c r="C84" s="532"/>
      <c r="D84" s="532"/>
      <c r="E84" s="532"/>
      <c r="F84" s="532"/>
      <c r="G84" s="498"/>
      <c r="H84" s="414"/>
      <c r="I84" s="414"/>
      <c r="J84" s="415"/>
      <c r="K84" s="887">
        <f>VLOOKUP($I$61,'D_Ch-5-1'!$B$57:$O$105,MATCH("Activités financières et d'assurance",'D_Ch-5-1'!$B$57:$O$57,0),FALSE)</f>
        <v>20797</v>
      </c>
      <c r="L84" s="888"/>
      <c r="M84" s="864">
        <f>VLOOKUP($I$61,'D_Ch-5-1'!$B$107:$O$155,MATCH("Activités financières et d'assurance",'D_Ch-5-1'!$B$57:$O$57,0),FALSE)</f>
        <v>3.8496423758681453E-2</v>
      </c>
      <c r="N84" s="865"/>
      <c r="O84" s="324"/>
      <c r="P84" s="324"/>
      <c r="Q84" s="887">
        <f>VLOOKUP($O$61,'D_Ch-5-1'!$B$57:$O$105,MATCH("Activités financières et d'assurance",'D_Ch-5-1'!$B$57:$O$57,0),FALSE)</f>
        <v>34141</v>
      </c>
      <c r="R84" s="888"/>
      <c r="S84" s="864">
        <f>VLOOKUP($O$61,'D_Ch-5-1'!$B$107:$O$155,MATCH("Activités financières et d'assurance",'D_Ch-5-1'!$B$57:$O$57,0),FALSE)</f>
        <v>3.179953652648207E-2</v>
      </c>
      <c r="T84" s="865"/>
    </row>
    <row r="85" spans="1:20">
      <c r="A85" s="531" t="s">
        <v>516</v>
      </c>
      <c r="B85" s="532"/>
      <c r="C85" s="532"/>
      <c r="D85" s="532"/>
      <c r="E85" s="532"/>
      <c r="F85" s="532"/>
      <c r="G85" s="498"/>
      <c r="H85" s="414"/>
      <c r="I85" s="414"/>
      <c r="J85" s="415"/>
      <c r="K85" s="887">
        <f>VLOOKUP($I$61,'D_Ch-5-1'!$B$57:$O$105,MATCH("Activités immobilières",'D_Ch-5-1'!$B$57:$O$57,0),FALSE)</f>
        <v>5879</v>
      </c>
      <c r="L85" s="888"/>
      <c r="M85" s="864">
        <f>VLOOKUP($I$61,'D_Ch-5-1'!$B$107:$O$155,MATCH("Activités immobilières",'D_Ch-5-1'!$B$57:$O$57,0),FALSE)</f>
        <v>1.088236165203098E-2</v>
      </c>
      <c r="N85" s="865"/>
      <c r="O85" s="324"/>
      <c r="P85" s="324"/>
      <c r="Q85" s="887">
        <f>VLOOKUP($O$61,'D_Ch-5-1'!$B$57:$O$105,MATCH("Activités immobilières",'D_Ch-5-1'!$B$57:$O$57,0),FALSE)</f>
        <v>10249</v>
      </c>
      <c r="R85" s="888"/>
      <c r="S85" s="864">
        <f>VLOOKUP($O$61,'D_Ch-5-1'!$B$107:$O$155,MATCH("Activités immobilières",'D_Ch-5-1'!$B$57:$O$57,0),FALSE)</f>
        <v>9.5461014574826381E-3</v>
      </c>
      <c r="T85" s="865"/>
    </row>
    <row r="86" spans="1:20">
      <c r="A86" s="531" t="s">
        <v>1139</v>
      </c>
      <c r="B86" s="532"/>
      <c r="C86" s="532"/>
      <c r="D86" s="532"/>
      <c r="E86" s="532"/>
      <c r="F86" s="532"/>
      <c r="G86" s="498"/>
      <c r="H86" s="414"/>
      <c r="I86" s="414"/>
      <c r="J86" s="415"/>
      <c r="K86" s="887">
        <f>VLOOKUP($I$61,'D_Ch-5-1'!$B$57:$O$105,MATCH("Ac spé, sci &amp; tec, svces adm &amp; stn",'D_Ch-5-1'!$B$57:$O$57,0),FALSE)</f>
        <v>59530</v>
      </c>
      <c r="L86" s="888"/>
      <c r="M86" s="864">
        <f>VLOOKUP($I$61,'D_Ch-5-1'!$B$107:$O$155,MATCH("Ac spé, sci &amp; tec, svces adm &amp; stn",'D_Ch-5-1'!$B$57:$O$57,0),FALSE)</f>
        <v>0.11019339839180205</v>
      </c>
      <c r="N86" s="865"/>
      <c r="O86" s="324"/>
      <c r="P86" s="324"/>
      <c r="Q86" s="887">
        <f>VLOOKUP($O$61,'D_Ch-5-1'!$B$57:$O$105,MATCH("Ac spé, sci &amp; tec, svces adm &amp; stn",'D_Ch-5-1'!$B$57:$O$57,0),FALSE)</f>
        <v>99289</v>
      </c>
      <c r="R86" s="888"/>
      <c r="S86" s="864">
        <f>VLOOKUP($O$61,'D_Ch-5-1'!$B$107:$O$155,MATCH("Ac spé, sci &amp; tec, svces adm &amp; stn",'D_Ch-5-1'!$B$57:$O$57,0),FALSE)</f>
        <v>9.2479546064200766E-2</v>
      </c>
      <c r="T86" s="865"/>
    </row>
    <row r="87" spans="1:20">
      <c r="A87" s="531" t="s">
        <v>1520</v>
      </c>
      <c r="B87" s="532"/>
      <c r="C87" s="532"/>
      <c r="D87" s="532"/>
      <c r="E87" s="532"/>
      <c r="F87" s="532"/>
      <c r="G87" s="498"/>
      <c r="H87" s="414"/>
      <c r="I87" s="414"/>
      <c r="J87" s="415"/>
      <c r="K87" s="887">
        <f>VLOOKUP($I$61,'D_Ch-5-1'!$B$57:$O$105,MATCH("Admin pub, enseign, santé &amp; act soc",'D_Ch-5-1'!$B$57:$O$57,0),FALSE)</f>
        <v>178689</v>
      </c>
      <c r="L87" s="888"/>
      <c r="M87" s="864">
        <f>VLOOKUP($I$61,'D_Ch-5-1'!$B$107:$O$155,MATCH("Admin pub, enseign, santé &amp; act soc",'D_Ch-5-1'!$B$57:$O$57,0),FALSE)</f>
        <v>0.33076344977713279</v>
      </c>
      <c r="N87" s="865"/>
      <c r="O87" s="324"/>
      <c r="P87" s="324"/>
      <c r="Q87" s="887">
        <f>VLOOKUP($O$61,'D_Ch-5-1'!$B$57:$O$105,MATCH("Admin pub, enseign, santé &amp; act soc",'D_Ch-5-1'!$B$57:$O$57,0),FALSE)</f>
        <v>368496</v>
      </c>
      <c r="R87" s="888"/>
      <c r="S87" s="864">
        <f>VLOOKUP($O$61,'D_Ch-5-1'!$B$107:$O$155,MATCH("Admin pub, enseign, santé &amp; act soc",'D_Ch-5-1'!$B$57:$O$57,0),FALSE)</f>
        <v>0.34322374891955532</v>
      </c>
      <c r="T87" s="865"/>
    </row>
    <row r="88" spans="1:20">
      <c r="A88" s="531" t="s">
        <v>519</v>
      </c>
      <c r="B88" s="532"/>
      <c r="C88" s="532"/>
      <c r="D88" s="532"/>
      <c r="E88" s="532"/>
      <c r="F88" s="532"/>
      <c r="G88" s="498"/>
      <c r="H88" s="414"/>
      <c r="I88" s="414"/>
      <c r="J88" s="415"/>
      <c r="K88" s="887">
        <f>VLOOKUP($I$61,'D_Ch-5-1'!$B$57:$O$105,MATCH("Autres activités de services",'D_Ch-5-1'!$B$57:$O$57,0),FALSE)</f>
        <v>17125</v>
      </c>
      <c r="L88" s="888"/>
      <c r="M88" s="864">
        <f>VLOOKUP($I$61,'D_Ch-5-1'!$B$107:$O$155,MATCH("Autres activités de services",'D_Ch-5-1'!$B$57:$O$57,0),FALSE)</f>
        <v>3.1699343985546947E-2</v>
      </c>
      <c r="N88" s="865"/>
      <c r="O88" s="324"/>
      <c r="P88" s="324"/>
      <c r="Q88" s="887">
        <f>VLOOKUP($O$61,'D_Ch-5-1'!$B$57:$O$105,MATCH("Autres activités de services",'D_Ch-5-1'!$B$57:$O$57,0),FALSE)</f>
        <v>34357</v>
      </c>
      <c r="R88" s="888"/>
      <c r="S88" s="864">
        <f>VLOOKUP($O$61,'D_Ch-5-1'!$B$107:$O$155,MATCH("Autres activités de services",'D_Ch-5-1'!$B$57:$O$57,0),FALSE)</f>
        <v>3.2000722780245003E-2</v>
      </c>
      <c r="T88" s="865"/>
    </row>
    <row r="89" spans="1:20" ht="7.5" customHeight="1"/>
    <row r="90" spans="1:20" ht="19.5" customHeight="1">
      <c r="A90" s="852" t="s">
        <v>1435</v>
      </c>
      <c r="B90" s="852"/>
      <c r="C90" s="852"/>
      <c r="D90" s="852"/>
      <c r="E90" s="852"/>
      <c r="F90" s="852"/>
      <c r="G90" s="852"/>
      <c r="H90" s="852"/>
      <c r="I90" s="852"/>
      <c r="J90" s="852"/>
      <c r="K90" s="852"/>
      <c r="L90" s="853"/>
      <c r="M90" s="324"/>
      <c r="N90" s="324"/>
      <c r="O90" s="324"/>
      <c r="P90" s="324"/>
      <c r="Q90" s="324"/>
      <c r="R90" s="324"/>
      <c r="S90" s="324"/>
      <c r="T90" s="324"/>
    </row>
    <row r="91" spans="1:20">
      <c r="A91" s="324"/>
      <c r="B91" s="324"/>
      <c r="C91" s="324"/>
      <c r="D91" s="324"/>
      <c r="E91" s="324"/>
      <c r="F91" s="324"/>
      <c r="G91" s="324"/>
      <c r="H91" s="324"/>
      <c r="I91" s="324"/>
      <c r="J91" s="324"/>
      <c r="K91" s="324"/>
      <c r="L91" s="324"/>
      <c r="M91" s="324"/>
      <c r="N91" s="324"/>
      <c r="O91" s="324"/>
      <c r="P91" s="324"/>
      <c r="Q91" s="324"/>
      <c r="R91" s="324"/>
      <c r="S91" s="324"/>
      <c r="T91" s="324"/>
    </row>
    <row r="92" spans="1:20">
      <c r="A92" s="324"/>
      <c r="B92" s="324"/>
      <c r="C92" s="324"/>
      <c r="D92" s="324"/>
      <c r="E92" s="324"/>
      <c r="F92" s="324"/>
      <c r="G92" s="324"/>
      <c r="H92" s="324"/>
      <c r="I92" s="324"/>
      <c r="J92" s="324"/>
      <c r="K92" s="324"/>
      <c r="L92" s="324"/>
      <c r="M92" s="324"/>
      <c r="N92" s="324"/>
      <c r="O92" s="324"/>
      <c r="P92" s="324"/>
      <c r="Q92" s="324"/>
      <c r="R92" s="324"/>
      <c r="S92" s="324"/>
      <c r="T92" s="324"/>
    </row>
    <row r="93" spans="1:20" ht="12" customHeight="1">
      <c r="A93" s="324"/>
      <c r="B93" s="324"/>
      <c r="C93" s="324"/>
      <c r="D93" s="324"/>
      <c r="E93" s="324"/>
      <c r="F93" s="324"/>
      <c r="G93" s="324"/>
      <c r="H93" s="324"/>
      <c r="I93" s="324"/>
      <c r="J93" s="324"/>
      <c r="K93" s="324"/>
      <c r="L93" s="324"/>
      <c r="M93" s="324"/>
      <c r="N93" s="324"/>
      <c r="O93" s="324"/>
      <c r="P93" s="324"/>
      <c r="Q93" s="324"/>
      <c r="R93" s="324"/>
      <c r="S93" s="324"/>
      <c r="T93" s="324"/>
    </row>
    <row r="94" spans="1:20"/>
    <row r="95" spans="1:20"/>
    <row r="96" spans="1:20"/>
    <row r="97" spans="1:21" ht="24.75" customHeight="1"/>
    <row r="98" spans="1:21"/>
    <row r="99" spans="1:21"/>
    <row r="100" spans="1:21">
      <c r="A100" s="416"/>
      <c r="B100" s="533" t="s">
        <v>508</v>
      </c>
      <c r="C100" s="533" t="s">
        <v>509</v>
      </c>
      <c r="D100" s="533" t="s">
        <v>510</v>
      </c>
      <c r="E100" s="533" t="s">
        <v>1135</v>
      </c>
      <c r="F100" s="533" t="s">
        <v>512</v>
      </c>
      <c r="G100" s="533" t="s">
        <v>513</v>
      </c>
      <c r="H100" s="533" t="s">
        <v>514</v>
      </c>
      <c r="I100" s="533" t="s">
        <v>515</v>
      </c>
      <c r="J100" s="533" t="s">
        <v>516</v>
      </c>
      <c r="K100" s="533" t="s">
        <v>1521</v>
      </c>
      <c r="L100" s="533" t="s">
        <v>1520</v>
      </c>
      <c r="M100" s="533" t="s">
        <v>519</v>
      </c>
      <c r="N100" s="416"/>
      <c r="O100" s="204"/>
      <c r="P100" s="204"/>
      <c r="Q100" s="204"/>
    </row>
    <row r="101" spans="1:21">
      <c r="A101" s="416" t="str">
        <f>I61</f>
        <v>Gironde</v>
      </c>
      <c r="B101" s="416">
        <f>VLOOKUP($I$61,'D_Ch-5-1'!$B$158:$O$206,MATCH("Agriculture",'D_Ch-5-1'!$B$158:$O$158,0),FALSE)</f>
        <v>3.2000538974303252</v>
      </c>
      <c r="C101" s="416">
        <f>VLOOKUP($I$61,'D_Ch-5-1'!$B$158:$O$206,MATCH("Industries",'D_Ch-5-1'!$B$158:$O$158,0),FALSE)</f>
        <v>0.73942087845600912</v>
      </c>
      <c r="D101" s="416">
        <f>VLOOKUP($I$61,'D_Ch-5-1'!$B$158:$O$206,MATCH("Construction",'D_Ch-5-1'!$B$158:$O$158,0),FALSE)</f>
        <v>1.0113585382641668</v>
      </c>
      <c r="E101" s="416">
        <f>VLOOKUP($I$61,'D_Ch-5-1'!$B$158:$O$206,MATCH("Commerce ; répar auto,moto",'D_Ch-5-1'!$B$158:$O$158,0),FALSE)</f>
        <v>1.026824170585477</v>
      </c>
      <c r="F101" s="416">
        <f>VLOOKUP($I$61,'D_Ch-5-1'!$B$158:$O$206,MATCH("Transports et entreposage",'D_Ch-5-1'!$B$158:$O$158,0),FALSE)</f>
        <v>1.039564513473372</v>
      </c>
      <c r="G101" s="416">
        <f>VLOOKUP($I$61,'D_Ch-5-1'!$B$158:$O$206,MATCH("Hébergement et restauration",'D_Ch-5-1'!$B$158:$O$158,0),FALSE)</f>
        <v>0.96582931831889107</v>
      </c>
      <c r="H101" s="416">
        <f>VLOOKUP($I$61,'D_Ch-5-1'!$B$158:$O$206,MATCH("Information et communication",'D_Ch-5-1'!$B$158:$O$158,0),FALSE)</f>
        <v>1.0349100465638315</v>
      </c>
      <c r="I101" s="416">
        <f>VLOOKUP($I$61,'D_Ch-5-1'!$B$158:$O$206,MATCH("Activités financières et d'assurance",'D_Ch-5-1'!$B$158:$O$158,0),FALSE)</f>
        <v>1.0220367915897766</v>
      </c>
      <c r="J101" s="416">
        <f>VLOOKUP($I$61,'D_Ch-5-1'!$B$158:$O$206,MATCH("Activités immobilières",'D_Ch-5-1'!$B$158:$O$158,0),FALSE)</f>
        <v>1.0481585424163113</v>
      </c>
      <c r="K101" s="416">
        <f>VLOOKUP($I$61,'D_Ch-5-1'!$B$158:$O$206,MATCH("Ac spé, sci &amp; tec, svces adm &amp; stn",'D_Ch-5-1'!$B$158:$O$158,0),FALSE)</f>
        <v>0.99865847930879648</v>
      </c>
      <c r="L101" s="416">
        <f>VLOOKUP($I$61,'D_Ch-5-1'!$B$158:$O$206,MATCH("Admin pub, enseign, santé &amp; act soc",'D_Ch-5-1'!$B$158:$O$158,0),FALSE)</f>
        <v>1.0257982995095398</v>
      </c>
      <c r="M101" s="416">
        <f>VLOOKUP($I$61,'D_Ch-5-1'!$B$158:$O$206,MATCH("Autres activités de services",'D_Ch-5-1'!$B$158:$O$158,0),FALSE)</f>
        <v>0.90128686345424436</v>
      </c>
      <c r="N101" s="416"/>
      <c r="O101" s="204"/>
      <c r="P101" s="204"/>
      <c r="Q101" s="204"/>
    </row>
    <row r="102" spans="1:21">
      <c r="A102" s="416" t="str">
        <f>O61</f>
        <v>Aquitaine</v>
      </c>
      <c r="B102" s="416">
        <f>VLOOKUP($O$61,'D_Ch-5-1'!$B$158:$O$206,MATCH("Agriculture",'D_Ch-5-1'!$B$158:$O$158,0),FALSE)</f>
        <v>2.5297100381221314</v>
      </c>
      <c r="C102" s="416">
        <f>VLOOKUP($O$61,'D_Ch-5-1'!$B$158:$O$206,MATCH("Industries",'D_Ch-5-1'!$B$158:$O$158,0),FALSE)</f>
        <v>0.93036080671305976</v>
      </c>
      <c r="D102" s="416">
        <f>VLOOKUP($O$61,'D_Ch-5-1'!$B$158:$O$206,MATCH("Construction",'D_Ch-5-1'!$B$158:$O$158,0),FALSE)</f>
        <v>1.0789488312800879</v>
      </c>
      <c r="E102" s="416">
        <f>VLOOKUP($O$61,'D_Ch-5-1'!$B$158:$O$206,MATCH("Commerce ; répar auto,moto",'D_Ch-5-1'!$B$158:$O$158,0),FALSE)</f>
        <v>1.0742747446925482</v>
      </c>
      <c r="F102" s="416">
        <f>VLOOKUP($O$61,'D_Ch-5-1'!$B$158:$O$206,MATCH("Transports et entreposage",'D_Ch-5-1'!$B$158:$O$158,0),FALSE)</f>
        <v>0.94790552744302525</v>
      </c>
      <c r="G102" s="416">
        <f>VLOOKUP($O$61,'D_Ch-5-1'!$B$158:$O$206,MATCH("Hébergement et restauration",'D_Ch-5-1'!$B$158:$O$158,0),FALSE)</f>
        <v>0.95473982886752662</v>
      </c>
      <c r="H102" s="416">
        <f>VLOOKUP($O$61,'D_Ch-5-1'!$B$158:$O$206,MATCH("Information et communication",'D_Ch-5-1'!$B$158:$O$158,0),FALSE)</f>
        <v>0.67638585928079764</v>
      </c>
      <c r="I102" s="416">
        <f>VLOOKUP($O$61,'D_Ch-5-1'!$B$158:$O$206,MATCH("Activités financières et d'assurance",'D_Ch-5-1'!$B$158:$O$158,0),FALSE)</f>
        <v>0.84424196100133575</v>
      </c>
      <c r="J102" s="416">
        <f>VLOOKUP($O$61,'D_Ch-5-1'!$B$158:$O$206,MATCH("Activités immobilières",'D_Ch-5-1'!$B$158:$O$158,0),FALSE)</f>
        <v>0.91945370953241901</v>
      </c>
      <c r="K102" s="416">
        <f>VLOOKUP($O$61,'D_Ch-5-1'!$B$158:$O$206,MATCH("Ac spé, sci &amp; tec, svces adm &amp; stn",'D_Ch-5-1'!$B$158:$O$158,0),FALSE)</f>
        <v>0.83812174039015219</v>
      </c>
      <c r="L102" s="416">
        <f>VLOOKUP($O$61,'D_Ch-5-1'!$B$158:$O$206,MATCH("Admin pub, enseign, santé &amp; act soc",'D_Ch-5-1'!$B$158:$O$158,0),FALSE)</f>
        <v>1.0644414859930811</v>
      </c>
      <c r="M102" s="416">
        <f>VLOOKUP($O$61,'D_Ch-5-1'!$B$158:$O$206,MATCH("Autres activités de services",'D_Ch-5-1'!$B$158:$O$158,0),FALSE)</f>
        <v>0.90985577102245396</v>
      </c>
      <c r="N102" s="416"/>
      <c r="O102" s="204"/>
      <c r="P102" s="204"/>
      <c r="Q102" s="204"/>
    </row>
    <row r="103" spans="1:21"/>
    <row r="104" spans="1:21"/>
    <row r="105" spans="1:21"/>
    <row r="106" spans="1:21" ht="15" customHeight="1">
      <c r="A106" s="543"/>
      <c r="B106" s="451"/>
      <c r="C106" s="451"/>
      <c r="D106" s="451"/>
      <c r="E106" s="451"/>
      <c r="F106" s="985" t="s">
        <v>1369</v>
      </c>
      <c r="G106" s="977"/>
      <c r="H106" s="977"/>
      <c r="I106" s="977"/>
      <c r="J106" s="977"/>
      <c r="K106" s="977"/>
      <c r="L106" s="977"/>
      <c r="M106" s="977"/>
      <c r="N106" s="977"/>
      <c r="O106" s="977"/>
      <c r="P106" s="977"/>
      <c r="Q106" s="977"/>
      <c r="R106" s="977"/>
      <c r="S106" s="977"/>
      <c r="T106" s="977"/>
      <c r="U106" s="861"/>
    </row>
    <row r="107" spans="1:21" ht="15" customHeight="1">
      <c r="A107" s="452"/>
      <c r="B107" s="451"/>
      <c r="C107" s="451"/>
      <c r="D107" s="451"/>
      <c r="E107" s="451"/>
      <c r="F107" s="985"/>
      <c r="G107" s="977"/>
      <c r="H107" s="977"/>
      <c r="I107" s="977"/>
      <c r="J107" s="977"/>
      <c r="K107" s="977"/>
      <c r="L107" s="977"/>
      <c r="M107" s="977"/>
      <c r="N107" s="977"/>
      <c r="O107" s="977"/>
      <c r="P107" s="977"/>
      <c r="Q107" s="977"/>
      <c r="R107" s="977"/>
      <c r="S107" s="977"/>
      <c r="T107" s="977"/>
      <c r="U107" s="861"/>
    </row>
    <row r="108" spans="1:21" ht="15" customHeight="1">
      <c r="A108" s="453"/>
      <c r="B108" s="451"/>
      <c r="C108" s="451"/>
      <c r="D108" s="451"/>
      <c r="E108" s="451"/>
      <c r="F108" s="985"/>
      <c r="G108" s="977"/>
      <c r="H108" s="977"/>
      <c r="I108" s="977"/>
      <c r="J108" s="977"/>
      <c r="K108" s="977"/>
      <c r="L108" s="977"/>
      <c r="M108" s="977"/>
      <c r="N108" s="977"/>
      <c r="O108" s="977"/>
      <c r="P108" s="977"/>
      <c r="Q108" s="977"/>
      <c r="R108" s="977"/>
      <c r="S108" s="977"/>
      <c r="T108" s="977"/>
      <c r="U108" s="861"/>
    </row>
    <row r="109" spans="1:21" ht="15" customHeight="1">
      <c r="F109" s="985"/>
      <c r="G109" s="977"/>
      <c r="H109" s="977"/>
      <c r="I109" s="977"/>
      <c r="J109" s="977"/>
      <c r="K109" s="977"/>
      <c r="L109" s="977"/>
      <c r="M109" s="977"/>
      <c r="N109" s="977"/>
      <c r="O109" s="977"/>
      <c r="P109" s="977"/>
      <c r="Q109" s="977"/>
      <c r="R109" s="977"/>
      <c r="S109" s="977"/>
      <c r="T109" s="977"/>
      <c r="U109" s="861"/>
    </row>
    <row r="110" spans="1:21" ht="4.5" customHeight="1">
      <c r="U110" s="173"/>
    </row>
    <row r="111" spans="1:21" ht="15" customHeight="1">
      <c r="A111" s="875" t="s">
        <v>1134</v>
      </c>
      <c r="B111" s="875"/>
      <c r="C111" s="875"/>
      <c r="D111" s="875"/>
      <c r="E111" s="875"/>
      <c r="F111" s="875"/>
      <c r="G111" s="875"/>
      <c r="H111" s="875"/>
      <c r="I111" s="875"/>
      <c r="J111" s="875"/>
      <c r="K111" s="875"/>
      <c r="L111" s="875"/>
      <c r="M111" s="875"/>
      <c r="N111" s="875"/>
      <c r="O111" s="875"/>
      <c r="P111" s="875"/>
      <c r="Q111" s="875"/>
      <c r="R111" s="875"/>
      <c r="S111" s="875"/>
      <c r="T111" s="875"/>
      <c r="U111" s="860"/>
    </row>
    <row r="112" spans="1:21" ht="15" customHeight="1">
      <c r="A112" s="875"/>
      <c r="B112" s="875"/>
      <c r="C112" s="875"/>
      <c r="D112" s="875"/>
      <c r="E112" s="875"/>
      <c r="F112" s="875"/>
      <c r="G112" s="875"/>
      <c r="H112" s="875"/>
      <c r="I112" s="875"/>
      <c r="J112" s="875"/>
      <c r="K112" s="875"/>
      <c r="L112" s="875"/>
      <c r="M112" s="875"/>
      <c r="N112" s="875"/>
      <c r="O112" s="875"/>
      <c r="P112" s="875"/>
      <c r="Q112" s="875"/>
      <c r="R112" s="875"/>
      <c r="S112" s="875"/>
      <c r="T112" s="875"/>
      <c r="U112" s="860"/>
    </row>
    <row r="113" spans="1:21" ht="7.5" customHeight="1" thickBot="1">
      <c r="A113" s="432"/>
      <c r="B113" s="432"/>
      <c r="C113" s="432"/>
      <c r="D113" s="432"/>
      <c r="E113" s="432"/>
      <c r="F113" s="432"/>
      <c r="G113" s="432"/>
      <c r="H113" s="432"/>
      <c r="I113" s="432"/>
      <c r="J113" s="432"/>
      <c r="K113" s="432"/>
      <c r="L113" s="432"/>
      <c r="M113" s="432"/>
      <c r="N113" s="432"/>
      <c r="O113" s="432"/>
      <c r="P113" s="432"/>
      <c r="Q113" s="432"/>
      <c r="R113" s="432"/>
      <c r="S113" s="432"/>
      <c r="T113" s="432"/>
      <c r="U113" s="173"/>
    </row>
    <row r="114" spans="1:21" ht="16.5" thickTop="1" thickBot="1">
      <c r="A114" s="889" t="s">
        <v>1407</v>
      </c>
      <c r="B114" s="890"/>
      <c r="C114" s="891"/>
      <c r="D114" s="420"/>
      <c r="E114" s="584"/>
      <c r="F114" s="584"/>
      <c r="G114" s="584"/>
      <c r="H114" s="921" t="s">
        <v>116</v>
      </c>
      <c r="I114" s="922"/>
      <c r="J114" s="922"/>
      <c r="K114" s="923"/>
      <c r="L114" s="808"/>
      <c r="M114" s="808"/>
      <c r="N114" s="808"/>
      <c r="O114" s="879" t="s">
        <v>74</v>
      </c>
      <c r="P114" s="880"/>
      <c r="Q114" s="880"/>
      <c r="R114" s="881"/>
      <c r="S114" s="584"/>
      <c r="T114" s="420"/>
      <c r="U114" s="173"/>
    </row>
    <row r="115" spans="1:21" ht="15.75" thickTop="1">
      <c r="A115" s="420"/>
      <c r="B115" s="420"/>
      <c r="C115" s="420"/>
      <c r="D115" s="420"/>
      <c r="E115" s="420"/>
      <c r="F115" s="420"/>
      <c r="G115" s="420"/>
      <c r="H115" s="420"/>
      <c r="I115" s="420"/>
      <c r="J115" s="420"/>
      <c r="K115" s="420"/>
      <c r="L115" s="420"/>
      <c r="M115" s="420"/>
      <c r="N115" s="420"/>
      <c r="O115" s="420"/>
      <c r="P115" s="420"/>
      <c r="Q115" s="420"/>
      <c r="R115" s="420"/>
      <c r="S115" s="420"/>
      <c r="T115" s="420"/>
    </row>
    <row r="116" spans="1:21">
      <c r="A116" s="435" t="s">
        <v>1914</v>
      </c>
      <c r="B116" s="435"/>
      <c r="C116" s="435"/>
      <c r="D116" s="435"/>
      <c r="E116" s="435"/>
      <c r="F116" s="435"/>
      <c r="G116" s="420"/>
      <c r="H116" s="420"/>
      <c r="I116" s="420"/>
      <c r="J116" s="420"/>
      <c r="K116" s="420"/>
      <c r="L116" s="420"/>
      <c r="M116" s="420"/>
      <c r="N116" s="420"/>
      <c r="O116" s="420"/>
      <c r="P116" s="420"/>
      <c r="Q116" s="420"/>
      <c r="R116" s="420"/>
      <c r="S116" s="420"/>
      <c r="T116" s="420"/>
    </row>
    <row r="117" spans="1:21" ht="25.5" customHeight="1">
      <c r="A117" s="420"/>
      <c r="B117" s="420"/>
      <c r="C117" s="420"/>
      <c r="D117" s="420"/>
      <c r="E117" s="420"/>
      <c r="F117" s="420"/>
      <c r="G117" s="932" t="s">
        <v>1312</v>
      </c>
      <c r="H117" s="933"/>
      <c r="I117" s="934"/>
      <c r="J117" s="932" t="s">
        <v>1598</v>
      </c>
      <c r="K117" s="933"/>
      <c r="L117" s="934"/>
      <c r="M117" s="420"/>
      <c r="N117" s="932" t="s">
        <v>1312</v>
      </c>
      <c r="O117" s="933"/>
      <c r="P117" s="934"/>
      <c r="Q117" s="932" t="s">
        <v>1598</v>
      </c>
      <c r="R117" s="933"/>
      <c r="S117" s="934"/>
      <c r="T117" s="420"/>
    </row>
    <row r="118" spans="1:21">
      <c r="A118" s="924" t="s">
        <v>1313</v>
      </c>
      <c r="B118" s="925"/>
      <c r="C118" s="925"/>
      <c r="D118" s="926"/>
      <c r="E118" s="919" t="s">
        <v>1436</v>
      </c>
      <c r="F118" s="920"/>
      <c r="G118" s="544"/>
      <c r="H118" s="545">
        <f>VLOOKUP($H$114,'D_Ch-5-1'!$B$5:$P$53,MATCH("dont postes actifs sphère présentielle privé  N-1",'D_Ch-5-1'!$B$5:$P$5,0),FALSE)/VLOOKUP($H$114,'D_Ch-5-1'!$B$5:$P$53,MATCH("Total Effectifs actifs N-1",'D_Ch-5-1'!$B$5:$P$5,0),FALSE)</f>
        <v>0.42034903522930889</v>
      </c>
      <c r="I118" s="546"/>
      <c r="J118" s="497"/>
      <c r="K118" s="545">
        <f>VLOOKUP($H$114,'D_Ch-5-1'!$B$5:$P$53,MATCH("dont Etab actifs sphère présentielle privé  N-1",'D_Ch-5-1'!$B$5:$P$5,0),FALSE)/VLOOKUP($H$114,'D_Ch-5-1'!$B$5:$P$53,MATCH("Total etab actifs N-1",'D_Ch-5-1'!$B$5:$P$5,0),FALSE)</f>
        <v>0.57041331250750926</v>
      </c>
      <c r="L118" s="499"/>
      <c r="M118" s="420"/>
      <c r="N118" s="497"/>
      <c r="O118" s="545">
        <f>VLOOKUP($O$114,'D_Ch-5-1'!$B$5:$P$53,MATCH("dont postes actifs sphère présentielle privé  N-1",'D_Ch-5-1'!$B$5:$P$5,0),FALSE)/VLOOKUP($O$114,'D_Ch-5-1'!$B$5:$P$53,MATCH("Total Effectifs actifs N-1",'D_Ch-5-1'!$B$5:$P$5,0),FALSE)</f>
        <v>0.42408385741110549</v>
      </c>
      <c r="P118" s="499"/>
      <c r="Q118" s="497"/>
      <c r="R118" s="545">
        <f>VLOOKUP($O$114,'D_Ch-5-1'!$B$5:$P$53,MATCH("dont Etab actifs sphère présentielle privé  N-1",'D_Ch-5-1'!$B$5:$P$5,0),FALSE)/VLOOKUP($O$114,'D_Ch-5-1'!$B$5:$P$53,MATCH("Total etab actifs N-1",'D_Ch-5-1'!$B$5:$P$5,0),FALSE)</f>
        <v>0.55601489556910788</v>
      </c>
      <c r="S118" s="499"/>
      <c r="T118" s="420"/>
    </row>
    <row r="119" spans="1:21" ht="15.75" thickBot="1">
      <c r="A119" s="927"/>
      <c r="B119" s="928"/>
      <c r="C119" s="928"/>
      <c r="D119" s="929"/>
      <c r="E119" s="930" t="s">
        <v>1437</v>
      </c>
      <c r="F119" s="931"/>
      <c r="G119" s="547"/>
      <c r="H119" s="548">
        <f>VLOOKUP($H$114,'D_Ch-5-1'!$B$5:$P$53,MATCH("dont Effectifs sphère présentielle public N-1",'D_Ch-5-1'!$B$5:$P$5,0),FALSE)/VLOOKUP($H$114,'D_Ch-5-1'!$B$5:$P$53,MATCH("Total Effectifs actifs N-1",'D_Ch-5-1'!$B$5:$P$5,0),FALSE)</f>
        <v>0.24225332819973641</v>
      </c>
      <c r="I119" s="549"/>
      <c r="J119" s="550"/>
      <c r="K119" s="551">
        <f>VLOOKUP($H$114,'D_Ch-5-1'!$B$5:$P$53,MATCH("dont Etab actifs sphère présentielle public  N-1",'D_Ch-5-1'!$B$5:$P$5,0),FALSE)/VLOOKUP($H$114,'D_Ch-5-1'!$B$5:$P$53,MATCH("Total etab actifs N-1",'D_Ch-5-1'!$B$5:$P$5,0),FALSE)</f>
        <v>2.1434578877808481E-2</v>
      </c>
      <c r="L119" s="552"/>
      <c r="M119" s="420"/>
      <c r="N119" s="550"/>
      <c r="O119" s="548">
        <f>VLOOKUP($O$114,'D_Ch-5-1'!$B$5:$P$53,MATCH("dont Effectifs sphère présentielle public N-1",'D_Ch-5-1'!$B$5:$P$5,0),FALSE)/VLOOKUP($O$114,'D_Ch-5-1'!$B$5:$P$53,MATCH("Total Effectifs actifs N-1",'D_Ch-5-1'!$B$5:$P$5,0),FALSE)</f>
        <v>0.2498696015021907</v>
      </c>
      <c r="P119" s="552"/>
      <c r="Q119" s="550"/>
      <c r="R119" s="551">
        <f>VLOOKUP($O$114,'D_Ch-5-1'!$B$5:$P$53,MATCH("dont Etab actifs sphère présentielle public  N-1",'D_Ch-5-1'!$B$5:$P$5,0),FALSE)/VLOOKUP($O$114,'D_Ch-5-1'!$B$5:$P$53,MATCH("Total etab actifs N-1",'D_Ch-5-1'!$B$5:$P$5,0),FALSE)</f>
        <v>2.9173187975605808E-2</v>
      </c>
      <c r="S119" s="552"/>
      <c r="T119" s="420"/>
    </row>
    <row r="120" spans="1:21" ht="15.75" thickTop="1">
      <c r="A120" s="913" t="s">
        <v>1314</v>
      </c>
      <c r="B120" s="914"/>
      <c r="C120" s="914"/>
      <c r="D120" s="915"/>
      <c r="E120" s="916" t="s">
        <v>1436</v>
      </c>
      <c r="F120" s="918"/>
      <c r="G120" s="553"/>
      <c r="H120" s="545">
        <f>VLOOKUP($H$114,'D_Ch-5-1'!$B$5:$P$53,MATCH("dont postes actifs sphère productive privé N-1",'D_Ch-5-1'!$B$5:$P$5,0),FALSE)/VLOOKUP($H$114,'D_Ch-5-1'!$B$5:$P$53,MATCH("Total Effectifs actifs N-1",'D_Ch-5-1'!$B$5:$P$5,0),FALSE)</f>
        <v>0.33148351078795779</v>
      </c>
      <c r="I120" s="470"/>
      <c r="J120" s="553"/>
      <c r="K120" s="545">
        <f>VLOOKUP($H$114,'D_Ch-5-1'!$B$5:$P$53,MATCH("dont Etab actifs sphère productive privé N-1",'D_Ch-5-1'!$B$5:$P$5,0),FALSE)/VLOOKUP($H$114,'D_Ch-5-1'!$B$5:$P$53,MATCH("Total etab actifs N-1",'D_Ch-5-1'!$B$5:$P$5,0),FALSE)</f>
        <v>0.407797669109696</v>
      </c>
      <c r="L120" s="470"/>
      <c r="M120" s="420"/>
      <c r="N120" s="553"/>
      <c r="O120" s="545">
        <f>VLOOKUP($O$114,'D_Ch-5-1'!$B$5:$P$53,MATCH("dont postes actifs sphère productive privé N-1",'D_Ch-5-1'!$B$5:$P$5,0),FALSE)/VLOOKUP($O$114,'D_Ch-5-1'!$B$5:$P$53,MATCH("Total Effectifs actifs N-1",'D_Ch-5-1'!$B$5:$P$5,0),FALSE)</f>
        <v>0.32237302911984739</v>
      </c>
      <c r="P120" s="470"/>
      <c r="Q120" s="553"/>
      <c r="R120" s="545">
        <f>VLOOKUP($O$114,'D_Ch-5-1'!$B$5:$P$53,MATCH("dont Etab actifs sphère productive privé N-1",'D_Ch-5-1'!$B$5:$P$5,0),FALSE)/VLOOKUP($O$114,'D_Ch-5-1'!$B$5:$P$53,MATCH("Total etab actifs N-1",'D_Ch-5-1'!$B$5:$P$5,0),FALSE)</f>
        <v>0.41452317988018783</v>
      </c>
      <c r="S120" s="470"/>
      <c r="T120" s="420"/>
    </row>
    <row r="121" spans="1:21">
      <c r="A121" s="916"/>
      <c r="B121" s="917"/>
      <c r="C121" s="917"/>
      <c r="D121" s="918"/>
      <c r="E121" s="919" t="s">
        <v>1437</v>
      </c>
      <c r="F121" s="920"/>
      <c r="G121" s="497"/>
      <c r="H121" s="554">
        <f>VLOOKUP($H$114,'D_Ch-5-1'!$B$5:$P$53,MATCH("dont Effectifs sphère productive public N-1",'D_Ch-5-1'!$B$5:$P$5,0),FALSE)/VLOOKUP($H$114,'D_Ch-5-1'!$B$5:$P$53,MATCH("Total Effectifs actifs N-1",'D_Ch-5-1'!$B$5:$P$5,0),FALSE)</f>
        <v>5.9141257829969348E-3</v>
      </c>
      <c r="I121" s="499"/>
      <c r="J121" s="497"/>
      <c r="K121" s="554">
        <f>VLOOKUP($H$114,'D_Ch-5-1'!$B$5:$P$53,MATCH("dont Etab actifs sphère productive public N-1",'D_Ch-5-1'!$B$5:$P$5,0),FALSE)/VLOOKUP($H$114,'D_Ch-5-1'!$B$5:$P$53,MATCH("Total etab actifs N-1",'D_Ch-5-1'!$B$5:$P$5,0),FALSE)</f>
        <v>3.5443950498618287E-4</v>
      </c>
      <c r="L121" s="499"/>
      <c r="M121" s="420"/>
      <c r="N121" s="497"/>
      <c r="O121" s="554">
        <f>VLOOKUP($O$114,'D_Ch-5-1'!$B$5:$P$53,MATCH("dont Effectifs sphère productive public N-1",'D_Ch-5-1'!$B$5:$P$5,0),FALSE)/VLOOKUP($O$114,'D_Ch-5-1'!$B$5:$P$53,MATCH("Total Effectifs actifs N-1",'D_Ch-5-1'!$B$5:$P$5,0),FALSE)</f>
        <v>3.6735119668564273E-3</v>
      </c>
      <c r="P121" s="499"/>
      <c r="Q121" s="497"/>
      <c r="R121" s="554">
        <f>VLOOKUP($O114,'D_Ch-5-1'!$B$5:$P$53,MATCH("dont Etab actifs sphère productive public N-1",'D_Ch-5-1'!$B$5:$P$5,0),FALSE)/VLOOKUP($O$114,'D_Ch-5-1'!$B$5:$P$53,MATCH("Total etab actifs N-1",'D_Ch-5-1'!$B$5:$P$5,0),FALSE)</f>
        <v>2.8873657509849427E-4</v>
      </c>
      <c r="S121" s="499"/>
      <c r="T121" s="420"/>
    </row>
    <row r="122" spans="1:21">
      <c r="A122" s="420"/>
      <c r="B122" s="420"/>
      <c r="C122" s="420"/>
      <c r="D122" s="420"/>
      <c r="E122" s="420"/>
      <c r="F122" s="420"/>
      <c r="G122" s="420"/>
      <c r="H122" s="420"/>
      <c r="I122" s="420"/>
      <c r="J122" s="420"/>
      <c r="K122" s="420"/>
      <c r="L122" s="420"/>
      <c r="M122" s="420"/>
      <c r="N122" s="420"/>
      <c r="O122" s="420"/>
      <c r="P122" s="420"/>
      <c r="Q122" s="420"/>
      <c r="R122" s="420"/>
      <c r="S122" s="420"/>
      <c r="T122" s="420"/>
    </row>
    <row r="123" spans="1:21">
      <c r="A123" s="495"/>
      <c r="B123" s="495"/>
      <c r="C123" s="495"/>
      <c r="D123" s="495"/>
      <c r="E123" s="495"/>
      <c r="F123" s="495"/>
      <c r="G123" s="495"/>
      <c r="H123" s="495"/>
      <c r="I123" s="495"/>
      <c r="J123" s="495"/>
      <c r="K123" s="495"/>
      <c r="L123" s="495"/>
      <c r="M123" s="495"/>
      <c r="N123" s="495"/>
      <c r="O123" s="495"/>
      <c r="P123" s="422"/>
      <c r="Q123" s="422"/>
      <c r="R123" s="422"/>
      <c r="S123" s="422"/>
      <c r="T123" s="422"/>
    </row>
    <row r="124" spans="1:21">
      <c r="A124" s="416"/>
      <c r="B124" s="416"/>
      <c r="C124" s="416"/>
      <c r="D124" s="416"/>
      <c r="E124" s="416"/>
      <c r="F124" s="416"/>
      <c r="G124" s="416"/>
      <c r="H124" s="416"/>
      <c r="I124" s="416"/>
      <c r="J124" s="416"/>
      <c r="K124" s="416"/>
      <c r="L124" s="416"/>
      <c r="M124" s="416"/>
      <c r="N124" s="416"/>
      <c r="O124" s="416"/>
      <c r="P124" s="429"/>
      <c r="Q124" s="422"/>
      <c r="R124" s="422"/>
      <c r="S124" s="422"/>
      <c r="T124" s="422"/>
    </row>
    <row r="125" spans="1:21">
      <c r="A125" s="555"/>
      <c r="B125" s="555" t="s">
        <v>1436</v>
      </c>
      <c r="C125" s="555" t="s">
        <v>1437</v>
      </c>
      <c r="D125" s="555" t="s">
        <v>1436</v>
      </c>
      <c r="E125" s="555" t="s">
        <v>1437</v>
      </c>
      <c r="F125" s="555"/>
      <c r="G125" s="555"/>
      <c r="H125" s="555"/>
      <c r="I125" s="555"/>
      <c r="J125" s="555"/>
      <c r="K125" s="555" t="s">
        <v>1310</v>
      </c>
      <c r="L125" s="555" t="s">
        <v>1311</v>
      </c>
      <c r="M125" s="555" t="s">
        <v>1310</v>
      </c>
      <c r="N125" s="555" t="s">
        <v>1329</v>
      </c>
      <c r="O125" s="555"/>
      <c r="P125" s="555"/>
      <c r="Q125" s="820"/>
      <c r="R125" s="422"/>
      <c r="S125" s="422"/>
      <c r="T125" s="422"/>
    </row>
    <row r="126" spans="1:21">
      <c r="A126" s="555" t="str">
        <f>H114</f>
        <v>Gironde</v>
      </c>
      <c r="B126" s="557">
        <f>VLOOKUP($H$114,'D_Ch-5-1'!$B$5:$P$53,MATCH("dont postes actifs sphère présentielle privé  N-1",'D_Ch-5-1'!$B$5:$P$5,0),FALSE)</f>
        <v>227086</v>
      </c>
      <c r="C126" s="557">
        <f>VLOOKUP($H$114,'D_Ch-5-1'!$B$5:$P$53,MATCH("dont Effectifs sphère présentielle public N-1",'D_Ch-5-1'!$B$5:$P$5,0),FALSE)</f>
        <v>130873</v>
      </c>
      <c r="D126" s="557">
        <f>VLOOKUP($H$114,'D_Ch-5-1'!$B$5:$P$53,MATCH("dont postes actifs sphère productive privé N-1",'D_Ch-5-1'!$B$5:$P$5,0),FALSE)</f>
        <v>179078</v>
      </c>
      <c r="E126" s="558">
        <f>VLOOKUP($H$114,'D_Ch-5-1'!$B$5:$P$53,MATCH("dont Effectifs sphère productive public N-1",'D_Ch-5-1'!$B$5:$P$5,0),FALSE)</f>
        <v>3195</v>
      </c>
      <c r="F126" s="559"/>
      <c r="G126" s="559"/>
      <c r="H126" s="559"/>
      <c r="I126" s="559"/>
      <c r="J126" s="555" t="str">
        <f>H114</f>
        <v>Gironde</v>
      </c>
      <c r="K126" s="557">
        <f>VLOOKUP($H$114,'D_Ch-5-1'!$B$5:$P$53,MATCH("dont Etab actifs sphère présentielle privé  N-1",'D_Ch-5-1'!$B$5:$P$5,0),FALSE)</f>
        <v>94951</v>
      </c>
      <c r="L126" s="558">
        <f>VLOOKUP($H$114,'D_Ch-5-1'!$B$5:$P$53,MATCH("dont Etab actifs sphère présentielle public  N-1",'D_Ch-5-1'!$B$5:$P$5,0),FALSE)</f>
        <v>3568</v>
      </c>
      <c r="M126" s="557">
        <f>VLOOKUP($H$114,'D_Ch-5-1'!$B$5:$P$53,MATCH("dont Etab actifs sphère productive privé N-1",'D_Ch-5-1'!$B$5:$P$5,0),FALSE)</f>
        <v>67882</v>
      </c>
      <c r="N126" s="558">
        <f>VLOOKUP($H$114,'D_Ch-5-1'!$B$5:$P$53,MATCH("dont Etab actifs sphère productive public N-1",'D_Ch-5-1'!$B$5:$P$5,0),FALSE)</f>
        <v>59</v>
      </c>
      <c r="O126" s="555"/>
      <c r="P126" s="555"/>
      <c r="Q126" s="820"/>
      <c r="R126" s="422"/>
      <c r="S126" s="422"/>
      <c r="T126" s="422"/>
    </row>
    <row r="127" spans="1:21">
      <c r="A127" s="555" t="str">
        <f>O114</f>
        <v>Aquitaine</v>
      </c>
      <c r="B127" s="557">
        <f>VLOOKUP($O$114,'D_Ch-5-1'!$B$5:$P$53,MATCH("dont postes actifs sphère présentielle privé  N-1",'D_Ch-5-1'!$B$5:$P$5,0),FALSE)</f>
        <v>455310</v>
      </c>
      <c r="C127" s="557">
        <f>VLOOKUP($O$114,'D_Ch-5-1'!$B$5:$P$53,MATCH("dont Effectifs sphère présentielle public N-1",'D_Ch-5-1'!$B$5:$P$5,0),FALSE)</f>
        <v>268268</v>
      </c>
      <c r="D127" s="557">
        <f>VLOOKUP($O$114,'D_Ch-5-1'!$B$5:$P$53,MATCH("dont postes actifs sphère productive privé N-1",'D_Ch-5-1'!$B$5:$P$5,0),FALSE)</f>
        <v>346110</v>
      </c>
      <c r="E127" s="558">
        <f>VLOOKUP($O$114,'D_Ch-5-1'!$B$5:$P$53,MATCH("dont Effectifs sphère productive public N-1",'D_Ch-5-1'!$B$5:$P$5,0),FALSE)</f>
        <v>3944</v>
      </c>
      <c r="F127" s="559"/>
      <c r="G127" s="559"/>
      <c r="H127" s="559"/>
      <c r="I127" s="559"/>
      <c r="J127" s="555" t="str">
        <f>O114</f>
        <v>Aquitaine</v>
      </c>
      <c r="K127" s="557">
        <f>VLOOKUP($O$114,'D_Ch-5-1'!$B$5:$P$53,MATCH("dont Etab actifs sphère présentielle privé  N-1",'D_Ch-5-1'!$B$5:$P$5,0),FALSE)</f>
        <v>206048</v>
      </c>
      <c r="L127" s="558">
        <f>VLOOKUP($O$114,'D_Ch-5-1'!$B$5:$P$53,MATCH("dont Etab actifs sphère présentielle public  N-1",'D_Ch-5-1'!$B$5:$P$5,0),FALSE)</f>
        <v>10811</v>
      </c>
      <c r="M127" s="557">
        <f>VLOOKUP($O$114,'D_Ch-5-1'!$B$5:$P$53,MATCH("dont Etab actifs sphère productive privé N-1",'D_Ch-5-1'!$B$5:$P$5,0),FALSE)</f>
        <v>153614</v>
      </c>
      <c r="N127" s="558">
        <f>VLOOKUP($O114,'D_Ch-5-1'!$B$5:$P$53,MATCH("dont Etab actifs sphère productive public N-1",'D_Ch-5-1'!$B$5:$P$5,0),FALSE)</f>
        <v>107</v>
      </c>
      <c r="O127" s="555"/>
      <c r="P127" s="555"/>
      <c r="Q127" s="820"/>
      <c r="R127" s="422"/>
      <c r="S127" s="422"/>
      <c r="T127" s="422"/>
    </row>
    <row r="128" spans="1:21">
      <c r="A128" s="555"/>
      <c r="B128" s="555"/>
      <c r="C128" s="555"/>
      <c r="D128" s="555"/>
      <c r="E128" s="555"/>
      <c r="F128" s="555"/>
      <c r="G128" s="555"/>
      <c r="H128" s="555"/>
      <c r="I128" s="555"/>
      <c r="J128" s="555"/>
      <c r="K128" s="555"/>
      <c r="L128" s="555"/>
      <c r="M128" s="555"/>
      <c r="N128" s="555"/>
      <c r="O128" s="555"/>
      <c r="P128" s="555"/>
      <c r="Q128" s="820"/>
      <c r="R128" s="422"/>
      <c r="S128" s="422"/>
      <c r="T128" s="422"/>
    </row>
    <row r="129" spans="1:20">
      <c r="A129" s="422"/>
      <c r="B129" s="422"/>
      <c r="C129" s="422"/>
      <c r="D129" s="422"/>
      <c r="E129" s="422"/>
      <c r="F129" s="422"/>
      <c r="G129" s="422"/>
      <c r="H129" s="422"/>
      <c r="I129" s="422"/>
      <c r="J129" s="422"/>
      <c r="K129" s="422"/>
      <c r="L129" s="422"/>
      <c r="M129" s="422"/>
      <c r="N129" s="422"/>
      <c r="O129" s="422"/>
      <c r="P129" s="422"/>
      <c r="Q129" s="422"/>
      <c r="R129" s="422"/>
      <c r="S129" s="422"/>
      <c r="T129" s="422"/>
    </row>
    <row r="130" spans="1:20">
      <c r="A130" s="422"/>
      <c r="B130" s="422"/>
      <c r="C130" s="422"/>
      <c r="D130" s="422"/>
      <c r="E130" s="422"/>
      <c r="F130" s="422"/>
      <c r="G130" s="422"/>
      <c r="H130" s="422"/>
      <c r="I130" s="422"/>
      <c r="J130" s="422"/>
      <c r="K130" s="422"/>
      <c r="L130" s="422"/>
      <c r="M130" s="422"/>
      <c r="N130" s="422"/>
      <c r="O130" s="422"/>
      <c r="P130" s="422"/>
      <c r="Q130" s="422"/>
      <c r="R130" s="422"/>
      <c r="S130" s="422"/>
      <c r="T130" s="422"/>
    </row>
    <row r="131" spans="1:20">
      <c r="A131" s="422"/>
      <c r="B131" s="422"/>
      <c r="C131" s="422"/>
      <c r="D131" s="422"/>
      <c r="E131" s="422"/>
      <c r="F131" s="422"/>
      <c r="G131" s="422"/>
      <c r="H131" s="422"/>
      <c r="I131" s="422"/>
      <c r="J131" s="422"/>
      <c r="K131" s="422"/>
      <c r="L131" s="422"/>
      <c r="M131" s="422"/>
      <c r="N131" s="422"/>
      <c r="O131" s="422"/>
      <c r="P131" s="422"/>
      <c r="Q131" s="422"/>
      <c r="R131" s="422"/>
      <c r="S131" s="422"/>
      <c r="T131" s="422"/>
    </row>
    <row r="132" spans="1:20">
      <c r="A132" s="420"/>
      <c r="B132" s="420"/>
      <c r="C132" s="420"/>
      <c r="D132" s="420"/>
      <c r="E132" s="420"/>
      <c r="F132" s="420"/>
      <c r="G132" s="420"/>
      <c r="H132" s="420"/>
      <c r="I132" s="420"/>
      <c r="J132" s="420"/>
      <c r="K132" s="420"/>
      <c r="L132" s="420"/>
      <c r="M132" s="420"/>
      <c r="N132" s="420"/>
      <c r="O132" s="420"/>
      <c r="P132" s="420"/>
      <c r="Q132" s="420"/>
      <c r="R132" s="420"/>
      <c r="S132" s="420"/>
      <c r="T132" s="420"/>
    </row>
    <row r="133" spans="1:20">
      <c r="A133" s="420"/>
      <c r="B133" s="420"/>
      <c r="C133" s="420"/>
      <c r="D133" s="420"/>
      <c r="E133" s="420"/>
      <c r="F133" s="420"/>
      <c r="G133" s="420"/>
      <c r="H133" s="420"/>
      <c r="I133" s="420"/>
      <c r="J133" s="420"/>
      <c r="K133" s="420"/>
      <c r="L133" s="420"/>
      <c r="M133" s="420"/>
      <c r="N133" s="420"/>
      <c r="O133" s="420"/>
      <c r="P133" s="420"/>
      <c r="Q133" s="420"/>
      <c r="R133" s="420"/>
      <c r="S133" s="420"/>
      <c r="T133" s="420"/>
    </row>
    <row r="134" spans="1:20">
      <c r="A134" s="420"/>
      <c r="B134" s="420"/>
      <c r="C134" s="420"/>
      <c r="D134" s="420"/>
      <c r="E134" s="420"/>
      <c r="F134" s="420"/>
      <c r="G134" s="420"/>
      <c r="H134" s="420"/>
      <c r="I134" s="420"/>
      <c r="J134" s="420"/>
      <c r="K134" s="420"/>
      <c r="L134" s="420"/>
      <c r="M134" s="420"/>
      <c r="N134" s="420"/>
      <c r="O134" s="420"/>
      <c r="P134" s="420"/>
      <c r="Q134" s="420"/>
      <c r="R134" s="420"/>
      <c r="S134" s="420"/>
      <c r="T134" s="420"/>
    </row>
    <row r="135" spans="1:20">
      <c r="A135" s="420"/>
      <c r="B135" s="420"/>
      <c r="C135" s="420"/>
      <c r="D135" s="420"/>
      <c r="E135" s="420"/>
      <c r="F135" s="420"/>
      <c r="G135" s="420"/>
      <c r="H135" s="420"/>
      <c r="I135" s="420"/>
      <c r="J135" s="420"/>
      <c r="K135" s="420"/>
      <c r="L135" s="420"/>
      <c r="M135" s="420"/>
      <c r="N135" s="420"/>
      <c r="O135" s="420"/>
      <c r="P135" s="420"/>
      <c r="Q135" s="420"/>
      <c r="R135" s="420"/>
      <c r="S135" s="420"/>
      <c r="T135" s="420"/>
    </row>
    <row r="136" spans="1:20">
      <c r="A136" s="420"/>
      <c r="B136" s="420"/>
      <c r="C136" s="420"/>
      <c r="D136" s="420"/>
      <c r="E136" s="420"/>
      <c r="F136" s="420"/>
      <c r="G136" s="420"/>
      <c r="H136" s="420"/>
      <c r="I136" s="420"/>
      <c r="J136" s="420"/>
      <c r="K136" s="420"/>
      <c r="L136" s="420"/>
      <c r="M136" s="420"/>
      <c r="N136" s="420"/>
      <c r="O136" s="420"/>
      <c r="P136" s="420"/>
      <c r="Q136" s="420"/>
      <c r="R136" s="420"/>
      <c r="S136" s="420"/>
      <c r="T136" s="420"/>
    </row>
    <row r="137" spans="1:20">
      <c r="A137" s="420"/>
      <c r="B137" s="420"/>
      <c r="C137" s="420"/>
      <c r="D137" s="420"/>
      <c r="E137" s="420"/>
      <c r="F137" s="420"/>
      <c r="G137" s="420"/>
      <c r="H137" s="420"/>
      <c r="I137" s="420"/>
      <c r="J137" s="420"/>
      <c r="K137" s="420"/>
      <c r="L137" s="420"/>
      <c r="M137" s="420"/>
      <c r="N137" s="420"/>
      <c r="O137" s="420"/>
      <c r="P137" s="420"/>
      <c r="Q137" s="420"/>
      <c r="R137" s="420"/>
      <c r="S137" s="420"/>
      <c r="T137" s="420"/>
    </row>
    <row r="138" spans="1:20">
      <c r="A138" s="420"/>
      <c r="B138" s="420"/>
      <c r="C138" s="420"/>
      <c r="D138" s="420"/>
      <c r="E138" s="420"/>
      <c r="F138" s="420"/>
      <c r="G138" s="420"/>
      <c r="H138" s="420"/>
      <c r="I138" s="420"/>
      <c r="J138" s="420"/>
      <c r="K138" s="420"/>
      <c r="L138" s="420"/>
      <c r="M138" s="420"/>
      <c r="N138" s="420"/>
      <c r="O138" s="420"/>
      <c r="P138" s="420"/>
      <c r="Q138" s="420"/>
      <c r="R138" s="420"/>
      <c r="S138" s="420"/>
      <c r="T138" s="420"/>
    </row>
    <row r="139" spans="1:20">
      <c r="A139" s="420"/>
      <c r="B139" s="420"/>
      <c r="C139" s="420"/>
      <c r="D139" s="420"/>
      <c r="E139" s="420"/>
      <c r="F139" s="420"/>
      <c r="G139" s="420"/>
      <c r="H139" s="420"/>
      <c r="I139" s="420"/>
      <c r="J139" s="420"/>
      <c r="K139" s="420"/>
      <c r="L139" s="420"/>
      <c r="M139" s="420"/>
      <c r="N139" s="420"/>
      <c r="O139" s="420"/>
      <c r="P139" s="420"/>
      <c r="Q139" s="420"/>
      <c r="R139" s="420"/>
      <c r="S139" s="420"/>
      <c r="T139" s="420"/>
    </row>
    <row r="140" spans="1:20">
      <c r="A140" s="420"/>
      <c r="B140" s="420"/>
      <c r="C140" s="420"/>
      <c r="D140" s="420"/>
      <c r="E140" s="420"/>
      <c r="F140" s="420"/>
      <c r="G140" s="420"/>
      <c r="H140" s="420"/>
      <c r="I140" s="420"/>
      <c r="J140" s="420"/>
      <c r="K140" s="420"/>
      <c r="L140" s="420"/>
      <c r="M140" s="420"/>
      <c r="N140" s="420"/>
      <c r="O140" s="420"/>
      <c r="P140" s="420"/>
      <c r="Q140" s="420"/>
      <c r="R140" s="420"/>
      <c r="S140" s="420"/>
      <c r="T140" s="420"/>
    </row>
    <row r="141" spans="1:20">
      <c r="A141" s="420"/>
      <c r="B141" s="420"/>
      <c r="C141" s="420"/>
      <c r="D141" s="420"/>
      <c r="E141" s="420"/>
      <c r="F141" s="420"/>
      <c r="G141" s="420"/>
      <c r="H141" s="420"/>
      <c r="I141" s="420"/>
      <c r="J141" s="420"/>
      <c r="K141" s="420"/>
      <c r="L141" s="420"/>
      <c r="M141" s="420"/>
      <c r="N141" s="420"/>
      <c r="O141" s="420"/>
      <c r="P141" s="420"/>
      <c r="Q141" s="420"/>
      <c r="R141" s="420"/>
      <c r="S141" s="420"/>
      <c r="T141" s="420"/>
    </row>
    <row r="142" spans="1:20">
      <c r="A142" s="420"/>
      <c r="B142" s="420"/>
      <c r="C142" s="420"/>
      <c r="D142" s="420"/>
      <c r="E142" s="420"/>
      <c r="F142" s="420"/>
      <c r="G142" s="420"/>
      <c r="H142" s="420"/>
      <c r="I142" s="420"/>
      <c r="J142" s="420"/>
      <c r="K142" s="420"/>
      <c r="L142" s="420"/>
      <c r="M142" s="420"/>
      <c r="N142" s="420"/>
      <c r="O142" s="420"/>
      <c r="P142" s="420"/>
      <c r="Q142" s="420"/>
      <c r="R142" s="420"/>
      <c r="S142" s="420"/>
      <c r="T142" s="420"/>
    </row>
    <row r="143" spans="1:20">
      <c r="A143" s="420"/>
      <c r="B143" s="420"/>
      <c r="C143" s="420"/>
      <c r="D143" s="420"/>
      <c r="E143" s="420"/>
      <c r="F143" s="420"/>
      <c r="G143" s="420"/>
      <c r="H143" s="420"/>
      <c r="I143" s="420"/>
      <c r="J143" s="420"/>
      <c r="K143" s="420"/>
      <c r="L143" s="420"/>
      <c r="M143" s="420"/>
      <c r="N143" s="420"/>
      <c r="O143" s="420"/>
      <c r="P143" s="420"/>
      <c r="Q143" s="420"/>
      <c r="R143" s="420"/>
      <c r="S143" s="420"/>
      <c r="T143" s="420"/>
    </row>
    <row r="144" spans="1:20"/>
    <row r="145"/>
    <row r="146"/>
    <row r="147"/>
    <row r="148"/>
    <row r="149"/>
    <row r="150"/>
    <row r="151"/>
    <row r="152"/>
    <row r="153"/>
    <row r="154"/>
    <row r="155"/>
    <row r="156"/>
    <row r="157"/>
  </sheetData>
  <sheetProtection sheet="1" objects="1" scenarios="1" autoFilter="0"/>
  <mergeCells count="186">
    <mergeCell ref="A111:T112"/>
    <mergeCell ref="F106:T109"/>
    <mergeCell ref="A14:T14"/>
    <mergeCell ref="A118:D119"/>
    <mergeCell ref="E118:F118"/>
    <mergeCell ref="E119:F119"/>
    <mergeCell ref="A120:D121"/>
    <mergeCell ref="E120:F120"/>
    <mergeCell ref="E121:F121"/>
    <mergeCell ref="A114:C114"/>
    <mergeCell ref="H114:K114"/>
    <mergeCell ref="O114:R114"/>
    <mergeCell ref="G117:I117"/>
    <mergeCell ref="J117:L117"/>
    <mergeCell ref="N117:P117"/>
    <mergeCell ref="Q117:S117"/>
    <mergeCell ref="E70:F70"/>
    <mergeCell ref="G70:I70"/>
    <mergeCell ref="J70:L70"/>
    <mergeCell ref="M70:N70"/>
    <mergeCell ref="O70:Q70"/>
    <mergeCell ref="R70:T70"/>
    <mergeCell ref="E69:F69"/>
    <mergeCell ref="G69:I69"/>
    <mergeCell ref="J69:L69"/>
    <mergeCell ref="M69:N69"/>
    <mergeCell ref="O69:Q69"/>
    <mergeCell ref="R69:T69"/>
    <mergeCell ref="E68:F68"/>
    <mergeCell ref="G68:I68"/>
    <mergeCell ref="J68:L68"/>
    <mergeCell ref="M68:N68"/>
    <mergeCell ref="O68:Q68"/>
    <mergeCell ref="R68:T68"/>
    <mergeCell ref="E67:F67"/>
    <mergeCell ref="G67:I67"/>
    <mergeCell ref="J67:L67"/>
    <mergeCell ref="M67:N67"/>
    <mergeCell ref="O67:Q67"/>
    <mergeCell ref="R67:T67"/>
    <mergeCell ref="E64:F64"/>
    <mergeCell ref="G64:I64"/>
    <mergeCell ref="J64:L64"/>
    <mergeCell ref="M64:N64"/>
    <mergeCell ref="O64:Q64"/>
    <mergeCell ref="R64:T64"/>
    <mergeCell ref="E65:F65"/>
    <mergeCell ref="G65:I65"/>
    <mergeCell ref="J65:L65"/>
    <mergeCell ref="M65:N65"/>
    <mergeCell ref="O65:Q65"/>
    <mergeCell ref="R65:T65"/>
    <mergeCell ref="K88:L88"/>
    <mergeCell ref="M88:N88"/>
    <mergeCell ref="Q88:R88"/>
    <mergeCell ref="S88:T88"/>
    <mergeCell ref="F73:K73"/>
    <mergeCell ref="N73:S73"/>
    <mergeCell ref="E66:F66"/>
    <mergeCell ref="G66:I66"/>
    <mergeCell ref="J66:L66"/>
    <mergeCell ref="M66:N66"/>
    <mergeCell ref="O66:Q66"/>
    <mergeCell ref="R66:T66"/>
    <mergeCell ref="K86:L86"/>
    <mergeCell ref="M86:N86"/>
    <mergeCell ref="Q86:R86"/>
    <mergeCell ref="S86:T86"/>
    <mergeCell ref="K87:L87"/>
    <mergeCell ref="M87:N87"/>
    <mergeCell ref="Q87:R87"/>
    <mergeCell ref="S87:T87"/>
    <mergeCell ref="K84:L84"/>
    <mergeCell ref="M84:N84"/>
    <mergeCell ref="Q84:R84"/>
    <mergeCell ref="S84:T84"/>
    <mergeCell ref="K85:L85"/>
    <mergeCell ref="M85:N85"/>
    <mergeCell ref="Q85:R85"/>
    <mergeCell ref="S85:T85"/>
    <mergeCell ref="K82:L82"/>
    <mergeCell ref="M82:N82"/>
    <mergeCell ref="Q82:R82"/>
    <mergeCell ref="S82:T82"/>
    <mergeCell ref="K83:L83"/>
    <mergeCell ref="M83:N83"/>
    <mergeCell ref="Q83:R83"/>
    <mergeCell ref="S83:T83"/>
    <mergeCell ref="K80:L80"/>
    <mergeCell ref="M80:N80"/>
    <mergeCell ref="Q80:R80"/>
    <mergeCell ref="S80:T80"/>
    <mergeCell ref="K81:L81"/>
    <mergeCell ref="M81:N81"/>
    <mergeCell ref="Q81:R81"/>
    <mergeCell ref="S81:T81"/>
    <mergeCell ref="K78:L78"/>
    <mergeCell ref="M78:N78"/>
    <mergeCell ref="Q78:R78"/>
    <mergeCell ref="S78:T78"/>
    <mergeCell ref="K79:L79"/>
    <mergeCell ref="M79:N79"/>
    <mergeCell ref="Q79:R79"/>
    <mergeCell ref="S79:T79"/>
    <mergeCell ref="J76:L76"/>
    <mergeCell ref="M76:N76"/>
    <mergeCell ref="P76:R76"/>
    <mergeCell ref="S76:T76"/>
    <mergeCell ref="K77:L77"/>
    <mergeCell ref="M77:N77"/>
    <mergeCell ref="Q77:R77"/>
    <mergeCell ref="S77:T77"/>
    <mergeCell ref="P40:Q40"/>
    <mergeCell ref="R40:S40"/>
    <mergeCell ref="F53:T56"/>
    <mergeCell ref="A58:T59"/>
    <mergeCell ref="A61:C61"/>
    <mergeCell ref="I61:L61"/>
    <mergeCell ref="O61:R61"/>
    <mergeCell ref="H40:I40"/>
    <mergeCell ref="J40:K40"/>
    <mergeCell ref="L40:M40"/>
    <mergeCell ref="N40:O40"/>
    <mergeCell ref="A50:C50"/>
    <mergeCell ref="D50:E50"/>
    <mergeCell ref="A51:C51"/>
    <mergeCell ref="D51:E51"/>
    <mergeCell ref="A47:C47"/>
    <mergeCell ref="D47:E47"/>
    <mergeCell ref="A48:C48"/>
    <mergeCell ref="D48:E48"/>
    <mergeCell ref="A49:C49"/>
    <mergeCell ref="D49:E49"/>
    <mergeCell ref="A44:C44"/>
    <mergeCell ref="D44:E44"/>
    <mergeCell ref="A45:C45"/>
    <mergeCell ref="D45:E45"/>
    <mergeCell ref="A46:C46"/>
    <mergeCell ref="D46:E46"/>
    <mergeCell ref="D40:E40"/>
    <mergeCell ref="A41:C41"/>
    <mergeCell ref="D41:E41"/>
    <mergeCell ref="A42:C42"/>
    <mergeCell ref="D42:E42"/>
    <mergeCell ref="A43:C43"/>
    <mergeCell ref="D43:E43"/>
    <mergeCell ref="A37:E37"/>
    <mergeCell ref="G37:H37"/>
    <mergeCell ref="N37:O37"/>
    <mergeCell ref="A35:E35"/>
    <mergeCell ref="G35:H35"/>
    <mergeCell ref="N35:O35"/>
    <mergeCell ref="A36:E36"/>
    <mergeCell ref="G36:H36"/>
    <mergeCell ref="N36:O36"/>
    <mergeCell ref="A32:E32"/>
    <mergeCell ref="F32:H32"/>
    <mergeCell ref="I32:K32"/>
    <mergeCell ref="N32:P32"/>
    <mergeCell ref="Q32:S32"/>
    <mergeCell ref="A33:E33"/>
    <mergeCell ref="F33:H33"/>
    <mergeCell ref="F30:H30"/>
    <mergeCell ref="I30:K30"/>
    <mergeCell ref="N30:P30"/>
    <mergeCell ref="Q30:S30"/>
    <mergeCell ref="A31:E31"/>
    <mergeCell ref="F31:H31"/>
    <mergeCell ref="I31:K31"/>
    <mergeCell ref="N31:P31"/>
    <mergeCell ref="Q31:S31"/>
    <mergeCell ref="I33:K33"/>
    <mergeCell ref="N33:P33"/>
    <mergeCell ref="Q33:S33"/>
    <mergeCell ref="A29:C29"/>
    <mergeCell ref="I29:L29"/>
    <mergeCell ref="O29:R29"/>
    <mergeCell ref="A11:G11"/>
    <mergeCell ref="A12:G12"/>
    <mergeCell ref="H11:J11"/>
    <mergeCell ref="H12:J12"/>
    <mergeCell ref="F1:T4"/>
    <mergeCell ref="A6:T7"/>
    <mergeCell ref="A10:G10"/>
    <mergeCell ref="H10:J10"/>
    <mergeCell ref="A9:J9"/>
  </mergeCells>
  <conditionalFormatting sqref="I36:K36">
    <cfRule type="iconSet" priority="2">
      <iconSet iconSet="5ArrowsGray">
        <cfvo type="percent" val="0"/>
        <cfvo type="num" val="-0.5"/>
        <cfvo type="num" val="-5.0000000000000001E-3"/>
        <cfvo type="num" val="2.5000000000000001E-2"/>
        <cfvo type="num" val="0.05"/>
      </iconSet>
    </cfRule>
  </conditionalFormatting>
  <conditionalFormatting sqref="P36">
    <cfRule type="iconSet" priority="1">
      <iconSet iconSet="5ArrowsGray">
        <cfvo type="percent" val="0"/>
        <cfvo type="num" val="-0.5"/>
        <cfvo type="num" val="-5.0000000000000001E-3"/>
        <cfvo type="num" val="2.5000000000000001E-2"/>
        <cfvo type="num" val="0.05"/>
      </iconSet>
    </cfRule>
  </conditionalFormatting>
  <hyperlinks>
    <hyperlink ref="A9" location="Glossaire!A205" display="Emplois salariés par secteur d'activité en 2013"/>
    <hyperlink ref="A8:H8" location="Glossaire!A200" display="Emplois salariés par secteur d'activité en 2013"/>
    <hyperlink ref="A8:I8" location="Glossaire!A205" display="Emplois salariés par secteur d'activité en 2014"/>
    <hyperlink ref="A10:E10" location="Glossaire!A53" display="Emploi total "/>
    <hyperlink ref="A11:E11" location="Glossaire!A57" display="Emploi salarié"/>
    <hyperlink ref="A12:E12" location="Glossaire!A65" display="Emploi salarié privé"/>
    <hyperlink ref="A36" location="Glossaire!A181" display="Salaire net horaire moyen"/>
    <hyperlink ref="A31:E31" location="Glossaire!A12" display="Emploi total "/>
    <hyperlink ref="A32:E32" location="Glossaire!A16" display="Emploi salarié"/>
    <hyperlink ref="A33:E33" location="Glossaire!A24" display="Emploi salarié privé"/>
    <hyperlink ref="A35:E35" location="Glossaire!A31" display="Taux d'emploi "/>
    <hyperlink ref="A36:E36" location="Glossaire!A36" display="Salaire net horaire moyen"/>
    <hyperlink ref="A37:E37" location="Glossaire!A43" display="Concentration de l'emploi"/>
    <hyperlink ref="A62:D62" location="Glossaire!A24" display="Emploi salarié privé"/>
    <hyperlink ref="A116:E116" location="Glossaire!A227" display="Sphères économiques en 2013"/>
    <hyperlink ref="L75:Q75" location="Annexe!A1" display="Egalement disponible en 38 postes"/>
    <hyperlink ref="L75:R75" location="Annexe!A59" display="Egalement disponible en 38 postes ici"/>
    <hyperlink ref="A116:F116" location="Glossaire!A73" display="Sphères économiques en 2014"/>
    <hyperlink ref="A9:J9" location="Glossaire!A9" display="Conjoncture Bordeaux Métropole / Emploi salarié privé"/>
    <hyperlink ref="A76:E76" location="Glossaire!A54" display="NAF 17 regroupée en 12 postes"/>
    <hyperlink ref="A90:K90" location="Glossaire!A54" display="Indice de spécialisation par rapport à la France métropolitaine"/>
    <hyperlink ref="A75:H75" location="Glossaire!A46" display="Emploi salarié par secteur d'activité en 2014"/>
    <hyperlink ref="A76:F76" location="Glossaire!A54" display="NAF 17 regroupée en 12 postes"/>
    <hyperlink ref="A62:L62" location="Glossaire!A24" display="Emploi salarié privé : évolution selon la nomenclature  en 6 postes"/>
  </hyperlink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mars 2017</oddHeader>
    <oddFooter>&amp;C&amp;"-,Italique"&amp;8&amp;A&amp;R&amp;"-,Italique"&amp;8Page &amp;P</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'D_Ch-2-1'!$B$6:$B$39</xm:f>
          </x14:formula1>
          <xm:sqref>O29:R29 I29:L29</xm:sqref>
        </x14:dataValidation>
        <x14:dataValidation type="list" allowBlank="1" showInputMessage="1" showErrorMessage="1">
          <x14:formula1>
            <xm:f>'D_Ch-2-1'!$B$48:$B$95</xm:f>
          </x14:formula1>
          <xm:sqref>A41:C52 J40:S40</xm:sqref>
        </x14:dataValidation>
        <x14:dataValidation type="list" allowBlank="1" showInputMessage="1" showErrorMessage="1">
          <x14:formula1>
            <xm:f>'D_Ch-5-1'!$B$6:$B$53</xm:f>
          </x14:formula1>
          <xm:sqref>H114:K114 O114</xm:sqref>
        </x14:dataValidation>
        <x14:dataValidation type="list" allowBlank="1" showInputMessage="1" showErrorMessage="1">
          <x14:formula1>
            <xm:f>'D_Ch-5-1'!$B$159:$B$205</xm:f>
          </x14:formula1>
          <xm:sqref>O61:R61 I61:L61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1"/>
  <sheetViews>
    <sheetView showGridLines="0" view="pageLayout" zoomScaleNormal="100" workbookViewId="0"/>
  </sheetViews>
  <sheetFormatPr baseColWidth="10" defaultColWidth="0" defaultRowHeight="12.75" zeroHeight="1"/>
  <cols>
    <col min="1" max="20" width="4.7109375" style="341" customWidth="1"/>
    <col min="21" max="21" width="1.28515625" style="208" customWidth="1"/>
    <col min="22" max="22" width="11.42578125" style="208" hidden="1" customWidth="1"/>
    <col min="23" max="23" width="9.7109375" style="208" hidden="1" customWidth="1"/>
    <col min="24" max="16384" width="11.42578125" style="208" hidden="1"/>
  </cols>
  <sheetData>
    <row r="1" spans="1:21" ht="15" customHeight="1">
      <c r="A1" s="205"/>
      <c r="B1" s="206"/>
      <c r="C1" s="207"/>
      <c r="D1" s="207"/>
      <c r="E1" s="207"/>
      <c r="F1" s="985" t="s">
        <v>1369</v>
      </c>
      <c r="G1" s="977"/>
      <c r="H1" s="977"/>
      <c r="I1" s="977"/>
      <c r="J1" s="977"/>
      <c r="K1" s="977"/>
      <c r="L1" s="977"/>
      <c r="M1" s="977"/>
      <c r="N1" s="977"/>
      <c r="O1" s="977"/>
      <c r="P1" s="977"/>
      <c r="Q1" s="977"/>
      <c r="R1" s="977"/>
      <c r="S1" s="977"/>
      <c r="T1" s="977"/>
      <c r="U1" s="622"/>
    </row>
    <row r="2" spans="1:21" ht="12.75" customHeight="1">
      <c r="A2" s="209"/>
      <c r="B2" s="207"/>
      <c r="C2" s="207"/>
      <c r="D2" s="207"/>
      <c r="E2" s="207"/>
      <c r="F2" s="985"/>
      <c r="G2" s="977"/>
      <c r="H2" s="977"/>
      <c r="I2" s="977"/>
      <c r="J2" s="977"/>
      <c r="K2" s="977"/>
      <c r="L2" s="977"/>
      <c r="M2" s="977"/>
      <c r="N2" s="977"/>
      <c r="O2" s="977"/>
      <c r="P2" s="977"/>
      <c r="Q2" s="977"/>
      <c r="R2" s="977"/>
      <c r="S2" s="977"/>
      <c r="T2" s="977"/>
      <c r="U2" s="622"/>
    </row>
    <row r="3" spans="1:21" ht="15" customHeight="1">
      <c r="A3" s="210"/>
      <c r="B3" s="207"/>
      <c r="C3" s="207"/>
      <c r="D3" s="207"/>
      <c r="E3" s="207"/>
      <c r="F3" s="985"/>
      <c r="G3" s="977"/>
      <c r="H3" s="977"/>
      <c r="I3" s="977"/>
      <c r="J3" s="977"/>
      <c r="K3" s="977"/>
      <c r="L3" s="977"/>
      <c r="M3" s="977"/>
      <c r="N3" s="977"/>
      <c r="O3" s="977"/>
      <c r="P3" s="977"/>
      <c r="Q3" s="977"/>
      <c r="R3" s="977"/>
      <c r="S3" s="977"/>
      <c r="T3" s="977"/>
      <c r="U3" s="622"/>
    </row>
    <row r="4" spans="1:21" customFormat="1" ht="12.75" customHeight="1">
      <c r="F4" s="985"/>
      <c r="G4" s="977"/>
      <c r="H4" s="977"/>
      <c r="I4" s="977"/>
      <c r="J4" s="977"/>
      <c r="K4" s="977"/>
      <c r="L4" s="977"/>
      <c r="M4" s="977"/>
      <c r="N4" s="977"/>
      <c r="O4" s="977"/>
      <c r="P4" s="977"/>
      <c r="Q4" s="977"/>
      <c r="R4" s="977"/>
      <c r="S4" s="977"/>
      <c r="T4" s="977"/>
    </row>
    <row r="5" spans="1:21" customFormat="1" ht="5.25" customHeight="1"/>
    <row r="6" spans="1:21" ht="15" customHeight="1">
      <c r="A6" s="875" t="s">
        <v>1610</v>
      </c>
      <c r="B6" s="875"/>
      <c r="C6" s="875"/>
      <c r="D6" s="875"/>
      <c r="E6" s="875"/>
      <c r="F6" s="875"/>
      <c r="G6" s="875"/>
      <c r="H6" s="875"/>
      <c r="I6" s="875"/>
      <c r="J6" s="875"/>
      <c r="K6" s="875"/>
      <c r="L6" s="875"/>
      <c r="M6" s="875"/>
      <c r="N6" s="875"/>
      <c r="O6" s="875"/>
      <c r="P6" s="875"/>
      <c r="Q6" s="875"/>
      <c r="R6" s="875"/>
      <c r="S6" s="875"/>
      <c r="T6" s="875"/>
      <c r="U6" s="860"/>
    </row>
    <row r="7" spans="1:21" ht="15" customHeight="1">
      <c r="A7" s="875"/>
      <c r="B7" s="875"/>
      <c r="C7" s="875"/>
      <c r="D7" s="875"/>
      <c r="E7" s="875"/>
      <c r="F7" s="875"/>
      <c r="G7" s="875"/>
      <c r="H7" s="875"/>
      <c r="I7" s="875"/>
      <c r="J7" s="875"/>
      <c r="K7" s="875"/>
      <c r="L7" s="875"/>
      <c r="M7" s="875"/>
      <c r="N7" s="875"/>
      <c r="O7" s="875"/>
      <c r="P7" s="875"/>
      <c r="Q7" s="875"/>
      <c r="R7" s="875"/>
      <c r="S7" s="875"/>
      <c r="T7" s="875"/>
      <c r="U7" s="860"/>
    </row>
    <row r="8" spans="1:21" s="225" customFormat="1" ht="9" customHeight="1" thickBot="1">
      <c r="A8" s="432"/>
      <c r="B8" s="432"/>
      <c r="C8" s="432"/>
      <c r="D8" s="432"/>
      <c r="E8" s="432"/>
      <c r="F8" s="432"/>
      <c r="G8" s="432"/>
      <c r="H8" s="432"/>
      <c r="I8" s="432"/>
      <c r="J8" s="432"/>
      <c r="K8" s="432"/>
      <c r="L8" s="432"/>
      <c r="M8" s="432"/>
      <c r="N8" s="432"/>
      <c r="O8" s="432"/>
      <c r="P8" s="432"/>
      <c r="Q8" s="432"/>
      <c r="R8" s="432"/>
      <c r="S8" s="432"/>
      <c r="T8" s="432"/>
    </row>
    <row r="9" spans="1:21" ht="14.25" thickTop="1" thickBot="1">
      <c r="A9" s="889" t="s">
        <v>1407</v>
      </c>
      <c r="B9" s="890"/>
      <c r="C9" s="891"/>
      <c r="H9" s="1063" t="s">
        <v>116</v>
      </c>
      <c r="I9" s="1064"/>
      <c r="J9" s="1064"/>
      <c r="K9" s="1065"/>
      <c r="L9" s="581"/>
      <c r="M9" s="582"/>
      <c r="N9" s="581"/>
      <c r="O9" s="1066" t="s">
        <v>74</v>
      </c>
      <c r="P9" s="1067"/>
      <c r="Q9" s="1067"/>
      <c r="R9" s="1068"/>
      <c r="T9" s="433"/>
    </row>
    <row r="10" spans="1:21" ht="13.5" customHeight="1" thickTop="1">
      <c r="A10" s="422"/>
      <c r="B10" s="422"/>
      <c r="C10" s="422"/>
      <c r="D10" s="422"/>
      <c r="E10" s="422"/>
      <c r="S10"/>
      <c r="T10"/>
    </row>
    <row r="11" spans="1:21" ht="15" customHeight="1">
      <c r="A11" s="435" t="s">
        <v>1680</v>
      </c>
      <c r="B11" s="442"/>
      <c r="C11" s="442"/>
      <c r="D11" s="442"/>
      <c r="E11" s="442"/>
      <c r="F11" s="442"/>
      <c r="G11" s="420"/>
      <c r="H11" s="420"/>
      <c r="I11" s="420"/>
      <c r="J11" s="420"/>
      <c r="K11" s="420"/>
      <c r="L11" s="420"/>
      <c r="M11" s="420"/>
      <c r="N11" s="420"/>
      <c r="O11" s="420"/>
      <c r="P11" s="420"/>
      <c r="Q11" s="420"/>
      <c r="R11" s="420"/>
      <c r="S11"/>
      <c r="T11"/>
    </row>
    <row r="12" spans="1:21" ht="27.75" customHeight="1">
      <c r="A12" s="437"/>
      <c r="B12" s="437"/>
      <c r="C12" s="437"/>
      <c r="D12" s="437"/>
      <c r="E12" s="437"/>
      <c r="F12" s="1082" t="s">
        <v>114</v>
      </c>
      <c r="G12" s="1083"/>
      <c r="H12" s="1084"/>
      <c r="I12" s="1072" t="s">
        <v>888</v>
      </c>
      <c r="J12" s="1072"/>
      <c r="K12" s="1072" t="s">
        <v>93</v>
      </c>
      <c r="L12" s="1072"/>
      <c r="M12" s="1072" t="s">
        <v>96</v>
      </c>
      <c r="N12" s="1072"/>
      <c r="O12" s="859"/>
      <c r="P12" s="1073" t="s">
        <v>889</v>
      </c>
      <c r="Q12" s="1074"/>
      <c r="R12" s="1075"/>
      <c r="S12"/>
      <c r="T12"/>
      <c r="U12" s="405"/>
    </row>
    <row r="13" spans="1:21" ht="15" customHeight="1">
      <c r="A13" s="1069" t="str">
        <f>H9</f>
        <v>Gironde</v>
      </c>
      <c r="B13" s="1069"/>
      <c r="C13" s="1069"/>
      <c r="D13" s="1069"/>
      <c r="E13" s="1069"/>
      <c r="F13" s="1079">
        <f>VLOOKUP($H$9,'D_Ch-2-1'!$B$5:$AF$39,MATCH("Cdi",'D_Ch-2-1'!$5:$5,0)-1,FALSE)</f>
        <v>473232.90534846258</v>
      </c>
      <c r="G13" s="1080"/>
      <c r="H13" s="1081"/>
      <c r="I13" s="1056">
        <f>VLOOKUP($H$9,'D_Ch-2-1'!$B$5:$AE$39,MATCH("Cdd",'D_Ch-2-1'!$5:$5,0)-1,FALSE)</f>
        <v>55051.873373011011</v>
      </c>
      <c r="J13" s="1056"/>
      <c r="K13" s="1056">
        <f>VLOOKUP($H$9,'D_Ch-2-1'!$B$5:$AE$39,MATCH("Autres salariés",'D_Ch-2-1'!$5:$5,0)-1,FALSE)</f>
        <v>28282.899738570879</v>
      </c>
      <c r="L13" s="1056"/>
      <c r="M13" s="1056">
        <f>VLOOKUP($H$9,'D_Ch-2-1'!$B$5:$AE$39,MATCH("Non salariés",'D_Ch-2-1'!$5:$5,0)-1,FALSE)</f>
        <v>78568.06812686169</v>
      </c>
      <c r="N13" s="1056"/>
      <c r="O13" s="439"/>
      <c r="P13" s="439"/>
      <c r="Q13" s="439"/>
      <c r="R13" s="439"/>
      <c r="S13"/>
      <c r="T13"/>
    </row>
    <row r="14" spans="1:21" ht="12.75" customHeight="1">
      <c r="A14" s="1071" t="s">
        <v>1951</v>
      </c>
      <c r="B14" s="1071"/>
      <c r="C14" s="1071"/>
      <c r="D14" s="1071"/>
      <c r="E14" s="438"/>
      <c r="F14" s="1060">
        <f>VLOOKUP($H$9,'D_Ch-2-1'!$B$5:$AE$39,MATCH("Cdi TP",'D_Ch-2-1'!$5:$5,0)-1,FALSE)/(VLOOKUP($H$9,'D_Ch-2-1'!$B$5:$AE$39,MATCH("Cdi",'D_Ch-2-1'!$5:$5,0)-1,FALSE))</f>
        <v>0.86328245467063702</v>
      </c>
      <c r="G14" s="1061"/>
      <c r="H14" s="1062"/>
      <c r="I14" s="1055">
        <f>VLOOKUP($H$9,'D_Ch-2-1'!$B$5:$AE$39,MATCH("Cdd TP",'D_Ch-2-1'!$5:$5,0)-1,FALSE)/(VLOOKUP($H$9,'D_Ch-2-1'!$B$5:$AE$39,MATCH("Cdd",'D_Ch-2-1'!$5:$5,0)-1,FALSE))</f>
        <v>0.59802647618635685</v>
      </c>
      <c r="J14" s="1055"/>
      <c r="K14" s="1055">
        <f>VLOOKUP($H$9,'D_Ch-2-1'!$B$5:$AE$39,MATCH("Autres salariés TP",'D_Ch-2-1'!$5:$5,0)-1,FALSE)/(VLOOKUP($H$9,'D_Ch-2-1'!$B$5:$AE$39,MATCH("Autres salariés",'D_Ch-2-1'!$5:$5,0)-1,FALSE))</f>
        <v>0.6479704068114589</v>
      </c>
      <c r="L14" s="1055"/>
      <c r="M14" s="1055">
        <f>VLOOKUP($H$9,'D_Ch-2-1'!$B$5:$AE$39,MATCH("Non salariés TP",'D_Ch-2-1'!$5:$5,0)-1,FALSE)/(VLOOKUP($H$9,'D_Ch-2-1'!$B$5:$AE$39,MATCH("Non salariés",'D_Ch-2-1'!$5:$5,0)-1,FALSE))</f>
        <v>0.88437810622946145</v>
      </c>
      <c r="N14" s="1055"/>
      <c r="P14" s="1076">
        <f>VLOOKUP($H$9,'D_Ch-2-1'!$B$5:$AE$39,MATCH("Total TP",'D_Ch-2-1'!$5:$5,0)-1,FALSE)/(VLOOKUP($H$9,'D_Ch-2-1'!$B$5:$AE$39,MATCH("Total",'D_Ch-2-1'!$5:$5,0)-1,FALSE))</f>
        <v>0.83331241580178972</v>
      </c>
      <c r="Q14" s="1077"/>
      <c r="R14" s="1078"/>
      <c r="S14"/>
      <c r="T14"/>
    </row>
    <row r="15" spans="1:21" ht="15">
      <c r="A15" s="1070" t="str">
        <f>O9</f>
        <v>Aquitaine</v>
      </c>
      <c r="B15" s="1070"/>
      <c r="C15" s="1070"/>
      <c r="D15" s="1070"/>
      <c r="E15" s="440"/>
      <c r="F15" s="1046">
        <f>VLOOKUP($O$9,'D_Ch-2-1'!$B$5:$AF$39,MATCH("Cdi",'D_Ch-2-1'!$5:$5,0)-1,FALSE)</f>
        <v>962808.52860888606</v>
      </c>
      <c r="G15" s="1058"/>
      <c r="H15" s="1059"/>
      <c r="I15" s="1057">
        <f>VLOOKUP($O$9,'D_Ch-2-1'!$B$5:$AE$39,MATCH("Cdd",'D_Ch-2-1'!$5:$5,0)-1,FALSE)</f>
        <v>118831.9704809142</v>
      </c>
      <c r="J15" s="1057"/>
      <c r="K15" s="1057">
        <f>VLOOKUP($O$9,'D_Ch-2-1'!$B$5:$AE$39,MATCH("Autres salariés",'D_Ch-2-1'!$5:$5,0)-1,FALSE)</f>
        <v>58871.093882804111</v>
      </c>
      <c r="L15" s="1057"/>
      <c r="M15" s="1057">
        <f>VLOOKUP($O$9,'D_Ch-2-1'!$B$5:$AE$39,MATCH("Non salariés",'D_Ch-2-1'!$5:$5,0)-1,FALSE)</f>
        <v>189046.62691321844</v>
      </c>
      <c r="N15" s="1057"/>
      <c r="S15"/>
      <c r="T15"/>
    </row>
    <row r="16" spans="1:21" ht="15">
      <c r="A16" s="1071" t="s">
        <v>1951</v>
      </c>
      <c r="B16" s="1071"/>
      <c r="C16" s="1071"/>
      <c r="D16" s="1071"/>
      <c r="E16" s="438"/>
      <c r="F16" s="1060">
        <f>VLOOKUP($O$9,'D_Ch-2-1'!$B$5:$AE$39,MATCH("Cdi TP",'D_Ch-2-1'!$5:$5,0)-1,FALSE)/(VLOOKUP($O$9,'D_Ch-2-1'!$B$5:$AE$39,MATCH("Cdi",'D_Ch-2-1'!$5:$5,0)-1,FALSE))</f>
        <v>0.85411547397246568</v>
      </c>
      <c r="G16" s="1061"/>
      <c r="H16" s="1062"/>
      <c r="I16" s="1055">
        <f>VLOOKUP($O$9,'D_Ch-2-1'!$B$5:$AE$39,MATCH("Cdd TP",'D_Ch-2-1'!$5:$5,0)-1,FALSE)/(VLOOKUP($O$9,'D_Ch-2-1'!$B$5:$AE$39,MATCH("Cdd",'D_Ch-2-1'!$5:$5,0)-1,FALSE))</f>
        <v>0.60292730052908072</v>
      </c>
      <c r="J16" s="1055"/>
      <c r="K16" s="1055">
        <f>VLOOKUP($O$9,'D_Ch-2-1'!$B$5:$AE$39,MATCH("Autres salariés TP",'D_Ch-2-1'!$5:$5,0)-1,FALSE)/(VLOOKUP($O$9,'D_Ch-2-1'!$B$5:$AE$39,MATCH("Autres salariés",'D_Ch-2-1'!$5:$5,0)-1,FALSE))</f>
        <v>0.65634331388020029</v>
      </c>
      <c r="L16" s="1055"/>
      <c r="M16" s="1055">
        <f>VLOOKUP($O$9,'D_Ch-2-1'!$B$5:$AE$39,MATCH("Non salariés TP",'D_Ch-2-1'!$5:$5,0)-1,FALSE)/(VLOOKUP($O$9,'D_Ch-2-1'!$B$5:$AE$39,MATCH("Non salariés",'D_Ch-2-1'!$5:$5,0)-1,FALSE))</f>
        <v>0.89005881726842451</v>
      </c>
      <c r="N16" s="1055"/>
      <c r="P16" s="1076">
        <f>VLOOKUP($O$9,'D_Ch-2-1'!$B$5:$AE$39,MATCH("Total TP",'D_Ch-2-1'!$5:$5,0)-1,FALSE)/(VLOOKUP($O$9,'D_Ch-2-1'!$B$5:$AE$39,MATCH("Total",'D_Ch-2-1'!$5:$5,0)-1,FALSE))</f>
        <v>0.82801862414149652</v>
      </c>
      <c r="Q16" s="1077"/>
      <c r="R16" s="1078"/>
      <c r="S16"/>
      <c r="T16"/>
    </row>
    <row r="17" spans="1:20" ht="15">
      <c r="S17"/>
      <c r="T17"/>
    </row>
    <row r="18" spans="1:20">
      <c r="A18" s="435" t="s">
        <v>1681</v>
      </c>
      <c r="B18" s="442"/>
      <c r="C18" s="442"/>
      <c r="D18" s="442"/>
      <c r="E18" s="442"/>
      <c r="F18" s="442"/>
      <c r="G18" s="442"/>
      <c r="H18" s="442"/>
    </row>
    <row r="19" spans="1:20" s="228" customFormat="1" ht="15" customHeight="1">
      <c r="S19" s="420"/>
      <c r="T19" s="420"/>
    </row>
    <row r="20" spans="1:20" s="222" customFormat="1" ht="24.75" customHeight="1">
      <c r="A20" s="341"/>
      <c r="B20" s="341"/>
      <c r="C20" s="341"/>
      <c r="D20" s="341"/>
      <c r="E20" s="341"/>
      <c r="F20" s="341"/>
      <c r="G20" s="341"/>
      <c r="H20" s="341"/>
      <c r="I20" s="341"/>
      <c r="J20" s="341"/>
      <c r="K20" s="341"/>
      <c r="S20" s="437"/>
      <c r="T20" s="437"/>
    </row>
    <row r="21" spans="1:20" ht="15" customHeight="1">
      <c r="A21" s="442"/>
      <c r="B21" s="442"/>
      <c r="C21" s="442"/>
      <c r="D21" s="442">
        <v>2008</v>
      </c>
      <c r="E21" s="442">
        <v>2013</v>
      </c>
      <c r="F21" s="442">
        <v>2008</v>
      </c>
      <c r="G21" s="442">
        <v>2013</v>
      </c>
      <c r="H21" s="671"/>
    </row>
    <row r="22" spans="1:20" ht="15" customHeight="1">
      <c r="A22" s="442" t="s">
        <v>894</v>
      </c>
      <c r="B22" s="442"/>
      <c r="C22" s="442"/>
      <c r="D22" s="442">
        <f>VLOOKUP($H$9,'D_Ch-2-1'!$B$5:$BA$39,MATCH("CDI N-2",'D_Ch-2-1'!$5:$5,0)-1,FALSE)</f>
        <v>455750.08474700002</v>
      </c>
      <c r="E22" s="442">
        <f>VLOOKUP($H$9,'D_Ch-2-1'!$B$5:$BA$39,MATCH("CDI",'D_Ch-2-1'!$5:$5,0)-1,FALSE)</f>
        <v>473232.90534846258</v>
      </c>
      <c r="F22" s="443">
        <f>VLOOKUP($O$9,'D_Ch-2-1'!$B$5:$BA$39,MATCH("CDI N-2",'D_Ch-2-1'!$5:$5,0)-1,FALSE)</f>
        <v>943279.275288</v>
      </c>
      <c r="G22" s="443">
        <f>VLOOKUP($O$9,'D_Ch-2-1'!$B$5:$BA$39,MATCH("CDI",'D_Ch-2-1'!$5:$5,0)-1,FALSE)</f>
        <v>962808.52860888606</v>
      </c>
      <c r="H22" s="671"/>
      <c r="I22" s="444"/>
    </row>
    <row r="23" spans="1:20" ht="15" customHeight="1">
      <c r="A23" s="442" t="s">
        <v>895</v>
      </c>
      <c r="B23" s="442"/>
      <c r="C23" s="442"/>
      <c r="D23" s="442">
        <f>VLOOKUP($H$9,'D_Ch-2-1'!$B$5:$AE$39,MATCH("CDD N-2",'D_Ch-2-1'!$5:$5,0)-1,FALSE)</f>
        <v>54162.800637</v>
      </c>
      <c r="E23" s="442">
        <f>VLOOKUP($H$9,'D_Ch-2-1'!$B$5:$AE$39,MATCH("CDD",'D_Ch-2-1'!$5:$5,0)-1,FALSE)</f>
        <v>55051.873373011011</v>
      </c>
      <c r="F23" s="443">
        <f>VLOOKUP($O$9,'D_Ch-2-1'!$B$5:$AE$39,MATCH("CDD N-2",'D_Ch-2-1'!$5:$5,0)-1,FALSE)</f>
        <v>115729.883846</v>
      </c>
      <c r="G23" s="443">
        <f>VLOOKUP($O$9,'D_Ch-2-1'!$B$5:$AE$39,MATCH("CDD",'D_Ch-2-1'!$5:$5,0)-1,FALSE)</f>
        <v>118831.9704809142</v>
      </c>
      <c r="H23" s="671"/>
      <c r="I23" s="444"/>
    </row>
    <row r="24" spans="1:20" ht="15" customHeight="1">
      <c r="A24" s="442" t="s">
        <v>896</v>
      </c>
      <c r="B24" s="442"/>
      <c r="C24" s="442"/>
      <c r="D24" s="442">
        <f>VLOOKUP($H$9,'D_Ch-2-1'!$B$5:$AE$39,MATCH("Autres salariés N-2",'D_Ch-2-1'!$5:$5,0)-1,FALSE)</f>
        <v>27622.045413</v>
      </c>
      <c r="E24" s="442">
        <f>VLOOKUP($H$9,'D_Ch-2-1'!$B$5:$AE$39,MATCH("Autres salariés",'D_Ch-2-1'!$5:$5,0)-1,FALSE)</f>
        <v>28282.899738570879</v>
      </c>
      <c r="F24" s="443">
        <f>VLOOKUP($O$9,'D_Ch-2-1'!$B$5:$AE$39,MATCH("Autres salariés N-2",'D_Ch-2-1'!$5:$5,0)-1,FALSE)</f>
        <v>58792.763772000006</v>
      </c>
      <c r="G24" s="443">
        <f>VLOOKUP($O$9,'D_Ch-2-1'!$B$5:$AE$39,MATCH("Autres salariés",'D_Ch-2-1'!$5:$5,0)-1,FALSE)</f>
        <v>58871.093882804111</v>
      </c>
      <c r="H24" s="671"/>
      <c r="I24" s="444"/>
      <c r="S24" s="441"/>
      <c r="T24" s="441"/>
    </row>
    <row r="25" spans="1:20" ht="6.75" customHeight="1">
      <c r="A25" s="442" t="s">
        <v>96</v>
      </c>
      <c r="B25" s="442"/>
      <c r="C25" s="442"/>
      <c r="D25" s="442">
        <f>VLOOKUP($H$9,'D_Ch-2-1'!$B$5:$BA$39,MATCH("Non-salariés N-2",'D_Ch-2-1'!$5:$5,0)-1,FALSE)</f>
        <v>66979.884732000006</v>
      </c>
      <c r="E25" s="442">
        <f>VLOOKUP($H$9,'D_Ch-2-1'!$B$5:$AE$39,MATCH("Non salariés",'D_Ch-2-1'!$5:$5,0)-1,FALSE)</f>
        <v>78568.06812686169</v>
      </c>
      <c r="F25" s="443">
        <f>VLOOKUP($O$9,'D_Ch-2-1'!$B$5:$BA$39,MATCH("Non-salariés N-2",'D_Ch-2-1'!$5:$5,0)-1,FALSE)</f>
        <v>172841.01940000019</v>
      </c>
      <c r="G25" s="443">
        <f>VLOOKUP($O$9,'D_Ch-2-1'!$B$5:$AE$39,MATCH("Non salariés",'D_Ch-2-1'!$5:$5,0)-1,FALSE)</f>
        <v>189046.62691321844</v>
      </c>
      <c r="H25" s="671"/>
      <c r="I25" s="444"/>
    </row>
    <row r="26" spans="1:20">
      <c r="A26" s="442" t="str">
        <f>H9</f>
        <v>Gironde</v>
      </c>
      <c r="B26" s="442"/>
      <c r="C26" s="442"/>
      <c r="D26" s="445">
        <f>D23/(D24+D23+D22)</f>
        <v>0.10076145294724033</v>
      </c>
      <c r="E26" s="445">
        <f>E23/(E24+E23+E22)</f>
        <v>9.8913169958652458E-2</v>
      </c>
      <c r="F26" s="442"/>
      <c r="G26" s="442"/>
      <c r="H26" s="671"/>
    </row>
    <row r="27" spans="1:20" ht="11.25" customHeight="1">
      <c r="A27" s="442" t="str">
        <f>O9</f>
        <v>Aquitaine</v>
      </c>
      <c r="B27" s="442"/>
      <c r="C27" s="442"/>
      <c r="D27" s="447">
        <f>F23/(F22+F23+F24)</f>
        <v>0.10353344494624932</v>
      </c>
      <c r="E27" s="447">
        <f>G23/(G22+G23+G24)</f>
        <v>0.10419181287863384</v>
      </c>
      <c r="F27" s="442"/>
      <c r="G27" s="442"/>
      <c r="H27" s="671"/>
    </row>
    <row r="28" spans="1:20">
      <c r="A28" s="671"/>
      <c r="B28" s="671"/>
      <c r="C28" s="671"/>
      <c r="D28" s="671"/>
      <c r="E28" s="671"/>
      <c r="F28" s="671"/>
      <c r="G28" s="671"/>
      <c r="H28" s="671"/>
      <c r="J28" s="446"/>
    </row>
    <row r="29" spans="1:20"/>
    <row r="30" spans="1:20"/>
    <row r="31" spans="1:20"/>
    <row r="32" spans="1:20"/>
    <row r="33" spans="1:20"/>
    <row r="34" spans="1:20"/>
    <row r="35" spans="1:20">
      <c r="A35" s="435" t="s">
        <v>1752</v>
      </c>
      <c r="B35" s="442"/>
      <c r="C35" s="442"/>
      <c r="D35" s="442"/>
      <c r="E35" s="442"/>
      <c r="F35" s="442"/>
      <c r="G35" s="442"/>
      <c r="H35" s="442"/>
      <c r="I35" s="435"/>
      <c r="J35" s="442"/>
      <c r="K35" s="442"/>
      <c r="L35" s="442"/>
      <c r="M35" s="442"/>
    </row>
    <row r="36" spans="1:20">
      <c r="A36" s="448"/>
    </row>
    <row r="37" spans="1:20"/>
    <row r="38" spans="1:20"/>
    <row r="39" spans="1:20" ht="3" customHeight="1"/>
    <row r="40" spans="1:20" ht="15">
      <c r="A40"/>
      <c r="B40"/>
      <c r="C40"/>
      <c r="D40"/>
      <c r="E40"/>
      <c r="F40"/>
      <c r="G40"/>
      <c r="H40"/>
      <c r="I40"/>
      <c r="J40"/>
      <c r="K40"/>
      <c r="L40"/>
      <c r="M40"/>
      <c r="N40"/>
      <c r="O40"/>
      <c r="P40"/>
      <c r="Q40"/>
      <c r="R40"/>
      <c r="S40"/>
      <c r="T40"/>
    </row>
    <row r="41" spans="1:20" s="581" customFormat="1" ht="26.25" customHeight="1">
      <c r="A41"/>
      <c r="B41"/>
      <c r="C41"/>
      <c r="D41"/>
      <c r="E41"/>
      <c r="F41"/>
      <c r="G41"/>
      <c r="H41"/>
      <c r="I41"/>
      <c r="J41"/>
      <c r="K41"/>
      <c r="L41"/>
      <c r="M41"/>
      <c r="N41"/>
      <c r="O41"/>
      <c r="P41"/>
      <c r="Q41"/>
      <c r="R41"/>
      <c r="S41"/>
      <c r="T41"/>
    </row>
    <row r="42" spans="1:20" ht="15">
      <c r="A42"/>
      <c r="B42"/>
      <c r="C42"/>
      <c r="D42"/>
      <c r="E42"/>
      <c r="F42"/>
      <c r="G42"/>
      <c r="H42"/>
      <c r="I42"/>
      <c r="J42"/>
      <c r="K42"/>
      <c r="L42"/>
      <c r="M42"/>
      <c r="N42"/>
      <c r="O42"/>
      <c r="P42"/>
      <c r="Q42"/>
      <c r="R42"/>
      <c r="S42"/>
      <c r="T42"/>
    </row>
    <row r="43" spans="1:20" ht="15">
      <c r="A43"/>
      <c r="B43"/>
      <c r="C43"/>
      <c r="D43"/>
      <c r="E43"/>
      <c r="F43"/>
      <c r="G43"/>
      <c r="H43"/>
      <c r="I43"/>
      <c r="J43"/>
      <c r="K43"/>
      <c r="L43"/>
      <c r="M43"/>
      <c r="N43"/>
      <c r="O43"/>
      <c r="P43"/>
      <c r="Q43"/>
      <c r="R43"/>
      <c r="S43"/>
      <c r="T43"/>
    </row>
    <row r="44" spans="1:20" ht="15">
      <c r="A44"/>
      <c r="B44"/>
      <c r="C44"/>
      <c r="D44"/>
      <c r="E44"/>
      <c r="F44"/>
      <c r="G44"/>
      <c r="H44"/>
      <c r="I44"/>
      <c r="J44"/>
      <c r="K44"/>
      <c r="L44"/>
      <c r="M44"/>
      <c r="N44"/>
      <c r="O44"/>
      <c r="P44"/>
      <c r="Q44"/>
      <c r="R44"/>
      <c r="S44"/>
      <c r="T44"/>
    </row>
    <row r="45" spans="1:20" ht="15">
      <c r="A45"/>
      <c r="B45"/>
      <c r="C45"/>
      <c r="D45"/>
      <c r="E45"/>
      <c r="F45"/>
      <c r="G45"/>
      <c r="H45"/>
      <c r="I45"/>
      <c r="J45"/>
      <c r="K45"/>
      <c r="L45"/>
      <c r="M45"/>
      <c r="N45"/>
      <c r="O45"/>
      <c r="P45"/>
      <c r="Q45"/>
      <c r="R45"/>
      <c r="S45"/>
      <c r="T45"/>
    </row>
    <row r="46" spans="1:20" ht="15">
      <c r="A46"/>
      <c r="B46"/>
      <c r="C46"/>
      <c r="D46"/>
      <c r="E46"/>
      <c r="F46"/>
      <c r="G46"/>
      <c r="H46"/>
      <c r="I46"/>
      <c r="J46"/>
      <c r="K46"/>
      <c r="L46"/>
      <c r="M46"/>
      <c r="N46"/>
      <c r="O46"/>
      <c r="P46"/>
      <c r="Q46"/>
      <c r="R46"/>
      <c r="S46"/>
      <c r="T46"/>
    </row>
    <row r="47" spans="1:20" ht="15">
      <c r="A47"/>
      <c r="B47"/>
      <c r="C47"/>
      <c r="D47"/>
      <c r="E47"/>
      <c r="F47"/>
      <c r="G47"/>
      <c r="H47"/>
      <c r="I47"/>
      <c r="J47"/>
      <c r="K47"/>
      <c r="L47"/>
      <c r="M47"/>
      <c r="N47"/>
      <c r="O47"/>
      <c r="P47"/>
      <c r="Q47"/>
      <c r="R47"/>
      <c r="S47"/>
      <c r="T47"/>
    </row>
    <row r="48" spans="1:20" ht="15">
      <c r="A48"/>
      <c r="B48"/>
      <c r="C48"/>
      <c r="D48"/>
      <c r="E48"/>
      <c r="F48"/>
      <c r="G48"/>
      <c r="H48"/>
      <c r="I48"/>
      <c r="J48"/>
      <c r="K48"/>
      <c r="L48"/>
      <c r="M48"/>
      <c r="N48"/>
      <c r="O48"/>
      <c r="P48"/>
      <c r="Q48"/>
      <c r="R48"/>
      <c r="S48"/>
      <c r="T48"/>
    </row>
    <row r="49" spans="1:21" ht="15">
      <c r="A49"/>
      <c r="B49"/>
      <c r="C49"/>
      <c r="D49"/>
      <c r="E49"/>
      <c r="F49"/>
      <c r="G49"/>
      <c r="H49"/>
      <c r="I49"/>
      <c r="J49"/>
      <c r="K49"/>
      <c r="L49"/>
      <c r="M49"/>
      <c r="N49"/>
      <c r="O49"/>
      <c r="P49"/>
      <c r="Q49"/>
      <c r="R49"/>
      <c r="S49"/>
      <c r="T49"/>
    </row>
    <row r="50" spans="1:21" ht="15">
      <c r="A50"/>
      <c r="B50"/>
      <c r="C50"/>
      <c r="D50"/>
      <c r="E50"/>
      <c r="F50"/>
      <c r="G50"/>
      <c r="H50"/>
      <c r="I50"/>
      <c r="J50"/>
      <c r="K50"/>
      <c r="L50"/>
      <c r="M50"/>
      <c r="N50"/>
      <c r="O50"/>
      <c r="P50"/>
      <c r="Q50"/>
      <c r="R50"/>
      <c r="S50"/>
      <c r="T50"/>
    </row>
    <row r="51" spans="1:21" ht="15">
      <c r="A51"/>
      <c r="B51"/>
      <c r="C51"/>
      <c r="D51"/>
      <c r="E51"/>
      <c r="F51"/>
      <c r="G51"/>
      <c r="H51"/>
      <c r="I51"/>
      <c r="J51"/>
      <c r="K51"/>
      <c r="L51"/>
      <c r="M51"/>
      <c r="N51"/>
      <c r="O51"/>
      <c r="P51"/>
      <c r="Q51"/>
      <c r="R51"/>
      <c r="S51"/>
      <c r="T51"/>
    </row>
    <row r="52" spans="1:21" ht="15">
      <c r="A52"/>
      <c r="B52"/>
      <c r="C52"/>
      <c r="D52"/>
      <c r="E52"/>
      <c r="F52"/>
      <c r="G52"/>
      <c r="H52"/>
      <c r="I52"/>
      <c r="J52"/>
      <c r="K52"/>
      <c r="L52"/>
      <c r="M52"/>
      <c r="N52"/>
      <c r="O52"/>
      <c r="P52"/>
      <c r="Q52"/>
      <c r="R52"/>
      <c r="S52"/>
      <c r="T52"/>
    </row>
    <row r="53" spans="1:21" ht="15">
      <c r="A53"/>
      <c r="B53"/>
      <c r="C53"/>
      <c r="D53"/>
      <c r="E53"/>
      <c r="F53"/>
      <c r="G53"/>
      <c r="H53"/>
      <c r="I53"/>
      <c r="J53"/>
      <c r="K53"/>
      <c r="L53"/>
      <c r="M53"/>
      <c r="N53"/>
      <c r="O53"/>
      <c r="P53"/>
      <c r="Q53"/>
      <c r="R53"/>
      <c r="S53"/>
      <c r="T53"/>
    </row>
    <row r="54" spans="1:21" ht="15">
      <c r="A54"/>
      <c r="B54"/>
      <c r="C54"/>
      <c r="D54"/>
      <c r="E54"/>
      <c r="F54"/>
      <c r="G54"/>
      <c r="H54"/>
      <c r="I54"/>
      <c r="J54"/>
      <c r="K54"/>
      <c r="L54"/>
      <c r="M54"/>
      <c r="N54"/>
      <c r="O54"/>
      <c r="P54"/>
      <c r="Q54"/>
      <c r="R54"/>
      <c r="S54"/>
      <c r="T54"/>
    </row>
    <row r="55" spans="1:21" ht="7.5" customHeight="1">
      <c r="A55"/>
      <c r="B55"/>
      <c r="C55"/>
      <c r="D55"/>
      <c r="E55"/>
      <c r="F55"/>
      <c r="G55"/>
      <c r="H55"/>
      <c r="I55"/>
      <c r="J55"/>
      <c r="K55"/>
      <c r="L55"/>
      <c r="M55"/>
      <c r="N55"/>
      <c r="O55"/>
      <c r="P55"/>
      <c r="Q55"/>
      <c r="R55"/>
      <c r="S55"/>
      <c r="T55"/>
    </row>
    <row r="56" spans="1:21" ht="15" customHeight="1">
      <c r="A56"/>
      <c r="B56"/>
      <c r="C56"/>
      <c r="D56"/>
      <c r="E56"/>
      <c r="F56" s="977" t="s">
        <v>1369</v>
      </c>
      <c r="G56" s="977"/>
      <c r="H56" s="977"/>
      <c r="I56" s="977"/>
      <c r="J56" s="977"/>
      <c r="K56" s="977"/>
      <c r="L56" s="977"/>
      <c r="M56" s="977"/>
      <c r="N56" s="977"/>
      <c r="O56" s="977"/>
      <c r="P56" s="977"/>
      <c r="Q56" s="977"/>
      <c r="R56" s="977"/>
      <c r="S56" s="977"/>
      <c r="T56" s="977"/>
      <c r="U56" s="622"/>
    </row>
    <row r="57" spans="1:21" ht="12.75" customHeight="1">
      <c r="A57"/>
      <c r="B57"/>
      <c r="C57"/>
      <c r="D57"/>
      <c r="E57"/>
      <c r="F57" s="977"/>
      <c r="G57" s="977"/>
      <c r="H57" s="977"/>
      <c r="I57" s="977"/>
      <c r="J57" s="977"/>
      <c r="K57" s="977"/>
      <c r="L57" s="977"/>
      <c r="M57" s="977"/>
      <c r="N57" s="977"/>
      <c r="O57" s="977"/>
      <c r="P57" s="977"/>
      <c r="Q57" s="977"/>
      <c r="R57" s="977"/>
      <c r="S57" s="977"/>
      <c r="T57" s="977"/>
      <c r="U57" s="622"/>
    </row>
    <row r="58" spans="1:21" ht="15" customHeight="1">
      <c r="A58"/>
      <c r="B58"/>
      <c r="C58"/>
      <c r="D58"/>
      <c r="E58"/>
      <c r="F58" s="977"/>
      <c r="G58" s="977"/>
      <c r="H58" s="977"/>
      <c r="I58" s="977"/>
      <c r="J58" s="977"/>
      <c r="K58" s="977"/>
      <c r="L58" s="977"/>
      <c r="M58" s="977"/>
      <c r="N58" s="977"/>
      <c r="O58" s="977"/>
      <c r="P58" s="977"/>
      <c r="Q58" s="977"/>
      <c r="R58" s="977"/>
      <c r="S58" s="977"/>
      <c r="T58" s="977"/>
      <c r="U58" s="622"/>
    </row>
    <row r="59" spans="1:21" customFormat="1" ht="12.75" customHeight="1">
      <c r="F59" s="977"/>
      <c r="G59" s="977"/>
      <c r="H59" s="977"/>
      <c r="I59" s="977"/>
      <c r="J59" s="977"/>
      <c r="K59" s="977"/>
      <c r="L59" s="977"/>
      <c r="M59" s="977"/>
      <c r="N59" s="977"/>
      <c r="O59" s="977"/>
      <c r="P59" s="977"/>
      <c r="Q59" s="977"/>
      <c r="R59" s="977"/>
      <c r="S59" s="977"/>
      <c r="T59" s="977"/>
      <c r="U59" s="173"/>
    </row>
    <row r="60" spans="1:21" customFormat="1" ht="4.5" customHeight="1">
      <c r="U60" s="173"/>
    </row>
    <row r="61" spans="1:21" ht="15" customHeight="1">
      <c r="A61" s="875" t="s">
        <v>1610</v>
      </c>
      <c r="B61" s="875"/>
      <c r="C61" s="875"/>
      <c r="D61" s="875"/>
      <c r="E61" s="875"/>
      <c r="F61" s="875"/>
      <c r="G61" s="875"/>
      <c r="H61" s="875"/>
      <c r="I61" s="875"/>
      <c r="J61" s="875"/>
      <c r="K61" s="875"/>
      <c r="L61" s="875"/>
      <c r="M61" s="875"/>
      <c r="N61" s="875"/>
      <c r="O61" s="875"/>
      <c r="P61" s="875"/>
      <c r="Q61" s="875"/>
      <c r="R61" s="875"/>
      <c r="S61" s="875"/>
      <c r="T61" s="875"/>
      <c r="U61" s="860"/>
    </row>
    <row r="62" spans="1:21" ht="15" customHeight="1">
      <c r="A62" s="875"/>
      <c r="B62" s="875"/>
      <c r="C62" s="875"/>
      <c r="D62" s="875"/>
      <c r="E62" s="875"/>
      <c r="F62" s="875"/>
      <c r="G62" s="875"/>
      <c r="H62" s="875"/>
      <c r="I62" s="875"/>
      <c r="J62" s="875"/>
      <c r="K62" s="875"/>
      <c r="L62" s="875"/>
      <c r="M62" s="875"/>
      <c r="N62" s="875"/>
      <c r="O62" s="875"/>
      <c r="P62" s="875"/>
      <c r="Q62" s="875"/>
      <c r="R62" s="875"/>
      <c r="S62" s="875"/>
      <c r="T62" s="875"/>
      <c r="U62" s="860"/>
    </row>
    <row r="63" spans="1:21" ht="7.5" customHeight="1" thickBot="1"/>
    <row r="64" spans="1:21" customFormat="1" ht="16.5" thickTop="1" thickBot="1">
      <c r="A64" s="889" t="s">
        <v>1407</v>
      </c>
      <c r="B64" s="890"/>
      <c r="C64" s="891"/>
      <c r="D64" s="341"/>
      <c r="E64" s="341"/>
      <c r="F64" s="341"/>
      <c r="G64" s="341"/>
      <c r="H64" s="921" t="s">
        <v>2</v>
      </c>
      <c r="I64" s="922"/>
      <c r="J64" s="922"/>
      <c r="K64" s="923"/>
      <c r="L64" s="581"/>
      <c r="M64" s="582"/>
      <c r="N64" s="581"/>
      <c r="O64" s="341"/>
      <c r="P64" s="879" t="s">
        <v>737</v>
      </c>
      <c r="Q64" s="880"/>
      <c r="R64" s="880"/>
      <c r="S64" s="881"/>
      <c r="T64" s="433"/>
    </row>
    <row r="65" spans="1:25" customFormat="1" ht="7.5" customHeight="1" thickTop="1">
      <c r="A65" s="560"/>
      <c r="B65" s="560"/>
      <c r="C65" s="560"/>
      <c r="D65" s="341"/>
      <c r="E65" s="341"/>
      <c r="F65" s="341"/>
      <c r="G65" s="341"/>
      <c r="T65" s="433"/>
      <c r="V65" s="208"/>
      <c r="W65" s="208"/>
      <c r="X65" s="208"/>
      <c r="Y65" s="208"/>
    </row>
    <row r="66" spans="1:25" customFormat="1" ht="15">
      <c r="A66" s="457" t="s">
        <v>2037</v>
      </c>
      <c r="B66" s="458"/>
      <c r="C66" s="458"/>
      <c r="D66" s="458"/>
      <c r="E66" s="458"/>
      <c r="F66" s="458"/>
      <c r="G66" s="458"/>
      <c r="H66" s="457"/>
      <c r="I66" s="458"/>
      <c r="J66" s="458"/>
      <c r="K66" s="458"/>
      <c r="L66" s="458"/>
      <c r="M66" s="698"/>
      <c r="S66" s="350"/>
      <c r="T66" s="350"/>
      <c r="U66" s="208"/>
      <c r="V66" s="208"/>
      <c r="W66" s="208"/>
      <c r="X66" s="208"/>
      <c r="Y66" s="208"/>
    </row>
    <row r="67" spans="1:25" ht="15">
      <c r="E67" s="420"/>
      <c r="G67" s="1050" t="s">
        <v>904</v>
      </c>
      <c r="H67" s="1035"/>
      <c r="I67" s="1050" t="s">
        <v>905</v>
      </c>
      <c r="J67" s="1035"/>
      <c r="K67" s="324"/>
      <c r="L67" s="324"/>
      <c r="M67" s="324"/>
      <c r="N67" s="324"/>
      <c r="O67" s="324"/>
      <c r="Q67" s="1050" t="s">
        <v>904</v>
      </c>
      <c r="R67" s="1035"/>
      <c r="S67" s="1050" t="s">
        <v>905</v>
      </c>
      <c r="T67" s="1035"/>
    </row>
    <row r="68" spans="1:25">
      <c r="A68" s="1038" t="str">
        <f>'D_Ch2-2'!C82</f>
        <v>Agents d'accueil</v>
      </c>
      <c r="B68" s="1039"/>
      <c r="C68" s="1039"/>
      <c r="D68" s="1039"/>
      <c r="E68" s="1039"/>
      <c r="F68" s="1040"/>
      <c r="G68" s="1046">
        <f>'D_Ch2-2'!D82</f>
        <v>2326.48</v>
      </c>
      <c r="H68" s="1035"/>
      <c r="I68" s="1047">
        <f>'D_Ch2-2'!G82</f>
        <v>7.4123800715022836E-2</v>
      </c>
      <c r="J68" s="1048"/>
      <c r="K68" s="1038" t="str">
        <f>'D_Ch2-2'!L82</f>
        <v>Agents d'entretien y compris ATSEM</v>
      </c>
      <c r="L68" s="1039"/>
      <c r="M68" s="1039"/>
      <c r="N68" s="1039"/>
      <c r="O68" s="1039"/>
      <c r="P68" s="1040"/>
      <c r="Q68" s="1046">
        <f>'D_Ch2-2'!M82</f>
        <v>1430.52</v>
      </c>
      <c r="R68" s="1035"/>
      <c r="S68" s="1047">
        <f>'D_Ch2-2'!P82</f>
        <v>6.216878905323104E-2</v>
      </c>
      <c r="T68" s="1048"/>
    </row>
    <row r="69" spans="1:25" ht="15" customHeight="1">
      <c r="A69" s="1038" t="str">
        <f>'D_Ch2-2'!C83</f>
        <v>Agents d'entretien y compris ATSEM</v>
      </c>
      <c r="B69" s="1039"/>
      <c r="C69" s="1039"/>
      <c r="D69" s="1039"/>
      <c r="E69" s="1039"/>
      <c r="F69" s="1040"/>
      <c r="G69" s="1046">
        <f>'D_Ch2-2'!D83</f>
        <v>1688.89</v>
      </c>
      <c r="H69" s="1035"/>
      <c r="I69" s="1047">
        <f>'D_Ch2-2'!G83</f>
        <v>5.3809594662148366E-2</v>
      </c>
      <c r="J69" s="1048"/>
      <c r="K69" s="1038" t="str">
        <f>'D_Ch2-2'!L83</f>
        <v xml:space="preserve">Ingénieurs informatique </v>
      </c>
      <c r="L69" s="1039"/>
      <c r="M69" s="1039"/>
      <c r="N69" s="1039"/>
      <c r="O69" s="1039"/>
      <c r="P69" s="1040"/>
      <c r="Q69" s="1046">
        <f>'D_Ch2-2'!M83</f>
        <v>850.68</v>
      </c>
      <c r="R69" s="1035"/>
      <c r="S69" s="1047">
        <f>'D_Ch2-2'!P83</f>
        <v>2.7103450187517461E-2</v>
      </c>
      <c r="T69" s="1048"/>
    </row>
    <row r="70" spans="1:25">
      <c r="A70" s="1038" t="str">
        <f>'D_Ch2-2'!C84</f>
        <v>Apprentis de restauration</v>
      </c>
      <c r="B70" s="1039"/>
      <c r="C70" s="1039"/>
      <c r="D70" s="1039"/>
      <c r="E70" s="1039"/>
      <c r="F70" s="1040"/>
      <c r="G70" s="1046">
        <f>'D_Ch2-2'!D84</f>
        <v>1449.13</v>
      </c>
      <c r="H70" s="1035"/>
      <c r="I70" s="1047">
        <f>'D_Ch2-2'!G84</f>
        <v>4.6170619704515428E-2</v>
      </c>
      <c r="J70" s="1048"/>
      <c r="K70" s="1038" t="str">
        <f>'D_Ch2-2'!L84</f>
        <v>Aides à domicile</v>
      </c>
      <c r="L70" s="1039"/>
      <c r="M70" s="1039"/>
      <c r="N70" s="1039"/>
      <c r="O70" s="1039"/>
      <c r="P70" s="1040"/>
      <c r="Q70" s="1046">
        <f>'D_Ch2-2'!M84</f>
        <v>799.19</v>
      </c>
      <c r="R70" s="1035"/>
      <c r="S70" s="1047">
        <f>'D_Ch2-2'!P84</f>
        <v>2.5462931249543991E-2</v>
      </c>
      <c r="T70" s="1048"/>
    </row>
    <row r="71" spans="1:25">
      <c r="A71" s="1038" t="str">
        <f>'D_Ch2-2'!C85</f>
        <v>Employés de libre service</v>
      </c>
      <c r="B71" s="1039"/>
      <c r="C71" s="1039"/>
      <c r="D71" s="1039"/>
      <c r="E71" s="1039"/>
      <c r="F71" s="1040"/>
      <c r="G71" s="1046">
        <f>'D_Ch2-2'!D85</f>
        <v>1175.83</v>
      </c>
      <c r="H71" s="1035"/>
      <c r="I71" s="1047">
        <f>'D_Ch2-2'!G85</f>
        <v>3.746302938118759E-2</v>
      </c>
      <c r="J71" s="1048"/>
      <c r="K71" s="1038" t="str">
        <f>'D_Ch2-2'!L85</f>
        <v>Agriculteurs salariés, ouvriers agricoles</v>
      </c>
      <c r="L71" s="1039"/>
      <c r="M71" s="1039"/>
      <c r="N71" s="1039"/>
      <c r="O71" s="1039"/>
      <c r="P71" s="1040"/>
      <c r="Q71" s="1046">
        <f>'D_Ch2-2'!M85</f>
        <v>721.89</v>
      </c>
      <c r="R71" s="1035"/>
      <c r="S71" s="1047">
        <f>'D_Ch2-2'!P85</f>
        <v>2.3000081882572743E-2</v>
      </c>
      <c r="T71" s="1048"/>
    </row>
    <row r="72" spans="1:25">
      <c r="A72" s="1038" t="str">
        <f>'D_Ch2-2'!C86</f>
        <v>Aides à domicile</v>
      </c>
      <c r="B72" s="1039"/>
      <c r="C72" s="1039"/>
      <c r="D72" s="1039"/>
      <c r="E72" s="1039"/>
      <c r="F72" s="1040"/>
      <c r="G72" s="1046">
        <f>'D_Ch2-2'!D86</f>
        <v>1092.6199999999999</v>
      </c>
      <c r="H72" s="1035"/>
      <c r="I72" s="1047">
        <f>'D_Ch2-2'!G86</f>
        <v>3.4811881957828243E-2</v>
      </c>
      <c r="J72" s="1048"/>
      <c r="K72" s="1038" t="str">
        <f>'D_Ch2-2'!L86</f>
        <v xml:space="preserve">Professionnels de l'animation </v>
      </c>
      <c r="L72" s="1039"/>
      <c r="M72" s="1039"/>
      <c r="N72" s="1039"/>
      <c r="O72" s="1039"/>
      <c r="P72" s="1040"/>
      <c r="Q72" s="1046">
        <f>'D_Ch2-2'!M86</f>
        <v>650.6</v>
      </c>
      <c r="R72" s="1035"/>
      <c r="S72" s="1047">
        <f>'D_Ch2-2'!P86</f>
        <v>2.0728716664314268E-2</v>
      </c>
      <c r="T72" s="1048"/>
    </row>
    <row r="73" spans="1:25" ht="10.5" customHeight="1">
      <c r="K73" s="324"/>
      <c r="L73" s="324"/>
      <c r="M73" s="324"/>
      <c r="N73" s="324"/>
      <c r="O73" s="324"/>
      <c r="P73" s="324"/>
      <c r="Q73" s="324"/>
      <c r="R73" s="324"/>
    </row>
    <row r="74" spans="1:25" ht="15">
      <c r="A74" s="457" t="s">
        <v>1433</v>
      </c>
      <c r="B74" s="458"/>
      <c r="C74" s="458"/>
      <c r="D74" s="458"/>
      <c r="E74" s="458"/>
      <c r="F74" s="458"/>
      <c r="G74" s="458"/>
      <c r="H74" s="458"/>
      <c r="I74" s="458"/>
      <c r="J74" s="458"/>
      <c r="K74" s="459"/>
      <c r="L74" s="459"/>
      <c r="M74" s="459"/>
      <c r="N74" s="459"/>
      <c r="O74" s="459"/>
      <c r="P74" s="459"/>
      <c r="Q74" s="459"/>
      <c r="R74" s="459"/>
      <c r="S74" s="458"/>
      <c r="T74" s="458"/>
    </row>
    <row r="75" spans="1:25" ht="6.75" customHeight="1">
      <c r="K75" s="324"/>
      <c r="L75" s="324"/>
      <c r="M75" s="324"/>
      <c r="N75" s="324"/>
      <c r="O75" s="324"/>
      <c r="P75" s="324"/>
      <c r="Q75" s="324"/>
      <c r="R75" s="324"/>
    </row>
    <row r="76" spans="1:25" ht="15">
      <c r="A76" s="1049" t="str">
        <f>H64</f>
        <v>Bordeaux</v>
      </c>
      <c r="B76" s="1049"/>
      <c r="C76" s="1049"/>
      <c r="D76" s="1049"/>
      <c r="K76" s="324"/>
      <c r="L76" s="324"/>
      <c r="M76" s="324"/>
      <c r="N76" s="324"/>
      <c r="O76" s="324"/>
      <c r="P76" s="324"/>
      <c r="Q76" s="324"/>
      <c r="R76" s="324"/>
    </row>
    <row r="77" spans="1:25" ht="15">
      <c r="K77" s="324"/>
      <c r="L77" s="324"/>
      <c r="M77" s="324"/>
      <c r="N77" s="324"/>
      <c r="O77" s="324"/>
      <c r="P77" s="324"/>
      <c r="Q77" s="324"/>
      <c r="R77" s="324"/>
    </row>
    <row r="78" spans="1:25" ht="15">
      <c r="K78" s="324"/>
      <c r="L78" s="324"/>
      <c r="M78" s="324"/>
      <c r="N78" s="324"/>
      <c r="O78" s="324"/>
      <c r="P78" s="324"/>
      <c r="Q78" s="324"/>
      <c r="R78" s="324"/>
    </row>
    <row r="79" spans="1:25" ht="15">
      <c r="K79" s="324"/>
      <c r="L79" s="324"/>
      <c r="M79" s="324"/>
      <c r="N79" s="324"/>
      <c r="O79" s="324"/>
      <c r="P79" s="324"/>
      <c r="Q79" s="324"/>
      <c r="R79" s="324"/>
    </row>
    <row r="80" spans="1:25"/>
    <row r="81" spans="1:20">
      <c r="A81" s="208"/>
      <c r="B81" s="208"/>
      <c r="C81" s="208"/>
      <c r="D81" s="208"/>
      <c r="E81" s="208"/>
      <c r="F81" s="208"/>
      <c r="G81" s="208"/>
      <c r="H81" s="208"/>
      <c r="I81" s="208"/>
      <c r="J81" s="208"/>
      <c r="K81" s="208"/>
      <c r="L81" s="208"/>
      <c r="M81" s="208"/>
      <c r="N81" s="208"/>
      <c r="O81" s="208"/>
      <c r="P81" s="208"/>
      <c r="Q81" s="208"/>
      <c r="R81" s="208"/>
      <c r="S81" s="208"/>
      <c r="T81" s="208"/>
    </row>
    <row r="82" spans="1:20">
      <c r="A82" s="208"/>
      <c r="B82" s="208"/>
      <c r="C82" s="208"/>
      <c r="D82" s="208"/>
      <c r="E82" s="208"/>
      <c r="F82" s="208"/>
      <c r="G82" s="208"/>
      <c r="H82" s="208"/>
      <c r="I82" s="208"/>
      <c r="J82" s="208"/>
      <c r="K82" s="208"/>
      <c r="L82" s="208"/>
      <c r="M82" s="208"/>
      <c r="N82" s="208"/>
      <c r="O82" s="208"/>
      <c r="P82" s="208"/>
      <c r="Q82" s="208"/>
      <c r="R82" s="208"/>
      <c r="S82" s="208"/>
      <c r="T82" s="208"/>
    </row>
    <row r="83" spans="1:20" s="381" customFormat="1" ht="18.75" customHeight="1"/>
    <row r="84" spans="1:20">
      <c r="A84" s="208"/>
      <c r="B84" s="208"/>
      <c r="C84" s="208"/>
      <c r="D84" s="208"/>
      <c r="E84" s="208"/>
      <c r="F84" s="208"/>
      <c r="G84" s="208"/>
      <c r="H84" s="208"/>
      <c r="I84" s="208"/>
      <c r="J84" s="208"/>
      <c r="K84" s="208"/>
      <c r="L84" s="208"/>
      <c r="M84" s="208"/>
      <c r="N84" s="208"/>
      <c r="O84" s="208"/>
      <c r="P84" s="208"/>
      <c r="Q84" s="208"/>
      <c r="R84" s="208"/>
      <c r="S84" s="208"/>
      <c r="T84" s="208"/>
    </row>
    <row r="85" spans="1:20">
      <c r="A85" s="208"/>
      <c r="B85" s="208"/>
      <c r="C85" s="208"/>
      <c r="D85" s="208"/>
      <c r="E85" s="208"/>
      <c r="F85" s="208"/>
      <c r="G85" s="208"/>
      <c r="H85" s="208"/>
      <c r="I85" s="208"/>
      <c r="J85" s="208"/>
      <c r="K85" s="208"/>
      <c r="L85" s="208"/>
      <c r="M85" s="208"/>
      <c r="N85" s="208"/>
      <c r="O85" s="208"/>
      <c r="P85" s="208"/>
      <c r="Q85" s="208"/>
      <c r="R85" s="208"/>
      <c r="S85" s="208"/>
      <c r="T85" s="208"/>
    </row>
    <row r="86" spans="1:20">
      <c r="A86" s="208"/>
      <c r="B86" s="208"/>
      <c r="C86" s="208"/>
      <c r="D86" s="208"/>
      <c r="E86" s="208"/>
      <c r="F86" s="208"/>
      <c r="G86" s="208"/>
      <c r="H86" s="208"/>
      <c r="I86" s="208"/>
      <c r="J86" s="208"/>
      <c r="K86" s="208"/>
      <c r="L86" s="208"/>
      <c r="M86" s="208"/>
      <c r="N86" s="208"/>
      <c r="O86" s="208"/>
      <c r="P86" s="208"/>
      <c r="Q86" s="208"/>
      <c r="R86" s="208"/>
      <c r="S86" s="208"/>
      <c r="T86" s="208"/>
    </row>
    <row r="87" spans="1:20">
      <c r="A87" s="208"/>
      <c r="B87" s="208"/>
      <c r="C87" s="208"/>
      <c r="D87" s="208"/>
      <c r="E87" s="208"/>
      <c r="F87" s="208"/>
      <c r="G87" s="208"/>
      <c r="H87" s="208"/>
      <c r="I87" s="208"/>
      <c r="J87" s="208"/>
      <c r="K87" s="208"/>
      <c r="L87" s="208"/>
      <c r="M87" s="208"/>
      <c r="N87" s="208"/>
      <c r="O87" s="208"/>
      <c r="P87" s="208"/>
      <c r="Q87" s="208"/>
      <c r="R87" s="208"/>
      <c r="S87" s="208"/>
      <c r="T87" s="208"/>
    </row>
    <row r="88" spans="1:20">
      <c r="A88" s="208"/>
      <c r="B88" s="208"/>
      <c r="C88" s="208"/>
      <c r="D88" s="208"/>
      <c r="E88" s="208"/>
      <c r="F88" s="208"/>
      <c r="G88" s="208"/>
      <c r="H88" s="208"/>
      <c r="I88" s="208"/>
      <c r="J88" s="208"/>
      <c r="K88" s="208"/>
      <c r="L88" s="208"/>
      <c r="M88" s="208"/>
      <c r="N88" s="208"/>
      <c r="O88" s="208"/>
      <c r="P88" s="208"/>
      <c r="Q88" s="208"/>
      <c r="R88" s="208"/>
      <c r="S88" s="208"/>
      <c r="T88" s="208"/>
    </row>
    <row r="89" spans="1:20">
      <c r="A89" s="208"/>
      <c r="B89" s="208"/>
      <c r="C89" s="208"/>
      <c r="D89" s="208"/>
      <c r="E89" s="208"/>
      <c r="F89" s="208"/>
      <c r="G89" s="208"/>
      <c r="H89" s="208"/>
      <c r="I89" s="208"/>
      <c r="J89" s="208"/>
      <c r="K89" s="208"/>
      <c r="L89" s="208"/>
      <c r="M89" s="208"/>
      <c r="N89" s="208"/>
      <c r="O89" s="208"/>
      <c r="P89" s="208"/>
      <c r="Q89" s="208"/>
      <c r="R89" s="208"/>
      <c r="S89" s="208"/>
      <c r="T89" s="208"/>
    </row>
    <row r="90" spans="1:20" ht="8.25" customHeight="1">
      <c r="A90" s="208"/>
      <c r="B90" s="208"/>
      <c r="C90" s="208"/>
      <c r="D90" s="208"/>
      <c r="E90" s="208"/>
      <c r="F90" s="208"/>
      <c r="G90" s="208"/>
      <c r="H90" s="208"/>
      <c r="I90" s="208"/>
      <c r="J90" s="208"/>
      <c r="K90" s="208"/>
      <c r="L90" s="208"/>
      <c r="M90" s="208"/>
      <c r="N90" s="208"/>
      <c r="O90" s="208"/>
      <c r="P90" s="208"/>
      <c r="Q90" s="208"/>
      <c r="R90" s="208"/>
      <c r="S90" s="208"/>
      <c r="T90" s="208"/>
    </row>
    <row r="91" spans="1:20" s="397" customFormat="1" ht="19.5" customHeight="1"/>
    <row r="92" spans="1:20" ht="15">
      <c r="A92" s="208"/>
      <c r="B92" s="208"/>
      <c r="C92" s="208"/>
      <c r="D92" s="208"/>
      <c r="K92" s="324"/>
      <c r="L92" s="324"/>
      <c r="M92" s="324"/>
      <c r="N92" s="324"/>
      <c r="O92" s="324"/>
      <c r="P92" s="324"/>
      <c r="Q92" s="324"/>
      <c r="R92" s="324"/>
    </row>
    <row r="93" spans="1:20" ht="15">
      <c r="A93" s="625"/>
      <c r="B93" s="625"/>
      <c r="C93" s="625"/>
      <c r="D93" s="625"/>
      <c r="E93" s="625"/>
      <c r="F93" s="625"/>
      <c r="G93" s="625"/>
      <c r="H93" s="625"/>
      <c r="I93" s="625"/>
      <c r="J93" s="625"/>
      <c r="K93" s="624"/>
      <c r="L93" s="624"/>
      <c r="M93" s="624"/>
      <c r="N93" s="624"/>
      <c r="O93" s="624"/>
      <c r="P93" s="624"/>
      <c r="Q93" s="624"/>
      <c r="R93" s="624"/>
      <c r="S93" s="625"/>
      <c r="T93" s="625"/>
    </row>
    <row r="94" spans="1:20" ht="15">
      <c r="A94" s="625"/>
      <c r="B94" s="625"/>
      <c r="C94" s="625"/>
      <c r="D94" s="625"/>
      <c r="E94" s="625"/>
      <c r="F94" s="625"/>
      <c r="G94" s="625"/>
      <c r="H94" s="625"/>
      <c r="I94" s="625"/>
      <c r="J94" s="625"/>
      <c r="K94" s="624"/>
      <c r="L94" s="624"/>
      <c r="M94" s="624"/>
      <c r="N94" s="624"/>
      <c r="O94" s="624"/>
      <c r="P94" s="624"/>
      <c r="Q94" s="624"/>
      <c r="R94" s="624"/>
      <c r="S94" s="625"/>
      <c r="T94" s="625"/>
    </row>
    <row r="95" spans="1:20" ht="15">
      <c r="A95" s="625"/>
      <c r="B95" s="625"/>
      <c r="C95" s="625"/>
      <c r="D95" s="625"/>
      <c r="E95" s="625"/>
      <c r="F95" s="625"/>
      <c r="G95" s="625"/>
      <c r="H95" s="625"/>
      <c r="I95" s="625"/>
      <c r="J95" s="625"/>
      <c r="K95" s="624"/>
      <c r="L95" s="624"/>
      <c r="M95" s="624"/>
      <c r="N95" s="624"/>
      <c r="O95" s="624"/>
      <c r="P95" s="624"/>
      <c r="Q95" s="624"/>
      <c r="R95" s="624"/>
      <c r="S95" s="625"/>
      <c r="T95" s="625"/>
    </row>
    <row r="96" spans="1:20" ht="15">
      <c r="A96" s="625"/>
      <c r="B96" s="625"/>
      <c r="C96" s="625"/>
      <c r="D96" s="625"/>
      <c r="E96" s="625"/>
      <c r="F96" s="625"/>
      <c r="G96" s="625"/>
      <c r="H96" s="625"/>
      <c r="I96" s="625"/>
      <c r="J96" s="625"/>
      <c r="K96" s="624"/>
      <c r="L96" s="624"/>
      <c r="M96" s="624"/>
      <c r="N96" s="624"/>
      <c r="O96" s="624"/>
      <c r="P96" s="624"/>
      <c r="Q96" s="624"/>
      <c r="R96" s="624"/>
      <c r="S96" s="625"/>
      <c r="T96" s="625"/>
    </row>
    <row r="97" spans="1:27" ht="15">
      <c r="A97" s="457" t="s">
        <v>2027</v>
      </c>
      <c r="B97" s="458"/>
      <c r="C97" s="458"/>
      <c r="D97" s="458"/>
      <c r="E97" s="458"/>
      <c r="F97" s="458"/>
      <c r="G97" s="458"/>
      <c r="H97" s="458"/>
      <c r="I97" s="458"/>
      <c r="J97" s="457"/>
      <c r="K97" s="458"/>
      <c r="L97" s="324"/>
      <c r="M97" s="624"/>
      <c r="N97" s="624"/>
      <c r="O97" s="624"/>
      <c r="P97" s="624"/>
      <c r="Q97" s="624"/>
      <c r="R97" s="624"/>
      <c r="S97" s="625"/>
      <c r="T97" s="625"/>
    </row>
    <row r="98" spans="1:27" ht="15">
      <c r="A98" s="462" t="s">
        <v>1434</v>
      </c>
      <c r="K98" s="324"/>
      <c r="L98" s="324"/>
      <c r="M98" s="624"/>
      <c r="N98" s="624"/>
      <c r="O98" s="624"/>
      <c r="P98" s="624"/>
      <c r="Q98" s="624"/>
      <c r="R98" s="624"/>
      <c r="S98" s="625"/>
      <c r="T98" s="625"/>
    </row>
    <row r="99" spans="1:27" ht="15">
      <c r="A99" s="625"/>
      <c r="B99" s="625"/>
      <c r="C99" s="625"/>
      <c r="D99" s="625"/>
      <c r="E99" s="625"/>
      <c r="F99" s="625"/>
      <c r="G99" s="625"/>
      <c r="H99" s="625"/>
      <c r="I99" s="625"/>
      <c r="J99" s="625"/>
      <c r="K99" s="624"/>
      <c r="L99" s="624"/>
      <c r="M99" s="624"/>
      <c r="N99" s="624"/>
      <c r="O99" s="624"/>
      <c r="P99" s="624"/>
      <c r="Q99" s="624"/>
      <c r="R99" s="624"/>
      <c r="S99" s="625"/>
      <c r="T99" s="625"/>
      <c r="Y99" s="224"/>
      <c r="Z99" s="224"/>
      <c r="AA99" s="224"/>
    </row>
    <row r="100" spans="1:27" ht="15">
      <c r="A100" s="625"/>
      <c r="B100" s="625"/>
      <c r="C100" s="625"/>
      <c r="D100" s="625"/>
      <c r="E100" s="625"/>
      <c r="F100" s="625"/>
      <c r="G100" s="625"/>
      <c r="H100" s="625"/>
      <c r="I100" s="625"/>
      <c r="J100" s="625"/>
      <c r="K100" s="624"/>
      <c r="L100" s="624"/>
      <c r="M100" s="624"/>
      <c r="N100" s="624"/>
      <c r="O100" s="624"/>
      <c r="P100" s="624"/>
      <c r="Q100" s="624"/>
      <c r="R100" s="624"/>
      <c r="S100" s="625"/>
      <c r="T100" s="625"/>
      <c r="Y100" s="224"/>
      <c r="Z100" s="224"/>
      <c r="AA100" s="224"/>
    </row>
    <row r="101" spans="1:27" ht="15">
      <c r="A101" s="625"/>
      <c r="B101" s="625"/>
      <c r="C101" s="625"/>
      <c r="D101" s="625"/>
      <c r="E101" s="625"/>
      <c r="F101" s="625"/>
      <c r="G101" s="625"/>
      <c r="H101" s="625"/>
      <c r="I101" s="625"/>
      <c r="J101" s="625"/>
      <c r="K101" s="624"/>
      <c r="L101" s="624"/>
      <c r="M101" s="624"/>
      <c r="N101" s="624"/>
      <c r="O101" s="624"/>
      <c r="P101" s="624"/>
      <c r="Q101" s="624"/>
      <c r="R101" s="624"/>
      <c r="S101" s="625"/>
      <c r="T101" s="625"/>
    </row>
    <row r="102" spans="1:27" ht="15">
      <c r="A102" s="625"/>
      <c r="B102" s="625"/>
      <c r="C102" s="625"/>
      <c r="D102" s="625"/>
      <c r="E102" s="625"/>
      <c r="F102" s="625"/>
      <c r="G102" s="625"/>
      <c r="H102" s="625"/>
      <c r="I102" s="625"/>
      <c r="J102" s="625"/>
      <c r="K102" s="624"/>
      <c r="L102" s="624"/>
      <c r="M102" s="624"/>
      <c r="N102" s="624"/>
      <c r="O102" s="624"/>
      <c r="P102" s="624"/>
      <c r="Q102" s="624"/>
      <c r="R102" s="624"/>
      <c r="S102" s="625"/>
      <c r="T102" s="625"/>
    </row>
    <row r="103" spans="1:27" ht="15">
      <c r="A103" s="625"/>
      <c r="B103" s="625"/>
      <c r="C103" s="625"/>
      <c r="D103" s="625"/>
      <c r="E103" s="625"/>
      <c r="F103" s="625"/>
      <c r="G103" s="625"/>
      <c r="H103" s="625"/>
      <c r="I103" s="625"/>
      <c r="J103" s="625"/>
      <c r="K103" s="624"/>
      <c r="L103" s="624"/>
      <c r="M103" s="624"/>
      <c r="N103" s="624"/>
      <c r="O103" s="624"/>
      <c r="P103" s="624"/>
      <c r="Q103" s="624"/>
      <c r="R103" s="624"/>
      <c r="S103" s="625"/>
      <c r="T103" s="625"/>
    </row>
    <row r="104" spans="1:27" ht="15">
      <c r="A104" s="625"/>
      <c r="B104" s="625"/>
      <c r="C104" s="625"/>
      <c r="D104" s="625"/>
      <c r="E104" s="625"/>
      <c r="F104" s="625"/>
      <c r="G104" s="625"/>
      <c r="H104" s="625"/>
      <c r="I104" s="625"/>
      <c r="J104" s="625"/>
      <c r="K104" s="624"/>
      <c r="L104" s="624"/>
      <c r="M104" s="624"/>
      <c r="N104" s="624"/>
      <c r="O104" s="624"/>
      <c r="P104" s="624"/>
      <c r="Q104" s="624"/>
      <c r="R104" s="624"/>
      <c r="S104" s="625"/>
      <c r="T104" s="625"/>
    </row>
    <row r="105" spans="1:27" ht="15">
      <c r="A105" s="625"/>
      <c r="B105" s="625"/>
      <c r="C105" s="625"/>
      <c r="D105" s="625"/>
      <c r="E105" s="625"/>
      <c r="F105" s="625"/>
      <c r="G105" s="625"/>
      <c r="H105" s="625"/>
      <c r="I105" s="625"/>
      <c r="J105" s="625"/>
      <c r="K105" s="624"/>
      <c r="L105" s="624"/>
      <c r="M105" s="624"/>
      <c r="N105" s="624"/>
      <c r="O105" s="624"/>
      <c r="P105" s="624"/>
      <c r="Q105" s="624"/>
      <c r="R105" s="624"/>
      <c r="S105" s="625"/>
      <c r="T105" s="625"/>
    </row>
    <row r="106" spans="1:27" ht="15">
      <c r="A106" s="625"/>
      <c r="B106" s="625"/>
      <c r="C106" s="625"/>
      <c r="D106" s="625"/>
      <c r="E106" s="625"/>
      <c r="F106" s="625"/>
      <c r="G106" s="625"/>
      <c r="H106" s="625"/>
      <c r="I106" s="625"/>
      <c r="J106" s="625"/>
      <c r="K106" s="624"/>
      <c r="L106" s="624"/>
      <c r="M106" s="624"/>
      <c r="N106" s="624"/>
      <c r="O106" s="624"/>
      <c r="P106" s="624"/>
      <c r="Q106" s="624"/>
      <c r="R106" s="624"/>
      <c r="S106" s="625"/>
      <c r="T106" s="625"/>
    </row>
    <row r="107" spans="1:27" ht="15">
      <c r="A107" s="625"/>
      <c r="B107" s="625"/>
      <c r="C107" s="625"/>
      <c r="D107" s="625"/>
      <c r="E107" s="625"/>
      <c r="F107" s="625"/>
      <c r="G107" s="625"/>
      <c r="H107" s="625"/>
      <c r="I107" s="625"/>
      <c r="J107" s="625"/>
      <c r="K107" s="624"/>
      <c r="L107" s="624"/>
      <c r="M107" s="624"/>
      <c r="N107" s="624"/>
      <c r="O107" s="624"/>
      <c r="P107" s="624"/>
      <c r="Q107" s="624"/>
      <c r="R107" s="624"/>
      <c r="S107" s="625"/>
      <c r="T107" s="625"/>
    </row>
    <row r="108" spans="1:27" ht="15">
      <c r="A108" s="625"/>
      <c r="B108" s="625"/>
      <c r="C108" s="625"/>
      <c r="D108" s="625"/>
      <c r="E108" s="625"/>
      <c r="F108" s="625"/>
      <c r="G108" s="625"/>
      <c r="H108" s="625"/>
      <c r="I108" s="625"/>
      <c r="J108" s="625"/>
      <c r="K108" s="624"/>
      <c r="L108" s="624"/>
      <c r="M108" s="624"/>
      <c r="N108" s="624"/>
      <c r="O108" s="624"/>
      <c r="P108" s="624"/>
      <c r="Q108" s="624"/>
      <c r="R108" s="624"/>
      <c r="S108" s="625"/>
      <c r="T108" s="625"/>
    </row>
    <row r="109" spans="1:27" ht="15">
      <c r="A109" s="625"/>
      <c r="B109" s="625"/>
      <c r="C109" s="625"/>
      <c r="D109" s="625"/>
      <c r="E109" s="625"/>
      <c r="F109" s="625"/>
      <c r="G109" s="625"/>
      <c r="H109" s="625"/>
      <c r="I109" s="625"/>
      <c r="J109" s="625"/>
      <c r="K109" s="624"/>
      <c r="L109" s="624"/>
      <c r="M109" s="624"/>
      <c r="N109" s="624"/>
      <c r="O109" s="624"/>
      <c r="P109" s="624"/>
      <c r="Q109" s="624"/>
      <c r="R109" s="624"/>
      <c r="S109" s="625"/>
      <c r="T109" s="625"/>
    </row>
    <row r="110" spans="1:27" ht="15">
      <c r="A110" s="625"/>
      <c r="B110" s="625"/>
      <c r="C110" s="625"/>
      <c r="D110" s="625"/>
      <c r="E110" s="625"/>
      <c r="F110" s="625"/>
      <c r="G110" s="625"/>
      <c r="H110" s="625"/>
      <c r="I110" s="625"/>
      <c r="J110" s="625"/>
      <c r="K110" s="624"/>
      <c r="L110" s="624"/>
      <c r="M110" s="624"/>
      <c r="N110" s="624"/>
      <c r="O110" s="624"/>
      <c r="P110" s="624"/>
      <c r="Q110" s="624"/>
      <c r="R110" s="624"/>
      <c r="S110" s="625"/>
      <c r="T110" s="625"/>
    </row>
    <row r="111" spans="1:27" ht="15">
      <c r="A111" s="625"/>
      <c r="B111" s="625"/>
      <c r="C111" s="625"/>
      <c r="D111" s="625"/>
      <c r="E111" s="625"/>
      <c r="F111" s="625"/>
      <c r="G111" s="625"/>
      <c r="H111" s="625"/>
      <c r="I111" s="625"/>
      <c r="J111" s="625"/>
      <c r="K111" s="624"/>
      <c r="L111" s="624"/>
      <c r="M111" s="624"/>
      <c r="N111" s="624"/>
      <c r="O111" s="624"/>
      <c r="P111" s="624"/>
      <c r="Q111" s="624"/>
      <c r="R111" s="624"/>
      <c r="S111" s="625"/>
      <c r="T111" s="625"/>
    </row>
    <row r="112" spans="1:27" ht="15" customHeight="1">
      <c r="A112" s="338"/>
      <c r="B112" s="450"/>
      <c r="C112" s="451"/>
      <c r="D112" s="451"/>
      <c r="E112" s="451"/>
      <c r="F112" s="985" t="s">
        <v>1369</v>
      </c>
      <c r="G112" s="977"/>
      <c r="H112" s="977"/>
      <c r="I112" s="977"/>
      <c r="J112" s="977"/>
      <c r="K112" s="977"/>
      <c r="L112" s="977"/>
      <c r="M112" s="977"/>
      <c r="N112" s="977"/>
      <c r="O112" s="977"/>
      <c r="P112" s="977"/>
      <c r="Q112" s="977"/>
      <c r="R112" s="977"/>
      <c r="S112" s="977"/>
      <c r="T112" s="977"/>
      <c r="U112" s="622"/>
    </row>
    <row r="113" spans="1:21" ht="12.75" customHeight="1">
      <c r="A113" s="452"/>
      <c r="B113" s="451"/>
      <c r="C113" s="451"/>
      <c r="D113" s="451"/>
      <c r="E113" s="451"/>
      <c r="F113" s="985"/>
      <c r="G113" s="977"/>
      <c r="H113" s="977"/>
      <c r="I113" s="977"/>
      <c r="J113" s="977"/>
      <c r="K113" s="977"/>
      <c r="L113" s="977"/>
      <c r="M113" s="977"/>
      <c r="N113" s="977"/>
      <c r="O113" s="977"/>
      <c r="P113" s="977"/>
      <c r="Q113" s="977"/>
      <c r="R113" s="977"/>
      <c r="S113" s="977"/>
      <c r="T113" s="977"/>
      <c r="U113" s="622"/>
    </row>
    <row r="114" spans="1:21" ht="15" customHeight="1">
      <c r="A114" s="453"/>
      <c r="B114" s="451"/>
      <c r="C114" s="451"/>
      <c r="D114" s="451"/>
      <c r="E114" s="451"/>
      <c r="F114" s="985"/>
      <c r="G114" s="977"/>
      <c r="H114" s="977"/>
      <c r="I114" s="977"/>
      <c r="J114" s="977"/>
      <c r="K114" s="977"/>
      <c r="L114" s="977"/>
      <c r="M114" s="977"/>
      <c r="N114" s="977"/>
      <c r="O114" s="977"/>
      <c r="P114" s="977"/>
      <c r="Q114" s="977"/>
      <c r="R114" s="977"/>
      <c r="S114" s="977"/>
      <c r="T114" s="977"/>
      <c r="U114" s="622"/>
    </row>
    <row r="115" spans="1:21" customFormat="1" ht="12.75" customHeight="1">
      <c r="F115" s="985"/>
      <c r="G115" s="977"/>
      <c r="H115" s="977"/>
      <c r="I115" s="977"/>
      <c r="J115" s="977"/>
      <c r="K115" s="977"/>
      <c r="L115" s="977"/>
      <c r="M115" s="977"/>
      <c r="N115" s="977"/>
      <c r="O115" s="977"/>
      <c r="P115" s="977"/>
      <c r="Q115" s="977"/>
      <c r="R115" s="977"/>
      <c r="S115" s="977"/>
      <c r="T115" s="977"/>
      <c r="U115" s="173"/>
    </row>
    <row r="116" spans="1:21" customFormat="1" ht="4.5" customHeight="1">
      <c r="U116" s="173"/>
    </row>
    <row r="117" spans="1:21" ht="15" customHeight="1">
      <c r="A117" s="875" t="s">
        <v>1610</v>
      </c>
      <c r="B117" s="875"/>
      <c r="C117" s="875"/>
      <c r="D117" s="875"/>
      <c r="E117" s="875"/>
      <c r="F117" s="875"/>
      <c r="G117" s="875"/>
      <c r="H117" s="875"/>
      <c r="I117" s="875"/>
      <c r="J117" s="875"/>
      <c r="K117" s="875"/>
      <c r="L117" s="875"/>
      <c r="M117" s="875"/>
      <c r="N117" s="875"/>
      <c r="O117" s="875"/>
      <c r="P117" s="875"/>
      <c r="Q117" s="875"/>
      <c r="R117" s="875"/>
      <c r="S117" s="875"/>
      <c r="T117" s="875"/>
      <c r="U117" s="860"/>
    </row>
    <row r="118" spans="1:21" ht="15" customHeight="1">
      <c r="A118" s="875"/>
      <c r="B118" s="875"/>
      <c r="C118" s="875"/>
      <c r="D118" s="875"/>
      <c r="E118" s="875"/>
      <c r="F118" s="875"/>
      <c r="G118" s="875"/>
      <c r="H118" s="875"/>
      <c r="I118" s="875"/>
      <c r="J118" s="875"/>
      <c r="K118" s="875"/>
      <c r="L118" s="875"/>
      <c r="M118" s="875"/>
      <c r="N118" s="875"/>
      <c r="O118" s="875"/>
      <c r="P118" s="875"/>
      <c r="Q118" s="875"/>
      <c r="R118" s="875"/>
      <c r="S118" s="875"/>
      <c r="T118" s="875"/>
      <c r="U118" s="860"/>
    </row>
    <row r="119" spans="1:21" customFormat="1" ht="15">
      <c r="A119" s="460" t="s">
        <v>2028</v>
      </c>
      <c r="B119" s="436"/>
      <c r="C119" s="436"/>
      <c r="D119" s="436"/>
      <c r="E119" s="436"/>
      <c r="F119" s="460"/>
      <c r="G119" s="460"/>
      <c r="H119" s="460"/>
      <c r="I119" s="460"/>
      <c r="J119" s="460"/>
      <c r="K119" s="460"/>
      <c r="L119" s="460"/>
      <c r="M119" s="460"/>
      <c r="N119" s="460"/>
      <c r="O119" s="460"/>
      <c r="P119" s="460"/>
      <c r="R119" s="173"/>
      <c r="S119" s="173"/>
      <c r="T119" s="341"/>
    </row>
    <row r="120" spans="1:21" ht="8.25" customHeight="1">
      <c r="A120" s="208"/>
      <c r="B120" s="208"/>
      <c r="C120" s="208"/>
      <c r="D120" s="208"/>
      <c r="E120" s="208"/>
      <c r="F120" s="208"/>
      <c r="G120" s="838"/>
      <c r="H120" s="838"/>
      <c r="I120" s="838"/>
      <c r="J120" s="838"/>
      <c r="K120" s="208"/>
      <c r="L120" s="208"/>
      <c r="M120" s="324"/>
      <c r="N120" s="487"/>
      <c r="O120" s="487"/>
      <c r="P120" s="487"/>
      <c r="Q120" s="487"/>
      <c r="R120" s="439"/>
      <c r="S120" s="439"/>
    </row>
    <row r="121" spans="1:21" ht="15" customHeight="1">
      <c r="D121" s="837"/>
      <c r="E121" s="837"/>
      <c r="F121" s="837"/>
      <c r="G121" s="839" t="s">
        <v>2021</v>
      </c>
      <c r="H121" s="838"/>
      <c r="I121" s="838"/>
      <c r="J121" s="838"/>
      <c r="K121" s="324"/>
      <c r="L121" s="837"/>
      <c r="M121" s="837"/>
      <c r="N121" s="837"/>
      <c r="O121" s="839" t="s">
        <v>2021</v>
      </c>
      <c r="P121" s="838"/>
      <c r="Q121" s="838"/>
      <c r="R121" s="838"/>
      <c r="S121"/>
    </row>
    <row r="122" spans="1:21" ht="15">
      <c r="D122" s="1038" t="str">
        <f>'D_Ch2-2'!L99</f>
        <v>Rhône</v>
      </c>
      <c r="E122" s="1039"/>
      <c r="F122" s="1039"/>
      <c r="G122" s="1040"/>
      <c r="H122" s="1034">
        <f>VLOOKUP(D122,'D_Ch2-2'!$L$98:$Q$114,6,FALSE)</f>
        <v>363.01665004071663</v>
      </c>
      <c r="I122" s="1035"/>
      <c r="K122" s="324"/>
      <c r="L122" s="1052" t="str">
        <f>'D_Ch2-2'!L107</f>
        <v>France métro.</v>
      </c>
      <c r="M122" s="1053"/>
      <c r="N122" s="1053"/>
      <c r="O122" s="1054"/>
      <c r="P122" s="1051">
        <f>VLOOKUP($L122,'D_Ch2-2'!$L$98:$Q$114,6,FALSE)</f>
        <v>141.90631305080899</v>
      </c>
      <c r="Q122" s="1048"/>
      <c r="R122"/>
      <c r="S122"/>
    </row>
    <row r="123" spans="1:21" ht="15">
      <c r="D123" s="1038" t="str">
        <f>'D_Ch2-2'!L100</f>
        <v>Haute-Garonne</v>
      </c>
      <c r="E123" s="1039"/>
      <c r="F123" s="1039"/>
      <c r="G123" s="1040"/>
      <c r="H123" s="1034">
        <f>VLOOKUP($D123,'D_Ch2-2'!$L$98:$Q$114,6,FALSE)</f>
        <v>276.81590177862842</v>
      </c>
      <c r="I123" s="1035"/>
      <c r="K123" s="324"/>
      <c r="L123" s="1038" t="str">
        <f>'D_Ch2-2'!L108</f>
        <v>Isère</v>
      </c>
      <c r="M123" s="1039"/>
      <c r="N123" s="1039"/>
      <c r="O123" s="1040"/>
      <c r="P123" s="1034">
        <f>VLOOKUP($L123,'D_Ch2-2'!$L$98:$Q$114,6,FALSE)</f>
        <v>134.50097032552969</v>
      </c>
      <c r="Q123" s="1035"/>
      <c r="R123"/>
      <c r="S123"/>
    </row>
    <row r="124" spans="1:21" ht="15">
      <c r="D124" s="1038" t="str">
        <f>'D_Ch2-2'!L101</f>
        <v>Loire-Atlantique</v>
      </c>
      <c r="E124" s="1039"/>
      <c r="F124" s="1039"/>
      <c r="G124" s="1040"/>
      <c r="H124" s="1034">
        <f>VLOOKUP($D124,'D_Ch2-2'!$L$98:$Q$114,6,FALSE)</f>
        <v>221.22287268772513</v>
      </c>
      <c r="I124" s="1035"/>
      <c r="K124" s="324"/>
      <c r="L124" s="1038" t="str">
        <f>'D_Ch2-2'!L109</f>
        <v>Alpes-Maritimes</v>
      </c>
      <c r="M124" s="1039"/>
      <c r="N124" s="1039"/>
      <c r="O124" s="1040"/>
      <c r="P124" s="1034">
        <f>VLOOKUP($L124,'D_Ch2-2'!$L$98:$Q$114,6,FALSE)</f>
        <v>129.12842729893325</v>
      </c>
      <c r="Q124" s="1035"/>
      <c r="R124"/>
      <c r="S124"/>
    </row>
    <row r="125" spans="1:21" ht="15">
      <c r="D125" s="1038" t="str">
        <f>'D_Ch2-2'!L102</f>
        <v>Bouches-du-Rhône</v>
      </c>
      <c r="E125" s="1039"/>
      <c r="F125" s="1039"/>
      <c r="G125" s="1040"/>
      <c r="H125" s="1034">
        <f>VLOOKUP($D125,'D_Ch2-2'!$L$98:$Q$114,6,FALSE)</f>
        <v>189.19199574556322</v>
      </c>
      <c r="I125" s="1035"/>
      <c r="K125" s="324"/>
      <c r="L125" s="1038" t="str">
        <f>'D_Ch2-2'!L110</f>
        <v>Seine-Maritime</v>
      </c>
      <c r="M125" s="1039"/>
      <c r="N125" s="1039"/>
      <c r="O125" s="1040"/>
      <c r="P125" s="1034">
        <f>VLOOKUP($L125,'D_Ch2-2'!$L$98:$Q$114,6,FALSE)</f>
        <v>121.96536081854892</v>
      </c>
      <c r="Q125" s="1035"/>
      <c r="R125"/>
      <c r="S125"/>
    </row>
    <row r="126" spans="1:21" ht="15">
      <c r="D126" s="1038" t="str">
        <f>'D_Ch2-2'!L103</f>
        <v>Gironde</v>
      </c>
      <c r="E126" s="1039"/>
      <c r="F126" s="1039"/>
      <c r="G126" s="1040"/>
      <c r="H126" s="1034">
        <f>VLOOKUP($D126,'D_Ch2-2'!$L$98:$Q$114,6,FALSE)</f>
        <v>162.78592180823551</v>
      </c>
      <c r="I126" s="1035"/>
      <c r="K126" s="324"/>
      <c r="L126" s="1038" t="str">
        <f>'D_Ch2-2'!L111</f>
        <v>Hérault</v>
      </c>
      <c r="M126" s="1039"/>
      <c r="N126" s="1039"/>
      <c r="O126" s="1040"/>
      <c r="P126" s="1034">
        <f>VLOOKUP($L126,'D_Ch2-2'!$L$98:$Q$114,6,FALSE)</f>
        <v>112.6997940062387</v>
      </c>
      <c r="Q126" s="1035"/>
      <c r="R126"/>
      <c r="S126"/>
    </row>
    <row r="127" spans="1:21" ht="15">
      <c r="D127" s="1038" t="str">
        <f>'D_Ch2-2'!L104</f>
        <v>Ille-et-Vilaine</v>
      </c>
      <c r="E127" s="1039"/>
      <c r="F127" s="1039"/>
      <c r="G127" s="1040"/>
      <c r="H127" s="1034">
        <f>VLOOKUP($D127,'D_Ch2-2'!$L$98:$Q$114,6,FALSE)</f>
        <v>149.52103568768598</v>
      </c>
      <c r="I127" s="1035"/>
      <c r="K127" s="324"/>
      <c r="L127" s="1038" t="str">
        <f>'D_Ch2-2'!L112</f>
        <v>Vaucluse</v>
      </c>
      <c r="M127" s="1039"/>
      <c r="N127" s="1039"/>
      <c r="O127" s="1040"/>
      <c r="P127" s="1034">
        <f>VLOOKUP($L127,'D_Ch2-2'!$L$98:$Q$114,6,FALSE)</f>
        <v>97.499134126344089</v>
      </c>
      <c r="Q127" s="1035"/>
      <c r="R127"/>
      <c r="S127"/>
    </row>
    <row r="128" spans="1:21" ht="15">
      <c r="D128" s="1038" t="str">
        <f>'D_Ch2-2'!L105</f>
        <v>Nord</v>
      </c>
      <c r="E128" s="1039"/>
      <c r="F128" s="1039"/>
      <c r="G128" s="1040"/>
      <c r="H128" s="1034">
        <f>VLOOKUP($D128,'D_Ch2-2'!$L$98:$Q$114,6,FALSE)</f>
        <v>148.51761743528516</v>
      </c>
      <c r="I128" s="1035"/>
      <c r="K128" s="324"/>
      <c r="L128" s="1038" t="str">
        <f>'D_Ch2-2'!L113</f>
        <v>Var</v>
      </c>
      <c r="M128" s="1039"/>
      <c r="N128" s="1039"/>
      <c r="O128" s="1040"/>
      <c r="P128" s="1034">
        <f>VLOOKUP($L128,'D_Ch2-2'!$L$98:$Q$114,6,FALSE)</f>
        <v>63.098372525135943</v>
      </c>
      <c r="Q128" s="1035"/>
      <c r="R128"/>
      <c r="S128"/>
    </row>
    <row r="129" spans="1:25" ht="15">
      <c r="D129" s="1038" t="str">
        <f>'D_Ch2-2'!L106</f>
        <v>Bas-Rhin</v>
      </c>
      <c r="E129" s="1039"/>
      <c r="F129" s="1039"/>
      <c r="G129" s="1040"/>
      <c r="H129" s="1034">
        <f>VLOOKUP($D129,'D_Ch2-2'!$L$98:$Q$114,6,FALSE)</f>
        <v>145.00988329926741</v>
      </c>
      <c r="I129" s="1035"/>
      <c r="K129" s="324"/>
      <c r="L129" s="1038" t="str">
        <f>'D_Ch2-2'!L114</f>
        <v>Pas-de-Calais</v>
      </c>
      <c r="M129" s="1039"/>
      <c r="N129" s="1039"/>
      <c r="O129" s="1040"/>
      <c r="P129" s="1034">
        <f>VLOOKUP($L129,'D_Ch2-2'!$L$98:$Q$114,6,FALSE)</f>
        <v>40.760952942068286</v>
      </c>
      <c r="Q129" s="1035"/>
      <c r="R129"/>
      <c r="S129"/>
    </row>
    <row r="130" spans="1:25" ht="15">
      <c r="D130" s="841"/>
      <c r="E130" s="841"/>
      <c r="F130" s="841"/>
      <c r="G130" s="841"/>
      <c r="H130" s="842"/>
      <c r="I130" s="834"/>
      <c r="K130" s="324"/>
      <c r="L130" s="841"/>
      <c r="M130" s="841"/>
      <c r="N130" s="841"/>
      <c r="O130" s="841"/>
      <c r="P130" s="842"/>
      <c r="Q130" s="834"/>
      <c r="R130"/>
      <c r="S130"/>
    </row>
    <row r="131" spans="1:25" ht="15">
      <c r="A131" s="460" t="s">
        <v>2029</v>
      </c>
      <c r="B131" s="436"/>
      <c r="C131" s="436"/>
      <c r="D131" s="436"/>
      <c r="E131" s="436"/>
      <c r="F131" s="436"/>
      <c r="G131" s="436"/>
      <c r="H131" s="436"/>
      <c r="I131" s="208"/>
      <c r="J131" s="208"/>
      <c r="K131" s="208"/>
      <c r="L131" s="208"/>
      <c r="M131" s="208"/>
      <c r="N131" s="208"/>
      <c r="O131" s="208"/>
      <c r="P131" s="208"/>
      <c r="Q131" s="208"/>
      <c r="R131" s="208"/>
      <c r="S131" s="208"/>
      <c r="T131" s="208"/>
    </row>
    <row r="132" spans="1:25">
      <c r="A132" s="208"/>
      <c r="B132" s="208"/>
      <c r="C132" s="208"/>
      <c r="D132" s="208"/>
      <c r="E132" s="208"/>
      <c r="F132" s="208"/>
      <c r="G132" s="208"/>
      <c r="H132" s="208"/>
      <c r="I132" s="208"/>
      <c r="J132" s="208"/>
      <c r="K132" s="208"/>
      <c r="L132" s="208"/>
      <c r="M132" s="208"/>
      <c r="N132" s="208"/>
      <c r="O132" s="208"/>
      <c r="P132" s="208"/>
      <c r="Q132" s="208"/>
      <c r="R132" s="208"/>
      <c r="S132" s="208"/>
      <c r="T132" s="439"/>
      <c r="U132" s="439"/>
    </row>
    <row r="133" spans="1:25" ht="15">
      <c r="K133" s="324"/>
      <c r="L133" s="324"/>
      <c r="M133" s="208"/>
      <c r="N133" s="208"/>
      <c r="O133" s="208"/>
      <c r="P133" s="208"/>
      <c r="Q133" s="208"/>
      <c r="R133" s="208"/>
      <c r="S133" s="208"/>
      <c r="T133" s="208"/>
      <c r="U133" s="341"/>
    </row>
    <row r="134" spans="1:25" ht="15">
      <c r="K134" s="324"/>
      <c r="L134" s="324"/>
      <c r="M134" s="208"/>
      <c r="N134" s="208"/>
      <c r="O134" s="208"/>
      <c r="P134" s="208"/>
      <c r="Q134" s="208"/>
      <c r="R134" s="208"/>
      <c r="S134" s="208"/>
      <c r="T134" s="208"/>
      <c r="U134" s="341"/>
    </row>
    <row r="135" spans="1:25" ht="15">
      <c r="K135" s="324"/>
      <c r="L135" s="324"/>
      <c r="M135" s="208"/>
      <c r="N135" s="208"/>
      <c r="O135" s="208"/>
      <c r="P135" s="208"/>
      <c r="Q135" s="208"/>
      <c r="R135" s="208"/>
      <c r="S135" s="208"/>
      <c r="T135" s="208"/>
      <c r="U135" s="341"/>
    </row>
    <row r="136" spans="1:25">
      <c r="A136" s="208"/>
      <c r="B136" s="208"/>
      <c r="C136" s="208"/>
      <c r="D136" s="208"/>
      <c r="E136" s="208"/>
      <c r="F136" s="208"/>
      <c r="G136" s="208"/>
      <c r="H136" s="208"/>
      <c r="I136" s="208"/>
      <c r="J136" s="208"/>
      <c r="K136" s="208"/>
      <c r="L136" s="208"/>
      <c r="M136" s="208"/>
      <c r="N136" s="208"/>
      <c r="O136" s="208"/>
      <c r="P136" s="208"/>
      <c r="Q136" s="208"/>
      <c r="R136" s="208"/>
      <c r="S136" s="208"/>
      <c r="T136" s="208"/>
      <c r="U136" s="341"/>
    </row>
    <row r="137" spans="1:25" ht="15">
      <c r="K137" s="324"/>
      <c r="L137" s="324"/>
      <c r="M137" s="208"/>
      <c r="N137" s="208"/>
      <c r="O137" s="208"/>
      <c r="P137" s="208"/>
      <c r="Q137" s="208"/>
      <c r="R137" s="208"/>
      <c r="S137" s="208"/>
      <c r="T137" s="208"/>
      <c r="U137" s="341"/>
    </row>
    <row r="138" spans="1:25">
      <c r="A138" s="208"/>
      <c r="B138" s="208"/>
      <c r="C138" s="208"/>
      <c r="D138" s="208"/>
      <c r="E138" s="208"/>
      <c r="F138" s="208"/>
      <c r="G138" s="208"/>
      <c r="H138" s="208"/>
      <c r="I138" s="208"/>
      <c r="J138" s="208"/>
      <c r="K138" s="208"/>
      <c r="L138" s="208"/>
      <c r="M138" s="208"/>
      <c r="N138" s="208"/>
      <c r="O138" s="208"/>
      <c r="P138" s="208"/>
      <c r="Q138" s="208"/>
      <c r="R138" s="208"/>
      <c r="S138" s="208"/>
      <c r="T138" s="208"/>
      <c r="U138" s="341"/>
    </row>
    <row r="139" spans="1:25">
      <c r="A139" s="208"/>
      <c r="B139" s="208"/>
      <c r="C139" s="208"/>
      <c r="D139" s="208"/>
      <c r="E139" s="208"/>
      <c r="F139" s="208"/>
      <c r="G139" s="208"/>
      <c r="H139" s="208"/>
      <c r="I139" s="208"/>
      <c r="J139" s="208"/>
      <c r="K139" s="208"/>
      <c r="L139" s="208"/>
      <c r="M139" s="208"/>
      <c r="N139" s="208"/>
      <c r="O139" s="208"/>
      <c r="P139" s="208"/>
      <c r="Q139" s="208"/>
      <c r="R139" s="208"/>
      <c r="S139" s="208"/>
      <c r="T139" s="208"/>
      <c r="U139" s="341"/>
    </row>
    <row r="140" spans="1:25">
      <c r="A140" s="208"/>
      <c r="B140" s="208"/>
      <c r="C140" s="208"/>
      <c r="D140" s="208"/>
      <c r="E140" s="208"/>
      <c r="F140" s="208"/>
      <c r="G140" s="208"/>
      <c r="H140" s="208"/>
      <c r="I140" s="208"/>
      <c r="J140" s="208"/>
      <c r="K140" s="208"/>
      <c r="L140" s="208"/>
      <c r="M140" s="208"/>
      <c r="N140" s="208"/>
      <c r="O140" s="208"/>
      <c r="P140" s="208"/>
      <c r="Q140" s="208"/>
      <c r="R140" s="208"/>
      <c r="S140" s="208"/>
      <c r="T140" s="208"/>
      <c r="U140" s="341"/>
    </row>
    <row r="141" spans="1:25">
      <c r="A141" s="208"/>
      <c r="B141" s="208"/>
      <c r="C141" s="208"/>
      <c r="D141" s="208"/>
      <c r="E141" s="208"/>
      <c r="F141" s="208"/>
      <c r="G141" s="208"/>
      <c r="H141" s="208"/>
      <c r="I141" s="208"/>
      <c r="J141" s="208"/>
      <c r="K141" s="208"/>
      <c r="L141" s="208"/>
      <c r="M141" s="208"/>
      <c r="N141" s="208"/>
      <c r="O141" s="208"/>
      <c r="P141" s="208"/>
      <c r="Q141" s="208"/>
      <c r="R141" s="208"/>
      <c r="S141" s="208"/>
      <c r="T141" s="208"/>
      <c r="U141" s="341"/>
    </row>
    <row r="142" spans="1:25">
      <c r="A142" s="208"/>
      <c r="B142" s="208"/>
      <c r="C142" s="208"/>
      <c r="D142" s="208"/>
      <c r="E142" s="208"/>
      <c r="F142" s="208"/>
      <c r="G142" s="208"/>
      <c r="H142" s="208"/>
      <c r="I142" s="208"/>
      <c r="J142" s="208"/>
      <c r="K142" s="208"/>
      <c r="L142" s="208"/>
      <c r="M142" s="208"/>
      <c r="N142" s="208"/>
      <c r="O142" s="208"/>
      <c r="P142" s="208"/>
      <c r="Q142" s="208"/>
      <c r="R142" s="208"/>
      <c r="S142" s="208"/>
      <c r="T142" s="208"/>
      <c r="U142" s="341"/>
    </row>
    <row r="143" spans="1:25">
      <c r="A143" s="208"/>
      <c r="B143" s="208"/>
      <c r="C143" s="208"/>
      <c r="D143" s="208"/>
      <c r="E143" s="208"/>
      <c r="F143" s="208"/>
      <c r="G143" s="208"/>
      <c r="H143" s="208"/>
      <c r="I143" s="208"/>
      <c r="J143" s="208"/>
      <c r="K143" s="208"/>
      <c r="L143" s="208"/>
      <c r="M143" s="208"/>
      <c r="N143" s="208"/>
      <c r="O143" s="208"/>
      <c r="P143" s="208"/>
      <c r="Q143" s="208"/>
      <c r="R143" s="208"/>
      <c r="S143" s="208"/>
      <c r="T143" s="208"/>
      <c r="U143" s="341"/>
      <c r="Y143" s="225"/>
    </row>
    <row r="144" spans="1:25">
      <c r="A144" s="208"/>
      <c r="B144" s="208"/>
      <c r="C144" s="208"/>
      <c r="D144" s="208"/>
      <c r="E144" s="208"/>
      <c r="F144" s="208"/>
      <c r="G144" s="208"/>
      <c r="H144" s="208"/>
      <c r="I144" s="208"/>
      <c r="J144" s="208"/>
      <c r="K144" s="208"/>
      <c r="L144" s="208"/>
      <c r="M144" s="208"/>
      <c r="N144" s="208"/>
      <c r="O144" s="208"/>
      <c r="P144" s="208"/>
      <c r="Q144" s="208"/>
      <c r="R144" s="208"/>
      <c r="S144" s="208"/>
      <c r="T144" s="208"/>
      <c r="U144" s="341"/>
    </row>
    <row r="145" spans="1:21">
      <c r="A145" s="208"/>
      <c r="B145" s="208"/>
      <c r="C145" s="208"/>
      <c r="D145" s="208"/>
      <c r="E145" s="208"/>
      <c r="F145" s="208"/>
      <c r="G145" s="208"/>
      <c r="H145" s="208"/>
      <c r="I145" s="208"/>
      <c r="J145" s="208"/>
      <c r="K145" s="208"/>
      <c r="L145" s="208"/>
      <c r="M145" s="208"/>
      <c r="N145" s="208"/>
      <c r="O145" s="208"/>
      <c r="P145" s="208"/>
      <c r="Q145" s="208"/>
      <c r="R145" s="208"/>
      <c r="S145" s="208"/>
      <c r="T145" s="208"/>
      <c r="U145" s="341"/>
    </row>
    <row r="146" spans="1:21">
      <c r="A146" s="208"/>
      <c r="B146" s="208"/>
      <c r="C146" s="208"/>
      <c r="D146" s="208"/>
      <c r="E146" s="208"/>
      <c r="F146" s="208"/>
      <c r="G146" s="208"/>
      <c r="H146" s="208"/>
      <c r="I146" s="208"/>
      <c r="J146" s="208"/>
      <c r="K146" s="208"/>
      <c r="L146" s="208"/>
      <c r="M146" s="208"/>
      <c r="N146" s="208"/>
      <c r="O146" s="208"/>
      <c r="P146" s="208"/>
      <c r="Q146" s="208"/>
      <c r="R146" s="208"/>
      <c r="S146" s="208"/>
      <c r="T146" s="208"/>
      <c r="U146" s="341"/>
    </row>
    <row r="147" spans="1:21" ht="15">
      <c r="A147" s="208"/>
      <c r="B147" s="208"/>
      <c r="C147" s="208"/>
      <c r="D147" s="208"/>
      <c r="E147" s="208"/>
      <c r="F147" s="208"/>
      <c r="G147" s="208"/>
      <c r="H147" s="208"/>
      <c r="I147" s="208"/>
      <c r="J147" s="208"/>
      <c r="K147" s="208"/>
      <c r="L147" s="208"/>
      <c r="M147" s="208"/>
      <c r="N147" s="208"/>
      <c r="O147" s="208"/>
      <c r="P147" s="208"/>
      <c r="Q147" s="208"/>
      <c r="R147" s="208"/>
      <c r="S147"/>
    </row>
    <row r="148" spans="1:21" ht="15">
      <c r="A148" s="208"/>
      <c r="B148" s="208"/>
      <c r="C148" s="208"/>
      <c r="D148" s="208"/>
      <c r="E148" s="208"/>
      <c r="F148" s="208"/>
      <c r="G148" s="208"/>
      <c r="H148" s="208"/>
      <c r="I148" s="208"/>
      <c r="J148" s="208"/>
      <c r="K148" s="208"/>
      <c r="L148" s="208"/>
      <c r="M148" s="208"/>
      <c r="N148" s="208"/>
      <c r="O148" s="208"/>
      <c r="P148" s="208"/>
      <c r="Q148" s="208"/>
      <c r="R148" s="208"/>
      <c r="S148"/>
    </row>
    <row r="149" spans="1:21" ht="15">
      <c r="A149" s="460"/>
      <c r="B149" s="436"/>
      <c r="C149" s="436"/>
      <c r="D149" s="436"/>
      <c r="E149" s="436"/>
      <c r="F149" s="436"/>
      <c r="G149" s="436"/>
      <c r="H149" s="436"/>
      <c r="I149" s="436"/>
      <c r="J149" s="436"/>
      <c r="K149" s="436"/>
      <c r="L149" s="436"/>
      <c r="M149" s="208"/>
      <c r="N149" s="436"/>
      <c r="O149" s="436"/>
      <c r="P149" s="436"/>
      <c r="Q149" s="436"/>
      <c r="R149" s="436"/>
      <c r="S149"/>
    </row>
    <row r="150" spans="1:21" ht="15">
      <c r="A150" s="208"/>
      <c r="B150" s="436"/>
      <c r="C150" s="436"/>
      <c r="D150" s="436"/>
      <c r="E150" s="436"/>
      <c r="F150" s="436"/>
      <c r="G150" s="436"/>
      <c r="H150" s="436"/>
      <c r="I150" s="436"/>
      <c r="J150" s="436"/>
      <c r="K150" s="436"/>
      <c r="L150" s="436"/>
      <c r="M150" s="208"/>
      <c r="N150" s="436"/>
      <c r="O150" s="436"/>
      <c r="P150" s="436"/>
      <c r="Q150" s="436"/>
      <c r="R150" s="436"/>
      <c r="S150" s="208"/>
      <c r="T150" s="208"/>
    </row>
    <row r="151" spans="1:21" ht="15">
      <c r="A151" s="460" t="s">
        <v>1828</v>
      </c>
      <c r="B151" s="436"/>
      <c r="C151" s="436"/>
      <c r="D151" s="436"/>
      <c r="E151" s="436"/>
      <c r="F151" s="436"/>
      <c r="G151" s="436"/>
      <c r="H151" s="436"/>
      <c r="I151" s="436"/>
      <c r="J151" s="436"/>
      <c r="K151" s="436"/>
      <c r="L151" s="436"/>
      <c r="M151" s="208"/>
      <c r="N151" s="436"/>
      <c r="O151" s="436"/>
      <c r="P151" s="436"/>
      <c r="Q151" s="436"/>
      <c r="R151" s="436"/>
    </row>
    <row r="152" spans="1:21" ht="15">
      <c r="K152" s="324"/>
      <c r="M152" s="208"/>
      <c r="N152" s="840" t="s">
        <v>1439</v>
      </c>
      <c r="O152" s="463" t="s">
        <v>2022</v>
      </c>
      <c r="R152" s="324"/>
    </row>
    <row r="153" spans="1:21" ht="15">
      <c r="K153" s="324"/>
      <c r="M153" s="208"/>
      <c r="N153" s="821" t="s">
        <v>1438</v>
      </c>
      <c r="O153" s="463" t="s">
        <v>1592</v>
      </c>
      <c r="R153" s="324"/>
    </row>
    <row r="154" spans="1:21" ht="15">
      <c r="K154" s="324"/>
      <c r="M154" s="208"/>
      <c r="N154" s="822" t="s">
        <v>1440</v>
      </c>
      <c r="O154" s="463" t="s">
        <v>950</v>
      </c>
      <c r="R154" s="324"/>
    </row>
    <row r="155" spans="1:21" ht="15">
      <c r="K155" s="324"/>
      <c r="M155" s="208"/>
      <c r="N155" s="823" t="s">
        <v>1441</v>
      </c>
      <c r="O155" s="463" t="s">
        <v>951</v>
      </c>
      <c r="Q155" s="324"/>
      <c r="R155" s="324"/>
    </row>
    <row r="156" spans="1:21" ht="15">
      <c r="K156" s="324"/>
      <c r="M156" s="208"/>
      <c r="N156" s="824" t="s">
        <v>1442</v>
      </c>
      <c r="O156" s="463" t="s">
        <v>956</v>
      </c>
      <c r="Q156" s="324"/>
      <c r="R156" s="324"/>
    </row>
    <row r="157" spans="1:21" ht="15">
      <c r="K157" s="324"/>
      <c r="M157" s="208"/>
      <c r="N157" s="825" t="s">
        <v>1443</v>
      </c>
      <c r="O157" s="463" t="s">
        <v>952</v>
      </c>
      <c r="Q157" s="324"/>
      <c r="R157" s="324"/>
    </row>
    <row r="158" spans="1:21" ht="15">
      <c r="K158" s="324"/>
      <c r="M158" s="208"/>
      <c r="N158" s="826" t="s">
        <v>1444</v>
      </c>
      <c r="O158" s="463" t="s">
        <v>958</v>
      </c>
      <c r="Q158" s="324"/>
      <c r="R158" s="324"/>
    </row>
    <row r="159" spans="1:21" ht="15">
      <c r="K159" s="324"/>
      <c r="M159" s="208"/>
      <c r="N159" s="827" t="s">
        <v>1445</v>
      </c>
      <c r="O159" s="463" t="s">
        <v>726</v>
      </c>
      <c r="Q159" s="324"/>
      <c r="R159" s="324"/>
    </row>
    <row r="160" spans="1:21" ht="15">
      <c r="K160" s="324"/>
      <c r="M160" s="208"/>
      <c r="N160" s="828" t="s">
        <v>1451</v>
      </c>
      <c r="O160" s="463" t="s">
        <v>953</v>
      </c>
      <c r="Q160" s="324"/>
      <c r="R160" s="324"/>
    </row>
    <row r="161" spans="1:24" ht="15">
      <c r="K161" s="324"/>
      <c r="M161" s="208"/>
      <c r="N161" s="829" t="s">
        <v>1446</v>
      </c>
      <c r="O161" s="463" t="s">
        <v>1593</v>
      </c>
      <c r="Q161" s="324"/>
      <c r="R161" s="324"/>
    </row>
    <row r="162" spans="1:24" ht="15">
      <c r="K162" s="324"/>
      <c r="M162" s="208"/>
      <c r="N162" s="830" t="s">
        <v>1447</v>
      </c>
      <c r="O162" s="463" t="s">
        <v>957</v>
      </c>
      <c r="Q162" s="324"/>
      <c r="R162" s="324"/>
    </row>
    <row r="163" spans="1:24" ht="15">
      <c r="K163" s="324"/>
      <c r="M163" s="208"/>
      <c r="N163" s="831" t="s">
        <v>1448</v>
      </c>
      <c r="O163" s="463" t="s">
        <v>954</v>
      </c>
      <c r="Q163" s="324"/>
      <c r="R163" s="324"/>
    </row>
    <row r="164" spans="1:24" ht="15">
      <c r="K164" s="324"/>
      <c r="M164" s="208"/>
      <c r="N164" s="832" t="s">
        <v>1449</v>
      </c>
      <c r="O164" s="463" t="s">
        <v>1594</v>
      </c>
      <c r="Q164" s="324"/>
    </row>
    <row r="165" spans="1:24" ht="15">
      <c r="K165" s="324"/>
      <c r="M165" s="208"/>
      <c r="N165" s="833" t="s">
        <v>1450</v>
      </c>
      <c r="O165" s="463" t="s">
        <v>955</v>
      </c>
      <c r="Q165" s="324"/>
    </row>
    <row r="166" spans="1:24" ht="15">
      <c r="K166" s="324"/>
      <c r="M166" s="208"/>
      <c r="N166" s="208"/>
      <c r="O166" s="208"/>
      <c r="P166" s="208"/>
      <c r="Q166" s="208"/>
      <c r="R166" s="208"/>
      <c r="S166" s="208"/>
      <c r="T166" s="208"/>
    </row>
    <row r="167" spans="1:24" ht="15" customHeight="1">
      <c r="A167" s="338"/>
      <c r="B167" s="450"/>
      <c r="C167" s="451"/>
      <c r="D167" s="451"/>
      <c r="E167" s="451"/>
      <c r="F167" s="1036" t="s">
        <v>1369</v>
      </c>
      <c r="G167" s="1037"/>
      <c r="H167" s="1037"/>
      <c r="I167" s="1037"/>
      <c r="J167" s="1037"/>
      <c r="K167" s="1037"/>
      <c r="L167" s="1037"/>
      <c r="M167" s="1037"/>
      <c r="N167" s="1037"/>
      <c r="O167" s="1037"/>
      <c r="P167" s="1037"/>
      <c r="Q167" s="1037"/>
      <c r="R167" s="1037"/>
      <c r="S167" s="1037"/>
      <c r="T167" s="1037"/>
      <c r="U167" s="862"/>
    </row>
    <row r="168" spans="1:24" ht="12.75" customHeight="1">
      <c r="A168" s="452"/>
      <c r="B168" s="451"/>
      <c r="C168" s="451"/>
      <c r="D168" s="451"/>
      <c r="E168" s="451"/>
      <c r="F168" s="1036"/>
      <c r="G168" s="1037"/>
      <c r="H168" s="1037"/>
      <c r="I168" s="1037"/>
      <c r="J168" s="1037"/>
      <c r="K168" s="1037"/>
      <c r="L168" s="1037"/>
      <c r="M168" s="1037"/>
      <c r="N168" s="1037"/>
      <c r="O168" s="1037"/>
      <c r="P168" s="1037"/>
      <c r="Q168" s="1037"/>
      <c r="R168" s="1037"/>
      <c r="S168" s="1037"/>
      <c r="T168" s="1037"/>
      <c r="U168" s="862"/>
    </row>
    <row r="169" spans="1:24" ht="15" customHeight="1">
      <c r="A169" s="453"/>
      <c r="B169" s="451"/>
      <c r="C169" s="451"/>
      <c r="D169" s="451"/>
      <c r="E169" s="451"/>
      <c r="F169" s="1036"/>
      <c r="G169" s="1037"/>
      <c r="H169" s="1037"/>
      <c r="I169" s="1037"/>
      <c r="J169" s="1037"/>
      <c r="K169" s="1037"/>
      <c r="L169" s="1037"/>
      <c r="M169" s="1037"/>
      <c r="N169" s="1037"/>
      <c r="O169" s="1037"/>
      <c r="P169" s="1037"/>
      <c r="Q169" s="1037"/>
      <c r="R169" s="1037"/>
      <c r="S169" s="1037"/>
      <c r="T169" s="1037"/>
      <c r="U169" s="862"/>
    </row>
    <row r="170" spans="1:24" customFormat="1" ht="12.75" customHeight="1">
      <c r="F170" s="1036"/>
      <c r="G170" s="1037"/>
      <c r="H170" s="1037"/>
      <c r="I170" s="1037"/>
      <c r="J170" s="1037"/>
      <c r="K170" s="1037"/>
      <c r="L170" s="1037"/>
      <c r="M170" s="1037"/>
      <c r="N170" s="1037"/>
      <c r="O170" s="1037"/>
      <c r="P170" s="1037"/>
      <c r="Q170" s="1037"/>
      <c r="R170" s="1037"/>
      <c r="S170" s="1037"/>
      <c r="T170" s="1037"/>
      <c r="U170" s="173"/>
    </row>
    <row r="171" spans="1:24" customFormat="1" ht="4.5" customHeight="1">
      <c r="U171" s="173"/>
    </row>
    <row r="172" spans="1:24" ht="15" customHeight="1">
      <c r="A172" s="875" t="s">
        <v>1610</v>
      </c>
      <c r="B172" s="875"/>
      <c r="C172" s="875"/>
      <c r="D172" s="875"/>
      <c r="E172" s="875"/>
      <c r="F172" s="875"/>
      <c r="G172" s="875"/>
      <c r="H172" s="875"/>
      <c r="I172" s="875"/>
      <c r="J172" s="875"/>
      <c r="K172" s="875"/>
      <c r="L172" s="875"/>
      <c r="M172" s="875"/>
      <c r="N172" s="875"/>
      <c r="O172" s="875"/>
      <c r="P172" s="875"/>
      <c r="Q172" s="875"/>
      <c r="R172" s="875"/>
      <c r="S172" s="875"/>
      <c r="T172" s="875"/>
      <c r="U172" s="860"/>
    </row>
    <row r="173" spans="1:24" ht="15" customHeight="1">
      <c r="A173" s="875"/>
      <c r="B173" s="875"/>
      <c r="C173" s="875"/>
      <c r="D173" s="875"/>
      <c r="E173" s="875"/>
      <c r="F173" s="875"/>
      <c r="G173" s="875"/>
      <c r="H173" s="875"/>
      <c r="I173" s="875"/>
      <c r="J173" s="875"/>
      <c r="K173" s="875"/>
      <c r="L173" s="875"/>
      <c r="M173" s="875"/>
      <c r="N173" s="875"/>
      <c r="O173" s="875"/>
      <c r="P173" s="875"/>
      <c r="Q173" s="875"/>
      <c r="R173" s="875"/>
      <c r="S173" s="875"/>
      <c r="T173" s="875"/>
      <c r="U173" s="860"/>
    </row>
    <row r="174" spans="1:24" customFormat="1" ht="6.75" customHeight="1">
      <c r="A174" s="324"/>
      <c r="B174" s="324"/>
      <c r="C174" s="324"/>
      <c r="D174" s="324"/>
      <c r="E174" s="324"/>
      <c r="F174" s="324"/>
      <c r="G174" s="324"/>
      <c r="H174" s="324"/>
      <c r="I174" s="324"/>
      <c r="J174" s="324"/>
      <c r="K174" s="324"/>
      <c r="L174" s="324"/>
      <c r="M174" s="324"/>
      <c r="N174" s="324"/>
      <c r="O174" s="324"/>
      <c r="P174" s="324"/>
      <c r="Q174" s="324"/>
      <c r="R174" s="324"/>
      <c r="S174" s="324"/>
      <c r="T174" s="324"/>
    </row>
    <row r="175" spans="1:24" ht="15.75" thickBot="1">
      <c r="A175" s="460" t="s">
        <v>987</v>
      </c>
      <c r="B175" s="436"/>
      <c r="C175" s="436"/>
      <c r="D175" s="436"/>
      <c r="E175" s="436"/>
      <c r="F175" s="436"/>
      <c r="L175" s="324"/>
      <c r="O175" s="324"/>
      <c r="R175" s="173"/>
    </row>
    <row r="176" spans="1:24" ht="16.5" thickTop="1" thickBot="1">
      <c r="A176"/>
      <c r="B176"/>
      <c r="C176" s="583"/>
      <c r="D176"/>
      <c r="E176"/>
      <c r="F176" s="583"/>
      <c r="I176" s="581"/>
      <c r="J176" s="1042" t="s">
        <v>1479</v>
      </c>
      <c r="K176" s="1042"/>
      <c r="L176" s="1042"/>
      <c r="N176" s="1043" t="s">
        <v>17</v>
      </c>
      <c r="O176" s="1044"/>
      <c r="P176" s="1045"/>
      <c r="R176" s="1043" t="s">
        <v>21</v>
      </c>
      <c r="S176" s="1044"/>
      <c r="T176" s="1045"/>
      <c r="U176"/>
      <c r="V176"/>
      <c r="W176"/>
      <c r="X176"/>
    </row>
    <row r="177" spans="1:32" ht="14.25" customHeight="1" thickTop="1" thickBot="1">
      <c r="A177" s="449"/>
      <c r="B177" s="464"/>
      <c r="C177" s="464"/>
      <c r="D177" s="1041" t="s">
        <v>2019</v>
      </c>
      <c r="E177" s="1041"/>
      <c r="F177" s="1041"/>
      <c r="G177" s="1041"/>
      <c r="H177" s="464"/>
      <c r="I177" s="464"/>
      <c r="J177" s="464"/>
      <c r="K177" s="464"/>
      <c r="L177" s="1043" t="s">
        <v>6</v>
      </c>
      <c r="M177" s="1044"/>
      <c r="N177" s="1045"/>
      <c r="O177" s="464"/>
      <c r="P177" s="464"/>
      <c r="Q177" s="1043" t="s">
        <v>27</v>
      </c>
      <c r="R177" s="1044"/>
      <c r="S177" s="1045"/>
      <c r="T177" s="464"/>
      <c r="U177"/>
      <c r="V177"/>
      <c r="W177"/>
      <c r="X177"/>
      <c r="Y177" s="230"/>
      <c r="Z177" s="230"/>
      <c r="AA177" s="230"/>
      <c r="AB177" s="230"/>
      <c r="AC177" s="230"/>
      <c r="AD177" s="230"/>
      <c r="AE177" s="230"/>
      <c r="AF177" s="227"/>
    </row>
    <row r="178" spans="1:32" ht="16.5" customHeight="1" thickTop="1">
      <c r="A178" s="424"/>
      <c r="B178" s="424"/>
      <c r="C178" s="424"/>
      <c r="D178" s="1041"/>
      <c r="E178" s="1041"/>
      <c r="F178" s="1041"/>
      <c r="G178" s="1041"/>
      <c r="H178" s="424"/>
      <c r="I178" s="424"/>
      <c r="J178" s="449"/>
      <c r="K178" s="449"/>
      <c r="O178" s="449"/>
      <c r="P178" s="449"/>
      <c r="T178" s="449"/>
      <c r="U178" s="227"/>
      <c r="X178" s="227"/>
      <c r="Y178" s="227"/>
      <c r="Z178" s="227"/>
      <c r="AA178" s="227"/>
      <c r="AB178" s="227"/>
      <c r="AC178" s="227"/>
      <c r="AD178" s="227"/>
      <c r="AE178" s="227"/>
      <c r="AF178" s="227"/>
    </row>
    <row r="179" spans="1:32">
      <c r="A179" s="1029" t="s">
        <v>89</v>
      </c>
      <c r="B179" s="1029"/>
      <c r="C179" s="1029"/>
      <c r="D179" s="836"/>
      <c r="E179" s="1031">
        <f>VLOOKUP(A179,'D_Ch2-2'!$B$6:$AH$22,MATCH("16-T3",'D_Ch2-2'!$6:$6,)-1,FALSE)</f>
        <v>0.11699999999999999</v>
      </c>
      <c r="F179" s="1031"/>
      <c r="G179" s="424"/>
      <c r="H179" s="424"/>
      <c r="I179" s="424"/>
      <c r="J179" s="449"/>
      <c r="K179" s="449"/>
      <c r="L179" s="449"/>
      <c r="M179" s="449"/>
      <c r="N179" s="449"/>
      <c r="O179" s="449"/>
      <c r="P179" s="449"/>
      <c r="Q179" s="449"/>
      <c r="R179" s="449"/>
      <c r="S179" s="449"/>
      <c r="T179" s="449"/>
      <c r="U179" s="227"/>
      <c r="V179" s="227"/>
      <c r="W179" s="227"/>
      <c r="X179" s="227"/>
      <c r="Y179" s="227"/>
      <c r="Z179" s="227"/>
      <c r="AA179" s="227"/>
      <c r="AB179" s="227"/>
      <c r="AC179" s="227"/>
      <c r="AD179" s="227"/>
      <c r="AE179" s="227"/>
      <c r="AF179" s="227"/>
    </row>
    <row r="180" spans="1:32">
      <c r="A180" s="1029" t="s">
        <v>6</v>
      </c>
      <c r="B180" s="1029"/>
      <c r="C180" s="1029"/>
      <c r="D180" s="836"/>
      <c r="E180" s="1031">
        <f>VLOOKUP(A180,'D_Ch2-2'!$B$6:$AH$22,MATCH("16-T3",'D_Ch2-2'!$6:$6,)-1,FALSE)</f>
        <v>9.6999999999999989E-2</v>
      </c>
      <c r="F180" s="1031"/>
      <c r="G180" s="424"/>
      <c r="H180" s="424"/>
      <c r="I180" s="424"/>
      <c r="J180" s="449"/>
      <c r="K180" s="449"/>
      <c r="L180" s="449"/>
      <c r="M180" s="449"/>
      <c r="N180" s="449"/>
      <c r="O180" s="449"/>
      <c r="P180" s="449"/>
      <c r="Q180" s="449"/>
      <c r="R180" s="449"/>
      <c r="S180" s="449"/>
      <c r="T180" s="449"/>
      <c r="U180" s="227"/>
      <c r="V180" s="227"/>
      <c r="W180" s="227"/>
      <c r="X180" s="227"/>
      <c r="Y180" s="227"/>
      <c r="Z180" s="227"/>
      <c r="AA180" s="227"/>
      <c r="AB180" s="227"/>
      <c r="AC180" s="227"/>
      <c r="AD180" s="227"/>
      <c r="AE180" s="227"/>
      <c r="AF180" s="227"/>
    </row>
    <row r="181" spans="1:32">
      <c r="A181" s="1029" t="s">
        <v>8</v>
      </c>
      <c r="B181" s="1029"/>
      <c r="C181" s="1029"/>
      <c r="D181" s="836"/>
      <c r="E181" s="1031">
        <f>VLOOKUP(A181,'D_Ch2-2'!$B$6:$AH$22,MATCH("16-T3",'D_Ch2-2'!$6:$6,)-1,FALSE)</f>
        <v>7.8E-2</v>
      </c>
      <c r="F181" s="1031"/>
      <c r="G181" s="424"/>
      <c r="H181" s="424"/>
      <c r="I181" s="424"/>
      <c r="J181" s="449"/>
      <c r="K181" s="449"/>
      <c r="L181" s="449"/>
      <c r="M181" s="449"/>
      <c r="N181" s="449"/>
      <c r="O181" s="449"/>
      <c r="P181" s="449"/>
      <c r="Q181" s="449"/>
      <c r="R181" s="449"/>
      <c r="S181" s="449"/>
      <c r="T181" s="449"/>
      <c r="U181" s="227"/>
      <c r="V181" s="227"/>
      <c r="W181" s="227"/>
      <c r="X181" s="227"/>
      <c r="Y181" s="227"/>
      <c r="Z181" s="227"/>
      <c r="AA181" s="227"/>
      <c r="AB181" s="227"/>
      <c r="AC181" s="227"/>
      <c r="AD181" s="227"/>
      <c r="AE181" s="227"/>
      <c r="AF181" s="227"/>
    </row>
    <row r="182" spans="1:32">
      <c r="A182" s="1029" t="s">
        <v>1426</v>
      </c>
      <c r="B182" s="1029"/>
      <c r="C182" s="1029"/>
      <c r="D182" s="836"/>
      <c r="E182" s="1031">
        <f>VLOOKUP(A182,'D_Ch2-2'!$B$6:$AH$22,MATCH("16-T3",'D_Ch2-2'!$6:$6,)-1,FALSE)</f>
        <v>0.16500000000000001</v>
      </c>
      <c r="F182" s="1031"/>
      <c r="G182" s="424"/>
      <c r="H182" s="424"/>
      <c r="I182" s="424"/>
      <c r="J182" s="449"/>
      <c r="K182" s="449"/>
      <c r="L182" s="449"/>
      <c r="M182" s="449"/>
      <c r="N182" s="449"/>
      <c r="O182" s="449"/>
      <c r="P182" s="449"/>
      <c r="Q182" s="449"/>
      <c r="R182" s="449"/>
      <c r="S182" s="449"/>
      <c r="T182" s="449"/>
      <c r="U182" s="227"/>
      <c r="V182" s="227"/>
      <c r="W182" s="227"/>
      <c r="X182" s="227"/>
      <c r="Y182" s="227"/>
      <c r="Z182" s="227"/>
      <c r="AA182" s="227"/>
      <c r="AB182" s="227"/>
      <c r="AC182" s="227"/>
      <c r="AD182" s="227"/>
      <c r="AE182" s="227"/>
      <c r="AF182" s="227"/>
    </row>
    <row r="183" spans="1:32">
      <c r="A183" s="1029" t="s">
        <v>10</v>
      </c>
      <c r="B183" s="1029"/>
      <c r="C183" s="1029"/>
      <c r="D183" s="422"/>
      <c r="E183" s="1031">
        <f>VLOOKUP(A183,'D_Ch2-2'!$B$6:$AH$22,MATCH("16-T3",'D_Ch2-2'!$6:$6,)-1,FALSE)</f>
        <v>0.109</v>
      </c>
      <c r="F183" s="1031"/>
      <c r="G183" s="424"/>
      <c r="H183" s="424"/>
      <c r="I183" s="424"/>
      <c r="J183" s="449"/>
      <c r="K183" s="449"/>
      <c r="L183" s="449"/>
      <c r="M183" s="449"/>
      <c r="N183" s="449"/>
      <c r="O183" s="449"/>
      <c r="P183" s="449"/>
      <c r="Q183" s="449"/>
      <c r="R183" s="449"/>
      <c r="S183" s="449"/>
      <c r="T183" s="449"/>
      <c r="U183" s="227"/>
      <c r="V183" s="227"/>
      <c r="W183" s="227"/>
      <c r="X183" s="227"/>
      <c r="Y183" s="227"/>
      <c r="Z183" s="227"/>
      <c r="AA183" s="227"/>
      <c r="AB183" s="227"/>
      <c r="AC183" s="227"/>
      <c r="AD183" s="227"/>
      <c r="AE183" s="227"/>
      <c r="AF183" s="227"/>
    </row>
    <row r="184" spans="1:32">
      <c r="A184" s="1029" t="s">
        <v>12</v>
      </c>
      <c r="B184" s="1029"/>
      <c r="C184" s="1029"/>
      <c r="D184" s="422"/>
      <c r="E184" s="1031">
        <f>VLOOKUP(A184,'D_Ch2-2'!$B$6:$AH$22,MATCH("16-T3",'D_Ch2-2'!$6:$6,)-1,FALSE)</f>
        <v>9.0999999999999998E-2</v>
      </c>
      <c r="F184" s="1031"/>
      <c r="G184" s="424"/>
      <c r="H184" s="424"/>
      <c r="I184" s="424"/>
      <c r="J184" s="449"/>
      <c r="K184" s="449"/>
      <c r="L184" s="449"/>
      <c r="M184" s="449"/>
      <c r="N184" s="449"/>
      <c r="O184" s="449"/>
      <c r="P184" s="449"/>
      <c r="Q184" s="449"/>
      <c r="R184" s="449"/>
      <c r="S184" s="449"/>
      <c r="T184" s="449"/>
      <c r="U184" s="227"/>
      <c r="V184" s="227"/>
      <c r="W184" s="227"/>
      <c r="X184" s="227"/>
      <c r="Y184" s="227"/>
      <c r="Z184" s="227"/>
      <c r="AA184" s="227"/>
      <c r="AB184" s="227"/>
      <c r="AC184" s="227"/>
      <c r="AD184" s="227"/>
      <c r="AE184" s="227"/>
      <c r="AF184" s="227"/>
    </row>
    <row r="185" spans="1:32">
      <c r="A185" s="1029" t="s">
        <v>1427</v>
      </c>
      <c r="B185" s="1029"/>
      <c r="C185" s="1029"/>
      <c r="D185" s="422"/>
      <c r="E185" s="1031">
        <f>VLOOKUP(A185,'D_Ch2-2'!$B$6:$AH$22,MATCH("16-T3",'D_Ch2-2'!$6:$6,)-1,FALSE)</f>
        <v>0.125</v>
      </c>
      <c r="F185" s="1031"/>
      <c r="G185" s="424"/>
      <c r="H185" s="424"/>
      <c r="I185" s="424"/>
      <c r="J185" s="449"/>
      <c r="K185" s="449"/>
      <c r="L185" s="449"/>
      <c r="M185" s="449"/>
      <c r="N185" s="449"/>
      <c r="O185" s="449"/>
      <c r="P185" s="449"/>
      <c r="Q185" s="449"/>
      <c r="R185" s="449"/>
      <c r="S185" s="449"/>
      <c r="T185" s="449"/>
      <c r="U185" s="227"/>
      <c r="V185" s="227"/>
      <c r="W185" s="227"/>
      <c r="X185" s="227"/>
      <c r="Y185" s="227"/>
      <c r="Z185" s="227"/>
      <c r="AA185" s="227"/>
      <c r="AB185" s="227"/>
      <c r="AC185" s="227"/>
      <c r="AD185" s="227"/>
      <c r="AE185" s="227"/>
      <c r="AF185" s="227"/>
    </row>
    <row r="186" spans="1:32">
      <c r="A186" s="1029" t="s">
        <v>15</v>
      </c>
      <c r="B186" s="1029"/>
      <c r="C186" s="1029"/>
      <c r="D186" s="422"/>
      <c r="E186" s="1031">
        <f>VLOOKUP(A186,'D_Ch2-2'!$B$6:$AH$22,MATCH("16-T3",'D_Ch2-2'!$6:$6,)-1,FALSE)</f>
        <v>0.13500000000000001</v>
      </c>
      <c r="F186" s="1031"/>
      <c r="G186" s="424"/>
      <c r="H186" s="424"/>
      <c r="I186" s="424"/>
    </row>
    <row r="187" spans="1:32">
      <c r="A187" s="1029" t="s">
        <v>17</v>
      </c>
      <c r="B187" s="1029"/>
      <c r="C187" s="1029"/>
      <c r="D187" s="422"/>
      <c r="E187" s="1031">
        <f>VLOOKUP(A187,'D_Ch2-2'!$B$6:$AH$22,MATCH("16-T3",'D_Ch2-2'!$6:$6,)-1,FALSE)</f>
        <v>8.1000000000000003E-2</v>
      </c>
      <c r="F187" s="1031"/>
      <c r="G187" s="424"/>
      <c r="H187" s="424"/>
      <c r="I187" s="424"/>
    </row>
    <row r="188" spans="1:32" ht="15">
      <c r="A188" s="1029" t="s">
        <v>19</v>
      </c>
      <c r="B188" s="1029"/>
      <c r="C188" s="1029"/>
      <c r="D188" s="422"/>
      <c r="E188" s="1031">
        <f>VLOOKUP(A188,'D_Ch2-2'!$B$6:$AH$22,MATCH("16-T3",'D_Ch2-2'!$6:$6,)-1,FALSE)</f>
        <v>0.10300000000000001</v>
      </c>
      <c r="F188" s="1031"/>
      <c r="G188" s="424"/>
      <c r="H188" s="424"/>
      <c r="I188" s="424"/>
      <c r="K188" s="324"/>
      <c r="L188" s="324"/>
      <c r="M188" s="324"/>
      <c r="N188" s="324"/>
      <c r="O188" s="324"/>
      <c r="P188" s="324"/>
    </row>
    <row r="189" spans="1:32" ht="15">
      <c r="A189" s="1029" t="s">
        <v>21</v>
      </c>
      <c r="B189" s="1029"/>
      <c r="C189" s="1029"/>
      <c r="D189" s="422"/>
      <c r="E189" s="1031">
        <f>VLOOKUP(A189,'D_Ch2-2'!$B$6:$AH$22,MATCH("16-T3",'D_Ch2-2'!$6:$6,)-1,FALSE)</f>
        <v>7.8E-2</v>
      </c>
      <c r="F189" s="1031"/>
      <c r="G189" s="424"/>
      <c r="H189" s="424"/>
      <c r="I189" s="424"/>
      <c r="K189" s="324"/>
      <c r="L189" s="324"/>
      <c r="M189" s="324"/>
      <c r="N189" s="324"/>
      <c r="O189" s="324"/>
      <c r="P189" s="324"/>
    </row>
    <row r="190" spans="1:32" ht="15">
      <c r="A190" s="1029" t="s">
        <v>23</v>
      </c>
      <c r="B190" s="1029"/>
      <c r="C190" s="1029"/>
      <c r="D190" s="422"/>
      <c r="E190" s="1031">
        <f>VLOOKUP(A190,'D_Ch2-2'!$B$6:$AH$22,MATCH("16-T3",'D_Ch2-2'!$6:$6,)-1,FALSE)</f>
        <v>0.107</v>
      </c>
      <c r="F190" s="1031"/>
      <c r="G190" s="424"/>
      <c r="H190" s="424"/>
      <c r="I190" s="424"/>
      <c r="K190" s="324"/>
      <c r="L190" s="324"/>
      <c r="M190" s="324"/>
      <c r="N190" s="324"/>
      <c r="O190" s="324"/>
      <c r="P190" s="324"/>
    </row>
    <row r="191" spans="1:32" ht="15">
      <c r="A191" s="1029" t="s">
        <v>25</v>
      </c>
      <c r="B191" s="1029"/>
      <c r="C191" s="1029"/>
      <c r="D191" s="422"/>
      <c r="E191" s="1031">
        <f>VLOOKUP(A191,'D_Ch2-2'!$B$6:$AH$22,MATCH("16-T3",'D_Ch2-2'!$6:$6,)-1,FALSE)</f>
        <v>0.1</v>
      </c>
      <c r="F191" s="1031"/>
      <c r="G191" s="424"/>
      <c r="H191" s="424"/>
      <c r="I191" s="424"/>
      <c r="K191" s="324"/>
      <c r="L191" s="324"/>
      <c r="M191" s="324"/>
      <c r="N191" s="324"/>
      <c r="O191" s="324"/>
      <c r="P191" s="324"/>
    </row>
    <row r="192" spans="1:32" ht="15">
      <c r="A192" s="1029" t="s">
        <v>55</v>
      </c>
      <c r="B192" s="1029"/>
      <c r="C192" s="1029"/>
      <c r="D192" s="422"/>
      <c r="E192" s="1031">
        <f>VLOOKUP(A192,'D_Ch2-2'!$B$6:$AH$22,MATCH("16-T3",'D_Ch2-2'!$6:$6,)-1,FALSE)</f>
        <v>0.107</v>
      </c>
      <c r="F192" s="1031"/>
      <c r="G192" s="424"/>
      <c r="H192" s="424"/>
      <c r="I192" s="424"/>
      <c r="K192" s="324"/>
      <c r="L192" s="324"/>
      <c r="M192" s="324"/>
      <c r="N192" s="324"/>
      <c r="O192" s="324"/>
      <c r="P192" s="324"/>
    </row>
    <row r="193" spans="1:19" ht="15">
      <c r="A193" s="1030" t="s">
        <v>27</v>
      </c>
      <c r="B193" s="1030"/>
      <c r="C193" s="1030"/>
      <c r="D193" s="422"/>
      <c r="E193" s="1031">
        <f>VLOOKUP(A193,'D_Ch2-2'!$B$6:$AH$22,MATCH("16-T3",'D_Ch2-2'!$6:$6,)-1,FALSE)</f>
        <v>0.10099999999999999</v>
      </c>
      <c r="F193" s="1031"/>
      <c r="G193" s="424"/>
      <c r="H193" s="424"/>
      <c r="I193" s="424"/>
      <c r="K193" s="324"/>
      <c r="L193" s="324"/>
      <c r="M193" s="324"/>
      <c r="N193" s="324"/>
      <c r="O193" s="324"/>
      <c r="P193" s="324"/>
    </row>
    <row r="194" spans="1:19" ht="15">
      <c r="A194" s="483" t="s">
        <v>1479</v>
      </c>
      <c r="B194" s="420"/>
      <c r="C194" s="420"/>
      <c r="D194" s="420"/>
      <c r="E194" s="1033">
        <f>VLOOKUP(A194,'D_Ch2-2'!$B$6:$AH$22,MATCH("16-T3",'D_Ch2-2'!$6:$6,)-1,FALSE)</f>
        <v>9.6999999999999989E-2</v>
      </c>
      <c r="F194" s="1033"/>
      <c r="K194" s="324"/>
      <c r="L194" s="324"/>
      <c r="M194" s="324"/>
      <c r="N194" s="324"/>
      <c r="O194" s="324"/>
      <c r="P194" s="324"/>
    </row>
    <row r="195" spans="1:19" ht="10.5" customHeight="1">
      <c r="M195" s="461"/>
      <c r="N195" s="461"/>
      <c r="O195" s="324"/>
      <c r="P195" s="324"/>
      <c r="Q195" s="439"/>
    </row>
    <row r="196" spans="1:19" ht="15">
      <c r="A196" s="435" t="s">
        <v>2030</v>
      </c>
      <c r="K196" s="324"/>
      <c r="L196" s="324"/>
      <c r="M196" s="324"/>
      <c r="N196" s="324"/>
      <c r="O196" s="324"/>
      <c r="P196" s="324"/>
    </row>
    <row r="197" spans="1:19" ht="15">
      <c r="K197" s="324"/>
      <c r="L197" s="324"/>
      <c r="M197" s="324"/>
      <c r="N197" s="324"/>
      <c r="O197" s="324"/>
      <c r="P197" s="435" t="s">
        <v>70</v>
      </c>
    </row>
    <row r="198" spans="1:19" ht="15">
      <c r="K198" s="324"/>
      <c r="L198" s="324"/>
      <c r="M198" s="324"/>
      <c r="N198" s="324"/>
      <c r="O198" s="465"/>
      <c r="P198" s="466"/>
      <c r="Q198" s="466" t="s">
        <v>990</v>
      </c>
      <c r="R198" s="466"/>
      <c r="S198" s="467"/>
    </row>
    <row r="199" spans="1:19" ht="15">
      <c r="K199" s="324"/>
      <c r="L199" s="324"/>
      <c r="M199" s="324"/>
      <c r="N199" s="324"/>
      <c r="O199" s="468"/>
      <c r="P199" s="469" t="s">
        <v>1826</v>
      </c>
      <c r="Q199" s="469"/>
      <c r="R199" s="469"/>
      <c r="S199" s="470"/>
    </row>
    <row r="200" spans="1:19" ht="15">
      <c r="K200" s="324"/>
      <c r="L200" s="324"/>
      <c r="M200" s="324"/>
      <c r="N200" s="324"/>
      <c r="O200" s="471"/>
      <c r="P200" s="472" t="s">
        <v>991</v>
      </c>
      <c r="Q200" s="864">
        <f>'D_Ch2-2'!B56</f>
        <v>-9.058417549913729E-2</v>
      </c>
      <c r="R200" s="1032"/>
      <c r="S200" s="865"/>
    </row>
    <row r="201" spans="1:19" ht="15">
      <c r="K201" s="324"/>
      <c r="L201" s="324"/>
      <c r="M201" s="324"/>
      <c r="N201" s="324"/>
      <c r="O201" s="473"/>
      <c r="P201" s="474" t="s">
        <v>121</v>
      </c>
      <c r="Q201" s="864">
        <f>'D_Ch2-2'!C56</f>
        <v>-3.2958297664180014E-2</v>
      </c>
      <c r="R201" s="1032"/>
      <c r="S201" s="865"/>
    </row>
    <row r="202" spans="1:19" ht="15">
      <c r="K202" s="324"/>
      <c r="L202" s="324"/>
      <c r="M202" s="324"/>
      <c r="N202" s="324"/>
      <c r="O202" s="473"/>
      <c r="P202" s="474" t="s">
        <v>992</v>
      </c>
      <c r="Q202" s="864">
        <f>'D_Ch2-2'!D56</f>
        <v>1.9349526554137506E-2</v>
      </c>
      <c r="R202" s="1032"/>
      <c r="S202" s="865"/>
    </row>
    <row r="203" spans="1:19" ht="15">
      <c r="K203" s="324"/>
      <c r="L203" s="324"/>
      <c r="M203" s="324"/>
      <c r="N203" s="324"/>
      <c r="O203" s="324"/>
      <c r="P203" s="324"/>
    </row>
    <row r="204" spans="1:19" ht="15">
      <c r="K204" s="324"/>
      <c r="L204" s="324"/>
      <c r="M204" s="324"/>
      <c r="N204" s="324"/>
      <c r="O204" s="324"/>
      <c r="P204" s="324"/>
    </row>
    <row r="205" spans="1:19" ht="15">
      <c r="K205" s="324"/>
      <c r="L205" s="324"/>
      <c r="M205" s="324"/>
      <c r="N205" s="324"/>
      <c r="O205" s="324"/>
      <c r="P205" s="324"/>
    </row>
    <row r="206" spans="1:19" ht="15">
      <c r="K206" s="324"/>
      <c r="L206" s="324"/>
      <c r="M206" s="324"/>
      <c r="N206" s="324"/>
      <c r="O206" s="324"/>
      <c r="P206" s="324"/>
    </row>
    <row r="207" spans="1:19" ht="15">
      <c r="K207" s="324"/>
      <c r="L207" s="324"/>
      <c r="M207" s="324"/>
      <c r="N207" s="324"/>
      <c r="O207" s="324"/>
      <c r="P207" s="324"/>
    </row>
    <row r="208" spans="1:19" ht="15">
      <c r="M208" s="324"/>
      <c r="N208" s="324"/>
      <c r="O208" s="324"/>
      <c r="P208" s="324"/>
      <c r="Q208" s="439"/>
    </row>
    <row r="209" spans="1:19" ht="15">
      <c r="A209" s="435" t="s">
        <v>1611</v>
      </c>
      <c r="K209" s="324"/>
      <c r="L209" s="324"/>
      <c r="M209" s="324"/>
      <c r="N209" s="324"/>
      <c r="O209" s="324"/>
      <c r="P209" s="435" t="s">
        <v>70</v>
      </c>
    </row>
    <row r="210" spans="1:19" ht="15">
      <c r="K210" s="324"/>
      <c r="L210" s="324"/>
      <c r="M210" s="324"/>
      <c r="N210" s="324"/>
      <c r="O210" s="465"/>
      <c r="P210" s="466"/>
      <c r="Q210" s="466" t="s">
        <v>990</v>
      </c>
      <c r="R210" s="466"/>
      <c r="S210" s="467"/>
    </row>
    <row r="211" spans="1:19" ht="15">
      <c r="K211" s="324"/>
      <c r="L211" s="324"/>
      <c r="M211" s="324"/>
      <c r="N211" s="324"/>
      <c r="O211" s="468"/>
      <c r="P211" s="469" t="s">
        <v>1826</v>
      </c>
      <c r="Q211" s="469"/>
      <c r="R211" s="469"/>
      <c r="S211" s="470"/>
    </row>
    <row r="212" spans="1:19" ht="15">
      <c r="K212" s="324"/>
      <c r="L212" s="324"/>
      <c r="M212" s="324"/>
      <c r="N212" s="324"/>
      <c r="O212" s="473"/>
      <c r="P212" s="475" t="s">
        <v>124</v>
      </c>
      <c r="Q212" s="864">
        <f>'D_Ch2-2'!F56</f>
        <v>-2.9233314947600661E-2</v>
      </c>
      <c r="R212" s="1032"/>
      <c r="S212" s="865"/>
    </row>
    <row r="213" spans="1:19" ht="15">
      <c r="K213" s="324"/>
      <c r="L213" s="324"/>
      <c r="M213" s="324"/>
      <c r="N213" s="324"/>
      <c r="O213" s="473"/>
      <c r="P213" s="474" t="s">
        <v>989</v>
      </c>
      <c r="Q213" s="864">
        <f>'D_Ch2-2'!H56</f>
        <v>-4.3830715044445689E-2</v>
      </c>
      <c r="R213" s="1032"/>
      <c r="S213" s="865"/>
    </row>
    <row r="214" spans="1:19" ht="15">
      <c r="K214" s="324"/>
      <c r="L214" s="324"/>
      <c r="M214" s="324"/>
      <c r="N214" s="324"/>
      <c r="O214" s="473"/>
      <c r="P214" s="474" t="s">
        <v>993</v>
      </c>
      <c r="Q214" s="864">
        <f>'D_Ch2-2'!I56</f>
        <v>-1.6736401673640166E-2</v>
      </c>
      <c r="R214" s="1032"/>
      <c r="S214" s="865"/>
    </row>
    <row r="215" spans="1:19" ht="15">
      <c r="K215" s="324"/>
      <c r="L215" s="324"/>
      <c r="M215" s="324"/>
      <c r="N215" s="324"/>
      <c r="O215" s="324"/>
    </row>
    <row r="216" spans="1:19" ht="15">
      <c r="K216" s="324"/>
      <c r="L216" s="324"/>
      <c r="M216" s="324"/>
      <c r="N216" s="324"/>
      <c r="O216" s="324"/>
    </row>
    <row r="217" spans="1:19" ht="15">
      <c r="K217" s="324"/>
      <c r="L217" s="324"/>
      <c r="M217" s="324"/>
      <c r="N217" s="324"/>
      <c r="O217" s="324"/>
    </row>
    <row r="218" spans="1:19" ht="15">
      <c r="K218" s="324"/>
      <c r="L218" s="324"/>
      <c r="M218" s="324"/>
      <c r="N218" s="324"/>
      <c r="O218" s="324"/>
    </row>
    <row r="219" spans="1:19" ht="15">
      <c r="K219" s="324"/>
      <c r="L219" s="324"/>
      <c r="M219" s="324"/>
      <c r="N219" s="324"/>
      <c r="O219" s="324"/>
    </row>
    <row r="220" spans="1:19" ht="15">
      <c r="K220" s="324"/>
      <c r="L220" s="324"/>
      <c r="M220" s="324"/>
      <c r="N220" s="324"/>
      <c r="O220" s="324"/>
    </row>
    <row r="221" spans="1:19" ht="18.75" customHeight="1">
      <c r="K221" s="324"/>
      <c r="L221" s="324"/>
      <c r="M221" s="324"/>
      <c r="N221" s="324"/>
      <c r="O221" s="324"/>
    </row>
    <row r="222" spans="1:19" ht="15" hidden="1">
      <c r="K222" s="324"/>
      <c r="L222" s="324"/>
      <c r="M222" s="324"/>
      <c r="N222" s="324"/>
      <c r="O222" s="324"/>
    </row>
    <row r="223" spans="1:19" ht="15" hidden="1">
      <c r="K223" s="324"/>
      <c r="L223" s="324"/>
      <c r="M223" s="324"/>
      <c r="N223" s="324"/>
      <c r="O223" s="324"/>
    </row>
    <row r="224" spans="1:19" ht="15" hidden="1">
      <c r="K224" s="324"/>
      <c r="L224" s="324"/>
      <c r="M224" s="324"/>
      <c r="N224" s="324"/>
      <c r="O224" s="324"/>
    </row>
    <row r="225" spans="11:15" ht="15" hidden="1">
      <c r="K225" s="324"/>
      <c r="L225" s="324"/>
      <c r="M225" s="324"/>
      <c r="N225" s="324"/>
      <c r="O225" s="324"/>
    </row>
    <row r="226" spans="11:15" ht="15" hidden="1">
      <c r="K226" s="324"/>
      <c r="L226" s="324"/>
      <c r="M226" s="324"/>
      <c r="N226" s="324"/>
      <c r="O226" s="324"/>
    </row>
    <row r="227" spans="11:15" ht="15" hidden="1">
      <c r="K227" s="324"/>
      <c r="L227" s="324"/>
      <c r="M227" s="324"/>
      <c r="N227" s="324"/>
      <c r="O227" s="324"/>
    </row>
    <row r="228" spans="11:15" ht="15" hidden="1">
      <c r="K228" s="324"/>
      <c r="L228" s="324"/>
      <c r="M228" s="324"/>
      <c r="N228" s="324"/>
      <c r="O228" s="324"/>
    </row>
    <row r="229" spans="11:15" ht="15" hidden="1">
      <c r="K229" s="324"/>
      <c r="L229" s="324"/>
      <c r="M229" s="324"/>
      <c r="N229" s="324"/>
      <c r="O229" s="324"/>
    </row>
    <row r="230" spans="11:15" ht="15" hidden="1">
      <c r="K230" s="324"/>
      <c r="L230" s="324"/>
      <c r="M230" s="324"/>
      <c r="N230" s="324"/>
      <c r="O230" s="324"/>
    </row>
    <row r="231" spans="11:15" ht="15" hidden="1">
      <c r="K231" s="324"/>
      <c r="L231" s="324"/>
      <c r="M231" s="324"/>
      <c r="N231" s="324"/>
      <c r="O231" s="324"/>
    </row>
    <row r="232" spans="11:15" ht="15" hidden="1">
      <c r="K232" s="324"/>
      <c r="L232" s="324"/>
      <c r="M232" s="324"/>
      <c r="N232" s="324"/>
      <c r="O232" s="324"/>
    </row>
    <row r="233" spans="11:15" ht="15" hidden="1">
      <c r="K233" s="324"/>
      <c r="L233" s="324"/>
      <c r="M233" s="324"/>
      <c r="N233" s="324"/>
      <c r="O233" s="324"/>
    </row>
    <row r="234" spans="11:15" ht="15" hidden="1">
      <c r="K234" s="324"/>
      <c r="L234" s="324"/>
      <c r="M234" s="324"/>
      <c r="N234" s="324"/>
      <c r="O234" s="324"/>
    </row>
    <row r="235" spans="11:15" ht="15" hidden="1">
      <c r="K235" s="324"/>
      <c r="L235" s="324"/>
      <c r="M235" s="324"/>
      <c r="N235" s="324"/>
      <c r="O235" s="324"/>
    </row>
    <row r="236" spans="11:15" ht="15" hidden="1">
      <c r="K236" s="324"/>
      <c r="L236" s="324"/>
      <c r="M236" s="324"/>
      <c r="N236" s="324"/>
      <c r="O236" s="324"/>
    </row>
    <row r="237" spans="11:15" ht="15" hidden="1">
      <c r="K237" s="324"/>
      <c r="L237" s="324"/>
      <c r="M237" s="324"/>
      <c r="N237" s="324"/>
      <c r="O237" s="324"/>
    </row>
    <row r="238" spans="11:15" ht="15" hidden="1">
      <c r="K238" s="324"/>
      <c r="L238" s="324"/>
      <c r="M238" s="324"/>
      <c r="N238" s="324"/>
      <c r="O238" s="324"/>
    </row>
    <row r="239" spans="11:15" ht="15" hidden="1">
      <c r="K239" s="324"/>
      <c r="L239" s="324"/>
      <c r="M239" s="324"/>
      <c r="N239" s="324"/>
      <c r="O239" s="324"/>
    </row>
    <row r="240" spans="11:15" ht="15" hidden="1">
      <c r="K240" s="324"/>
      <c r="L240" s="324"/>
      <c r="M240" s="324"/>
      <c r="N240" s="324"/>
      <c r="O240" s="324"/>
    </row>
    <row r="241" spans="11:15" ht="15" hidden="1">
      <c r="K241" s="324"/>
      <c r="L241" s="324"/>
      <c r="M241" s="324"/>
      <c r="N241" s="324"/>
      <c r="O241" s="324"/>
    </row>
    <row r="242" spans="11:15" ht="15" hidden="1">
      <c r="K242" s="324"/>
      <c r="L242" s="324"/>
      <c r="M242" s="324"/>
      <c r="N242" s="324"/>
      <c r="O242" s="324"/>
    </row>
    <row r="243" spans="11:15" ht="15" hidden="1">
      <c r="K243" s="324"/>
      <c r="L243" s="324"/>
      <c r="M243" s="324"/>
      <c r="N243" s="324"/>
      <c r="O243" s="324"/>
    </row>
    <row r="244" spans="11:15" ht="15" hidden="1">
      <c r="K244" s="324"/>
      <c r="L244" s="324"/>
      <c r="M244" s="324"/>
      <c r="N244" s="324"/>
      <c r="O244" s="324"/>
    </row>
    <row r="245" spans="11:15" ht="15" hidden="1">
      <c r="K245" s="324"/>
      <c r="L245" s="324"/>
      <c r="M245" s="324"/>
      <c r="N245" s="324"/>
      <c r="O245" s="324"/>
    </row>
    <row r="246" spans="11:15" ht="15" hidden="1">
      <c r="K246" s="324"/>
      <c r="L246" s="324"/>
      <c r="M246" s="324"/>
      <c r="N246" s="324"/>
      <c r="O246" s="324"/>
    </row>
    <row r="247" spans="11:15" ht="15" hidden="1">
      <c r="K247" s="324"/>
      <c r="L247" s="324"/>
      <c r="M247" s="324"/>
      <c r="N247" s="324"/>
      <c r="O247" s="324"/>
    </row>
    <row r="248" spans="11:15" ht="15" hidden="1">
      <c r="K248" s="324"/>
      <c r="L248" s="324"/>
      <c r="M248" s="324"/>
      <c r="N248" s="324"/>
      <c r="O248" s="324"/>
    </row>
    <row r="249" spans="11:15" ht="15" hidden="1">
      <c r="K249" s="324"/>
      <c r="L249" s="324"/>
      <c r="M249" s="324"/>
      <c r="N249" s="324"/>
      <c r="O249" s="324"/>
    </row>
    <row r="250" spans="11:15" ht="15" hidden="1">
      <c r="K250" s="324"/>
      <c r="L250" s="324"/>
      <c r="M250" s="324"/>
      <c r="N250" s="324"/>
      <c r="O250" s="324"/>
    </row>
    <row r="251" spans="11:15" ht="15" hidden="1">
      <c r="K251" s="324"/>
      <c r="L251" s="324"/>
      <c r="M251" s="324"/>
      <c r="N251" s="324"/>
      <c r="O251" s="324"/>
    </row>
    <row r="252" spans="11:15" ht="15" hidden="1">
      <c r="K252" s="324"/>
      <c r="L252" s="324"/>
      <c r="M252" s="324"/>
      <c r="N252" s="324"/>
      <c r="O252" s="324"/>
    </row>
    <row r="253" spans="11:15" ht="15" hidden="1">
      <c r="K253" s="324"/>
      <c r="L253" s="324"/>
      <c r="M253" s="324"/>
      <c r="N253" s="324"/>
      <c r="O253" s="324"/>
    </row>
    <row r="254" spans="11:15" ht="15" hidden="1">
      <c r="K254" s="324"/>
      <c r="L254" s="324"/>
      <c r="M254" s="324"/>
      <c r="N254" s="324"/>
      <c r="O254" s="324"/>
    </row>
    <row r="255" spans="11:15" ht="15" hidden="1">
      <c r="K255" s="324"/>
      <c r="L255" s="324"/>
      <c r="M255" s="324"/>
      <c r="N255" s="324"/>
      <c r="O255" s="324"/>
    </row>
    <row r="256" spans="11:15" ht="15" hidden="1">
      <c r="K256" s="324"/>
      <c r="L256" s="324"/>
      <c r="M256" s="324"/>
      <c r="N256" s="324"/>
      <c r="O256" s="324"/>
    </row>
    <row r="257" spans="11:15" ht="15" hidden="1">
      <c r="K257" s="324"/>
      <c r="L257" s="324"/>
      <c r="M257" s="324"/>
      <c r="N257" s="324"/>
      <c r="O257" s="324"/>
    </row>
    <row r="258" spans="11:15" ht="15" hidden="1">
      <c r="K258" s="324"/>
      <c r="L258" s="324"/>
      <c r="M258" s="324"/>
      <c r="N258" s="324"/>
      <c r="O258" s="324"/>
    </row>
    <row r="259" spans="11:15" ht="15" hidden="1">
      <c r="K259" s="324"/>
      <c r="L259" s="324"/>
      <c r="M259" s="324"/>
      <c r="N259" s="324"/>
      <c r="O259" s="324"/>
    </row>
    <row r="260" spans="11:15" ht="15" hidden="1">
      <c r="K260" s="324"/>
      <c r="L260" s="324"/>
      <c r="M260" s="324"/>
      <c r="N260" s="324"/>
    </row>
    <row r="261" spans="11:15" ht="15" hidden="1">
      <c r="K261" s="324"/>
      <c r="L261" s="324"/>
      <c r="M261" s="324"/>
      <c r="N261" s="324"/>
    </row>
    <row r="262" spans="11:15" ht="15" hidden="1">
      <c r="K262" s="324"/>
      <c r="L262" s="324"/>
      <c r="M262" s="324"/>
    </row>
    <row r="263" spans="11:15" ht="15" hidden="1">
      <c r="K263" s="324"/>
      <c r="L263" s="324"/>
      <c r="M263" s="324"/>
    </row>
    <row r="264" spans="11:15" ht="15" hidden="1">
      <c r="K264" s="324"/>
      <c r="L264" s="324"/>
      <c r="M264" s="324"/>
    </row>
    <row r="265" spans="11:15" ht="15" hidden="1">
      <c r="K265" s="324"/>
      <c r="L265" s="324"/>
      <c r="M265" s="324"/>
    </row>
    <row r="266" spans="11:15" ht="15" hidden="1">
      <c r="K266" s="324"/>
      <c r="L266" s="324"/>
      <c r="M266" s="324"/>
    </row>
    <row r="267" spans="11:15" ht="15" hidden="1">
      <c r="K267" s="324"/>
      <c r="L267" s="324"/>
      <c r="M267" s="324"/>
    </row>
    <row r="268" spans="11:15" ht="15" hidden="1">
      <c r="K268" s="324"/>
      <c r="L268" s="324"/>
      <c r="M268" s="324"/>
    </row>
    <row r="269" spans="11:15" ht="15" hidden="1">
      <c r="K269" s="324"/>
      <c r="L269" s="324"/>
      <c r="M269" s="324"/>
    </row>
    <row r="270" spans="11:15" ht="15" hidden="1">
      <c r="K270" s="324"/>
      <c r="L270" s="324"/>
      <c r="M270" s="324"/>
    </row>
    <row r="271" spans="11:15" ht="15" hidden="1">
      <c r="K271" s="324"/>
      <c r="L271" s="324"/>
      <c r="M271" s="324"/>
    </row>
    <row r="272" spans="11:15" ht="15" hidden="1">
      <c r="K272" s="324"/>
      <c r="L272" s="324"/>
      <c r="M272" s="324"/>
    </row>
    <row r="273" spans="11:13" ht="15" hidden="1">
      <c r="K273" s="324"/>
      <c r="L273" s="324"/>
      <c r="M273" s="324"/>
    </row>
    <row r="274" spans="11:13" ht="15" hidden="1">
      <c r="K274" s="324"/>
      <c r="L274" s="324"/>
      <c r="M274" s="324"/>
    </row>
    <row r="275" spans="11:13" ht="15" hidden="1">
      <c r="K275" s="324"/>
      <c r="L275" s="324"/>
      <c r="M275" s="324"/>
    </row>
    <row r="276" spans="11:13" ht="15" hidden="1">
      <c r="K276" s="324"/>
      <c r="L276" s="324"/>
      <c r="M276" s="324"/>
    </row>
    <row r="277" spans="11:13" ht="15" hidden="1">
      <c r="K277" s="324"/>
      <c r="L277" s="324"/>
      <c r="M277" s="324"/>
    </row>
    <row r="278" spans="11:13" ht="15" hidden="1">
      <c r="K278" s="324"/>
      <c r="L278" s="324"/>
      <c r="M278" s="324"/>
    </row>
    <row r="279" spans="11:13" ht="15" hidden="1">
      <c r="K279" s="324"/>
      <c r="L279" s="324"/>
      <c r="M279" s="324"/>
    </row>
    <row r="280" spans="11:13" ht="15" hidden="1">
      <c r="K280" s="324"/>
      <c r="L280" s="324"/>
      <c r="M280" s="324"/>
    </row>
    <row r="281" spans="11:13" ht="15" hidden="1">
      <c r="K281" s="324"/>
      <c r="L281" s="324"/>
      <c r="M281" s="324"/>
    </row>
    <row r="282" spans="11:13" ht="15" hidden="1">
      <c r="K282" s="324"/>
      <c r="L282" s="324"/>
      <c r="M282" s="324"/>
    </row>
    <row r="283" spans="11:13" ht="15" hidden="1">
      <c r="K283" s="324"/>
      <c r="L283" s="324"/>
      <c r="M283" s="324"/>
    </row>
    <row r="284" spans="11:13" ht="15" hidden="1">
      <c r="K284" s="324"/>
      <c r="L284" s="324"/>
      <c r="M284" s="324"/>
    </row>
    <row r="285" spans="11:13" ht="15" hidden="1">
      <c r="K285" s="324"/>
      <c r="L285" s="324"/>
      <c r="M285" s="324"/>
    </row>
    <row r="286" spans="11:13" ht="15" hidden="1">
      <c r="K286" s="324"/>
      <c r="L286" s="324"/>
      <c r="M286" s="324"/>
    </row>
    <row r="287" spans="11:13" ht="15" hidden="1">
      <c r="K287" s="324"/>
      <c r="L287" s="324"/>
      <c r="M287" s="324"/>
    </row>
    <row r="288" spans="11:13" ht="15" hidden="1">
      <c r="K288" s="324"/>
      <c r="L288" s="324"/>
      <c r="M288" s="324"/>
    </row>
    <row r="289" spans="11:13" ht="15" hidden="1">
      <c r="K289" s="324"/>
      <c r="L289" s="324"/>
      <c r="M289" s="324"/>
    </row>
    <row r="290" spans="11:13" ht="15" hidden="1">
      <c r="K290" s="324"/>
      <c r="L290" s="324"/>
      <c r="M290" s="324"/>
    </row>
    <row r="291" spans="11:13" ht="15" hidden="1">
      <c r="K291" s="324"/>
      <c r="L291" s="324"/>
      <c r="M291" s="324"/>
    </row>
    <row r="292" spans="11:13" ht="15" hidden="1">
      <c r="K292" s="324"/>
      <c r="L292" s="324"/>
      <c r="M292" s="324"/>
    </row>
    <row r="293" spans="11:13" ht="15" hidden="1">
      <c r="K293" s="324"/>
      <c r="L293" s="324"/>
      <c r="M293" s="324"/>
    </row>
    <row r="294" spans="11:13" ht="15" hidden="1">
      <c r="K294" s="324"/>
      <c r="L294" s="324"/>
      <c r="M294" s="324"/>
    </row>
    <row r="295" spans="11:13" ht="15" hidden="1">
      <c r="K295" s="324"/>
      <c r="L295" s="324"/>
      <c r="M295" s="324"/>
    </row>
    <row r="296" spans="11:13" ht="15" hidden="1">
      <c r="K296" s="324"/>
      <c r="L296" s="324"/>
      <c r="M296" s="324"/>
    </row>
    <row r="297" spans="11:13" ht="15" hidden="1">
      <c r="K297" s="324"/>
      <c r="L297" s="324"/>
      <c r="M297" s="324"/>
    </row>
    <row r="298" spans="11:13" ht="15" hidden="1">
      <c r="K298" s="324"/>
      <c r="L298" s="324"/>
      <c r="M298" s="324"/>
    </row>
    <row r="299" spans="11:13" ht="15" hidden="1">
      <c r="K299" s="324"/>
      <c r="L299" s="324"/>
      <c r="M299" s="324"/>
    </row>
    <row r="300" spans="11:13" ht="15" hidden="1">
      <c r="K300" s="324"/>
      <c r="L300" s="324"/>
      <c r="M300" s="324"/>
    </row>
    <row r="301" spans="11:13" ht="15" hidden="1">
      <c r="K301" s="324"/>
      <c r="L301" s="324"/>
      <c r="M301" s="324"/>
    </row>
    <row r="302" spans="11:13" ht="15" hidden="1">
      <c r="K302" s="324"/>
      <c r="L302" s="324"/>
      <c r="M302" s="324"/>
    </row>
    <row r="303" spans="11:13" ht="15" hidden="1">
      <c r="K303" s="324"/>
      <c r="L303" s="324"/>
      <c r="M303" s="324"/>
    </row>
    <row r="304" spans="11:13" ht="15" hidden="1">
      <c r="K304" s="324"/>
      <c r="L304" s="324"/>
      <c r="M304" s="324"/>
    </row>
    <row r="305" spans="11:13" ht="15" hidden="1">
      <c r="K305" s="324"/>
      <c r="L305" s="324"/>
      <c r="M305" s="324"/>
    </row>
    <row r="306" spans="11:13" ht="15" hidden="1">
      <c r="K306" s="324"/>
      <c r="L306" s="324"/>
      <c r="M306" s="324"/>
    </row>
    <row r="307" spans="11:13" ht="15" hidden="1">
      <c r="K307" s="324"/>
      <c r="L307" s="324"/>
      <c r="M307" s="324"/>
    </row>
    <row r="308" spans="11:13" ht="15" hidden="1">
      <c r="K308" s="324"/>
      <c r="L308" s="324"/>
      <c r="M308" s="324"/>
    </row>
    <row r="309" spans="11:13" ht="15" hidden="1">
      <c r="K309" s="324"/>
      <c r="L309" s="324"/>
      <c r="M309" s="324"/>
    </row>
    <row r="310" spans="11:13" ht="15" hidden="1">
      <c r="K310" s="324"/>
      <c r="L310" s="324"/>
      <c r="M310" s="324"/>
    </row>
    <row r="311" spans="11:13" ht="15" hidden="1">
      <c r="K311" s="324"/>
      <c r="L311" s="324"/>
    </row>
    <row r="312" spans="11:13" ht="15" hidden="1">
      <c r="K312" s="324"/>
      <c r="L312" s="324"/>
    </row>
    <row r="313" spans="11:13" ht="15" hidden="1">
      <c r="K313" s="324"/>
      <c r="L313" s="324"/>
    </row>
    <row r="314" spans="11:13" ht="15" hidden="1">
      <c r="K314" s="324"/>
      <c r="L314" s="324"/>
    </row>
    <row r="315" spans="11:13" ht="15" hidden="1">
      <c r="K315" s="324"/>
      <c r="L315" s="324"/>
    </row>
    <row r="316" spans="11:13" ht="15" hidden="1">
      <c r="K316" s="324"/>
      <c r="L316" s="324"/>
    </row>
    <row r="317" spans="11:13" ht="15" hidden="1">
      <c r="K317" s="324"/>
      <c r="L317" s="324"/>
    </row>
    <row r="318" spans="11:13" ht="15" hidden="1">
      <c r="K318" s="324"/>
      <c r="L318" s="324"/>
    </row>
    <row r="319" spans="11:13" ht="15" hidden="1">
      <c r="K319" s="324"/>
      <c r="L319" s="324"/>
    </row>
    <row r="320" spans="11:13" ht="15" hidden="1">
      <c r="K320" s="324"/>
      <c r="L320" s="324"/>
    </row>
    <row r="321" spans="11:12" ht="15" hidden="1">
      <c r="K321" s="324"/>
      <c r="L321" s="324"/>
    </row>
    <row r="322" spans="11:12" ht="15" hidden="1">
      <c r="K322" s="324"/>
      <c r="L322" s="324"/>
    </row>
    <row r="323" spans="11:12" ht="15" hidden="1">
      <c r="K323" s="324"/>
      <c r="L323" s="324"/>
    </row>
    <row r="324" spans="11:12" ht="15" hidden="1">
      <c r="K324" s="324"/>
      <c r="L324" s="324"/>
    </row>
    <row r="325" spans="11:12" ht="15" hidden="1">
      <c r="K325" s="324"/>
      <c r="L325" s="324"/>
    </row>
    <row r="326" spans="11:12" ht="15" hidden="1">
      <c r="K326" s="324"/>
      <c r="L326" s="324"/>
    </row>
    <row r="327" spans="11:12" ht="15" hidden="1">
      <c r="K327" s="324"/>
      <c r="L327" s="324"/>
    </row>
    <row r="328" spans="11:12" ht="15" hidden="1">
      <c r="K328" s="324"/>
      <c r="L328" s="324"/>
    </row>
    <row r="329" spans="11:12" ht="15" hidden="1">
      <c r="K329" s="324"/>
      <c r="L329" s="324"/>
    </row>
    <row r="330" spans="11:12" ht="15" hidden="1">
      <c r="K330" s="324"/>
      <c r="L330" s="324"/>
    </row>
    <row r="331" spans="11:12" ht="15" hidden="1">
      <c r="K331" s="324"/>
      <c r="L331" s="324"/>
    </row>
    <row r="332" spans="11:12" ht="15" hidden="1">
      <c r="K332" s="324"/>
      <c r="L332" s="324"/>
    </row>
    <row r="333" spans="11:12" ht="15" hidden="1">
      <c r="K333" s="324"/>
      <c r="L333" s="324"/>
    </row>
    <row r="334" spans="11:12" ht="15" hidden="1">
      <c r="K334" s="324"/>
      <c r="L334" s="324"/>
    </row>
    <row r="335" spans="11:12" ht="15" hidden="1">
      <c r="K335" s="324"/>
      <c r="L335" s="324"/>
    </row>
    <row r="336" spans="11:12" ht="15" hidden="1">
      <c r="K336" s="324"/>
      <c r="L336" s="324"/>
    </row>
    <row r="337" spans="11:12" ht="15" hidden="1">
      <c r="K337" s="324"/>
      <c r="L337" s="324"/>
    </row>
    <row r="338" spans="11:12" ht="15" hidden="1">
      <c r="K338" s="324"/>
      <c r="L338" s="324"/>
    </row>
    <row r="339" spans="11:12" ht="15" hidden="1">
      <c r="K339" s="324"/>
      <c r="L339" s="324"/>
    </row>
    <row r="340" spans="11:12" ht="15" hidden="1">
      <c r="K340" s="324"/>
      <c r="L340" s="324"/>
    </row>
    <row r="341" spans="11:12" ht="15" hidden="1">
      <c r="K341" s="324"/>
      <c r="L341" s="324"/>
    </row>
    <row r="342" spans="11:12" ht="15" hidden="1">
      <c r="K342" s="324"/>
      <c r="L342" s="324"/>
    </row>
    <row r="343" spans="11:12" ht="15" hidden="1">
      <c r="K343" s="324"/>
      <c r="L343" s="324"/>
    </row>
    <row r="344" spans="11:12" ht="15" hidden="1">
      <c r="K344" s="324"/>
      <c r="L344" s="324"/>
    </row>
    <row r="345" spans="11:12" ht="15" hidden="1">
      <c r="K345" s="324"/>
      <c r="L345" s="324"/>
    </row>
    <row r="346" spans="11:12" ht="15" hidden="1">
      <c r="K346" s="324"/>
      <c r="L346" s="324"/>
    </row>
    <row r="347" spans="11:12" ht="15" hidden="1">
      <c r="K347" s="324"/>
      <c r="L347" s="324"/>
    </row>
    <row r="348" spans="11:12" ht="15" hidden="1">
      <c r="K348" s="324"/>
      <c r="L348" s="324"/>
    </row>
    <row r="349" spans="11:12" ht="15" hidden="1">
      <c r="K349" s="324"/>
      <c r="L349" s="324"/>
    </row>
    <row r="350" spans="11:12" ht="15" hidden="1">
      <c r="K350" s="324"/>
      <c r="L350" s="324"/>
    </row>
    <row r="351" spans="11:12" ht="15" hidden="1">
      <c r="K351" s="324"/>
      <c r="L351" s="324"/>
    </row>
    <row r="352" spans="11:12" ht="15" hidden="1">
      <c r="K352" s="324"/>
      <c r="L352" s="324"/>
    </row>
    <row r="353" spans="11:12" ht="15" hidden="1">
      <c r="K353" s="324"/>
      <c r="L353" s="324"/>
    </row>
    <row r="354" spans="11:12" ht="15" hidden="1">
      <c r="K354" s="324"/>
      <c r="L354" s="324"/>
    </row>
    <row r="355" spans="11:12" ht="15" hidden="1">
      <c r="K355" s="324"/>
      <c r="L355" s="324"/>
    </row>
    <row r="356" spans="11:12" ht="15" hidden="1">
      <c r="K356" s="324"/>
      <c r="L356" s="324"/>
    </row>
    <row r="357" spans="11:12" ht="15" hidden="1">
      <c r="K357" s="324"/>
      <c r="L357" s="324"/>
    </row>
    <row r="358" spans="11:12" ht="15" hidden="1">
      <c r="K358" s="324"/>
      <c r="L358" s="324"/>
    </row>
    <row r="359" spans="11:12" ht="15" hidden="1">
      <c r="K359" s="324"/>
      <c r="L359" s="324"/>
    </row>
    <row r="360" spans="11:12" ht="15" hidden="1">
      <c r="K360" s="324"/>
    </row>
    <row r="361" spans="11:12" ht="15" hidden="1">
      <c r="K361" s="324"/>
    </row>
    <row r="362" spans="11:12" ht="15" hidden="1">
      <c r="K362" s="324"/>
    </row>
    <row r="363" spans="11:12" ht="15" hidden="1">
      <c r="K363" s="324"/>
    </row>
    <row r="364" spans="11:12" ht="15" hidden="1">
      <c r="K364" s="324"/>
    </row>
    <row r="365" spans="11:12" ht="15" hidden="1">
      <c r="K365" s="324"/>
    </row>
    <row r="366" spans="11:12" ht="15" hidden="1">
      <c r="K366" s="324"/>
    </row>
    <row r="367" spans="11:12" ht="15" hidden="1">
      <c r="K367" s="324"/>
    </row>
    <row r="368" spans="11:12" ht="15" hidden="1">
      <c r="K368" s="324"/>
    </row>
    <row r="369" spans="11:11" ht="15" hidden="1">
      <c r="K369" s="324"/>
    </row>
    <row r="370" spans="11:11" ht="15" hidden="1">
      <c r="K370" s="324"/>
    </row>
    <row r="371" spans="11:11" ht="15" hidden="1">
      <c r="K371" s="324"/>
    </row>
    <row r="372" spans="11:11" ht="15" hidden="1">
      <c r="K372" s="324"/>
    </row>
    <row r="373" spans="11:11" ht="15" hidden="1">
      <c r="K373" s="324"/>
    </row>
    <row r="374" spans="11:11" ht="15" hidden="1">
      <c r="K374" s="324"/>
    </row>
    <row r="375" spans="11:11" ht="15" hidden="1">
      <c r="K375" s="324"/>
    </row>
    <row r="376" spans="11:11" ht="15" hidden="1">
      <c r="K376" s="324"/>
    </row>
    <row r="377" spans="11:11" ht="15" hidden="1">
      <c r="K377" s="324"/>
    </row>
    <row r="378" spans="11:11" ht="15" hidden="1">
      <c r="K378" s="324"/>
    </row>
    <row r="379" spans="11:11" ht="15" hidden="1">
      <c r="K379" s="324"/>
    </row>
    <row r="380" spans="11:11" ht="15" hidden="1">
      <c r="K380" s="324"/>
    </row>
    <row r="381" spans="11:11" ht="15" hidden="1">
      <c r="K381" s="324"/>
    </row>
    <row r="382" spans="11:11" ht="15" hidden="1">
      <c r="K382" s="324"/>
    </row>
    <row r="383" spans="11:11" ht="15" hidden="1">
      <c r="K383" s="324"/>
    </row>
    <row r="384" spans="11:11" ht="15" hidden="1">
      <c r="K384" s="324"/>
    </row>
    <row r="385" spans="11:11" ht="15" hidden="1">
      <c r="K385" s="324"/>
    </row>
    <row r="386" spans="11:11" ht="15" hidden="1">
      <c r="K386" s="324"/>
    </row>
    <row r="387" spans="11:11" ht="15" hidden="1">
      <c r="K387" s="324"/>
    </row>
    <row r="388" spans="11:11" ht="15" hidden="1">
      <c r="K388" s="324"/>
    </row>
    <row r="389" spans="11:11" ht="15" hidden="1">
      <c r="K389" s="324"/>
    </row>
    <row r="390" spans="11:11" ht="15" hidden="1">
      <c r="K390" s="324"/>
    </row>
    <row r="391" spans="11:11" ht="15" hidden="1">
      <c r="K391" s="324"/>
    </row>
    <row r="392" spans="11:11" ht="15" hidden="1">
      <c r="K392" s="324"/>
    </row>
    <row r="393" spans="11:11" ht="15" hidden="1">
      <c r="K393" s="324"/>
    </row>
    <row r="394" spans="11:11" ht="15" hidden="1">
      <c r="K394" s="324"/>
    </row>
    <row r="395" spans="11:11" ht="15" hidden="1">
      <c r="K395" s="324"/>
    </row>
    <row r="396" spans="11:11" ht="15" hidden="1">
      <c r="K396" s="324"/>
    </row>
    <row r="397" spans="11:11" ht="15" hidden="1">
      <c r="K397" s="324"/>
    </row>
    <row r="398" spans="11:11" ht="15" hidden="1">
      <c r="K398" s="324"/>
    </row>
    <row r="399" spans="11:11" ht="15" hidden="1">
      <c r="K399" s="324"/>
    </row>
    <row r="400" spans="11:11" ht="15" hidden="1">
      <c r="K400" s="324"/>
    </row>
    <row r="401" spans="11:11" ht="15" hidden="1">
      <c r="K401" s="324"/>
    </row>
    <row r="402" spans="11:11" ht="15" hidden="1">
      <c r="K402" s="324"/>
    </row>
    <row r="403" spans="11:11" ht="15" hidden="1">
      <c r="K403" s="324"/>
    </row>
    <row r="404" spans="11:11" ht="15" hidden="1">
      <c r="K404" s="324"/>
    </row>
    <row r="405" spans="11:11" ht="15" hidden="1">
      <c r="K405" s="324"/>
    </row>
    <row r="406" spans="11:11" ht="15" hidden="1">
      <c r="K406" s="324"/>
    </row>
    <row r="407" spans="11:11" ht="15" hidden="1">
      <c r="K407" s="324"/>
    </row>
    <row r="408" spans="11:11" ht="15" hidden="1">
      <c r="K408" s="324"/>
    </row>
    <row r="409" spans="11:11" hidden="1"/>
    <row r="410" spans="11:11" hidden="1"/>
    <row r="411" spans="11:11" hidden="1"/>
  </sheetData>
  <sheetProtection sheet="1" objects="1" scenarios="1" autoFilter="0"/>
  <mergeCells count="151">
    <mergeCell ref="F1:T4"/>
    <mergeCell ref="A6:T7"/>
    <mergeCell ref="H9:K9"/>
    <mergeCell ref="O9:R9"/>
    <mergeCell ref="A13:E13"/>
    <mergeCell ref="A15:D15"/>
    <mergeCell ref="A16:D16"/>
    <mergeCell ref="K12:L12"/>
    <mergeCell ref="M12:N12"/>
    <mergeCell ref="P12:R12"/>
    <mergeCell ref="K13:L13"/>
    <mergeCell ref="P14:R14"/>
    <mergeCell ref="I12:J12"/>
    <mergeCell ref="F13:H13"/>
    <mergeCell ref="F14:H14"/>
    <mergeCell ref="F12:H12"/>
    <mergeCell ref="A14:D14"/>
    <mergeCell ref="P16:R16"/>
    <mergeCell ref="K14:L14"/>
    <mergeCell ref="K15:L15"/>
    <mergeCell ref="K16:L16"/>
    <mergeCell ref="M13:N13"/>
    <mergeCell ref="M14:N14"/>
    <mergeCell ref="M15:N15"/>
    <mergeCell ref="M16:N16"/>
    <mergeCell ref="I13:J13"/>
    <mergeCell ref="I14:J14"/>
    <mergeCell ref="I15:J15"/>
    <mergeCell ref="I16:J16"/>
    <mergeCell ref="F15:H15"/>
    <mergeCell ref="F16:H16"/>
    <mergeCell ref="G69:H69"/>
    <mergeCell ref="I69:J69"/>
    <mergeCell ref="K69:P69"/>
    <mergeCell ref="F56:T59"/>
    <mergeCell ref="G67:H67"/>
    <mergeCell ref="I67:J67"/>
    <mergeCell ref="Q67:R67"/>
    <mergeCell ref="A64:C64"/>
    <mergeCell ref="S67:T67"/>
    <mergeCell ref="G68:H68"/>
    <mergeCell ref="I68:J68"/>
    <mergeCell ref="Q68:R68"/>
    <mergeCell ref="S68:T68"/>
    <mergeCell ref="K68:P68"/>
    <mergeCell ref="P122:Q122"/>
    <mergeCell ref="L122:O122"/>
    <mergeCell ref="H122:I122"/>
    <mergeCell ref="D122:G122"/>
    <mergeCell ref="Q69:R69"/>
    <mergeCell ref="S69:T69"/>
    <mergeCell ref="G70:H70"/>
    <mergeCell ref="I70:J70"/>
    <mergeCell ref="Q70:R70"/>
    <mergeCell ref="L123:O123"/>
    <mergeCell ref="P123:Q123"/>
    <mergeCell ref="D126:G126"/>
    <mergeCell ref="D127:G127"/>
    <mergeCell ref="D128:G128"/>
    <mergeCell ref="L129:O129"/>
    <mergeCell ref="P129:Q129"/>
    <mergeCell ref="P126:Q126"/>
    <mergeCell ref="L124:O124"/>
    <mergeCell ref="H123:I123"/>
    <mergeCell ref="L128:O128"/>
    <mergeCell ref="P128:Q128"/>
    <mergeCell ref="H126:I126"/>
    <mergeCell ref="H127:I127"/>
    <mergeCell ref="P124:Q124"/>
    <mergeCell ref="L125:O125"/>
    <mergeCell ref="P125:Q125"/>
    <mergeCell ref="L126:O126"/>
    <mergeCell ref="L127:O127"/>
    <mergeCell ref="D123:G123"/>
    <mergeCell ref="A9:C9"/>
    <mergeCell ref="A71:F71"/>
    <mergeCell ref="A72:F72"/>
    <mergeCell ref="G71:H71"/>
    <mergeCell ref="I71:J71"/>
    <mergeCell ref="A76:D76"/>
    <mergeCell ref="F112:T115"/>
    <mergeCell ref="A117:T118"/>
    <mergeCell ref="S71:T71"/>
    <mergeCell ref="G72:H72"/>
    <mergeCell ref="I72:J72"/>
    <mergeCell ref="Q72:R72"/>
    <mergeCell ref="K71:P71"/>
    <mergeCell ref="K72:P72"/>
    <mergeCell ref="S70:T70"/>
    <mergeCell ref="K70:P70"/>
    <mergeCell ref="A61:T62"/>
    <mergeCell ref="Q71:R71"/>
    <mergeCell ref="S72:T72"/>
    <mergeCell ref="A68:F68"/>
    <mergeCell ref="A69:F69"/>
    <mergeCell ref="A70:F70"/>
    <mergeCell ref="H64:K64"/>
    <mergeCell ref="P64:S64"/>
    <mergeCell ref="Q213:S213"/>
    <mergeCell ref="Q214:S214"/>
    <mergeCell ref="H124:I124"/>
    <mergeCell ref="F167:T170"/>
    <mergeCell ref="A172:T173"/>
    <mergeCell ref="P127:Q127"/>
    <mergeCell ref="D129:G129"/>
    <mergeCell ref="H125:I125"/>
    <mergeCell ref="H128:I128"/>
    <mergeCell ref="H129:I129"/>
    <mergeCell ref="D177:G178"/>
    <mergeCell ref="J176:L176"/>
    <mergeCell ref="D125:G125"/>
    <mergeCell ref="D124:G124"/>
    <mergeCell ref="E191:F191"/>
    <mergeCell ref="E192:F192"/>
    <mergeCell ref="N176:P176"/>
    <mergeCell ref="R176:T176"/>
    <mergeCell ref="L177:N177"/>
    <mergeCell ref="Q177:S177"/>
    <mergeCell ref="E186:F186"/>
    <mergeCell ref="E187:F187"/>
    <mergeCell ref="E188:F188"/>
    <mergeCell ref="E189:F189"/>
    <mergeCell ref="Q200:S200"/>
    <mergeCell ref="Q201:S201"/>
    <mergeCell ref="Q202:S202"/>
    <mergeCell ref="Q212:S212"/>
    <mergeCell ref="E179:F179"/>
    <mergeCell ref="E180:F180"/>
    <mergeCell ref="E182:F182"/>
    <mergeCell ref="E181:F181"/>
    <mergeCell ref="E183:F183"/>
    <mergeCell ref="E193:F193"/>
    <mergeCell ref="E194:F194"/>
    <mergeCell ref="A188:C188"/>
    <mergeCell ref="A189:C189"/>
    <mergeCell ref="A190:C190"/>
    <mergeCell ref="A191:C191"/>
    <mergeCell ref="A192:C192"/>
    <mergeCell ref="A193:C193"/>
    <mergeCell ref="E184:F184"/>
    <mergeCell ref="E185:F185"/>
    <mergeCell ref="A179:C179"/>
    <mergeCell ref="A180:C180"/>
    <mergeCell ref="A182:C182"/>
    <mergeCell ref="A181:C181"/>
    <mergeCell ref="A183:C183"/>
    <mergeCell ref="A184:C184"/>
    <mergeCell ref="A185:C185"/>
    <mergeCell ref="A186:C186"/>
    <mergeCell ref="A187:C187"/>
    <mergeCell ref="E190:F190"/>
  </mergeCells>
  <hyperlinks>
    <hyperlink ref="A11" location="Glossaire!A88" display="Conditions d'emploi en 2013"/>
    <hyperlink ref="A66:M66" location="Glossaire!A90" display="Répartition des projets de recrutement par bassin d'emploi en 2016"/>
    <hyperlink ref="A97" location="Glossaire!A97" display="Déclaration préalable à l'embauche en 1er trimestre 2015"/>
    <hyperlink ref="A119:E119" location="Glossaire!A100" display="Offres d'emploi des cadres (Nombre moyen d'offres hebdomadaires pour 100 000 actifs)"/>
    <hyperlink ref="A175:F175" location="Glossaire!A103" display="Taux de chômage trimestriel"/>
    <hyperlink ref="A11:E11" location="Glossaire!A84" display="Conditions d'emploi en 2013"/>
    <hyperlink ref="A97:K97" location="Glossaire!A97" display="Déclarations préalables à l'embauche au 4e trimestre 2016"/>
    <hyperlink ref="A35:M35" location="Glossaire!A90" display="L'enquête &quot;Besoins en Main d'Œuvre&quot; selon les bassins d'emploi en 2016"/>
    <hyperlink ref="A66" location="Glossaire!A94" display="Répartition des projets de recrutements par bassin d'emploi en 2015"/>
    <hyperlink ref="A97:J97" location="Glossaire!A101" display="Déclaration préalable à l'embauche au 3e trimestre 2016"/>
    <hyperlink ref="A150:R150" location="Glossaire!A113" display="Nombre de demandes d'emploi par secteur d'activité sur Bordeaux Métropole en janvier 2016"/>
    <hyperlink ref="A175" location="Glossaire!A107" display="Taux de chômage trimestriel"/>
    <hyperlink ref="A11:F11" location="Glossaire!A88" display="Conditions d'emploi en 2013"/>
  </hyperlinks>
  <pageMargins left="0.23871527777777779" right="0.22786458333333334" top="0.55118110236220474" bottom="0.55118110236220474" header="0.11811023622047245" footer="0.11811023622047245"/>
  <pageSetup paperSize="9" orientation="portrait" r:id="rId1"/>
  <headerFooter>
    <oddHeader>&amp;C&amp;"Arial,Gras"&amp;10Tableau de bord / Mise à jour mars 2017</oddHeader>
    <oddFooter>&amp;C&amp;"-,Italique"&amp;8&amp;A&amp;R&amp;8Page &amp;P</oddFooter>
  </headerFooter>
  <rowBreaks count="3" manualBreakCount="3">
    <brk id="55" max="16383" man="1"/>
    <brk id="111" max="16383" man="1"/>
    <brk id="166"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'D_Ch-2-1'!$B$6:$B$39</xm:f>
          </x14:formula1>
          <xm:sqref>O9:R9 H9:K9</xm:sqref>
        </x14:dataValidation>
        <x14:dataValidation type="list" allowBlank="1" showInputMessage="1" showErrorMessage="1">
          <x14:formula1>
            <xm:f>'D_Ch2-2'!$B$7:$B$22</xm:f>
          </x14:formula1>
          <xm:sqref>R176 L177 Q177 N176</xm:sqref>
        </x14:dataValidation>
        <x14:dataValidation type="list" allowBlank="1" showInputMessage="1" showErrorMessage="1">
          <x14:formula1>
            <xm:f>'D_Ch2-2'!$B$60:$B$74</xm:f>
          </x14:formula1>
          <xm:sqref>H64:K64 H35:K35 P64:S64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C52"/>
  <sheetViews>
    <sheetView showGridLines="0" view="pageLayout" zoomScaleNormal="100" zoomScaleSheetLayoutView="106" workbookViewId="0">
      <selection activeCell="A6" sqref="A6:T7"/>
    </sheetView>
  </sheetViews>
  <sheetFormatPr baseColWidth="10" defaultColWidth="0" defaultRowHeight="15" zeroHeight="1"/>
  <cols>
    <col min="1" max="1" width="3.5703125" customWidth="1"/>
    <col min="2" max="2" width="3" customWidth="1"/>
    <col min="3" max="3" width="4.85546875" customWidth="1"/>
    <col min="4" max="4" width="3" customWidth="1"/>
    <col min="5" max="5" width="4.85546875" customWidth="1"/>
    <col min="6" max="6" width="3" customWidth="1"/>
    <col min="7" max="7" width="4.85546875" customWidth="1"/>
    <col min="8" max="8" width="3.28515625" customWidth="1"/>
    <col min="9" max="19" width="4.85546875" customWidth="1"/>
    <col min="20" max="20" width="3.5703125" customWidth="1"/>
    <col min="21" max="21" width="11.42578125" customWidth="1"/>
    <col min="22" max="29" width="11.42578125" style="236" hidden="1" customWidth="1"/>
    <col min="30" max="30" width="11.42578125" hidden="1" customWidth="1"/>
    <col min="31" max="16384" width="11.42578125" hidden="1"/>
  </cols>
  <sheetData>
    <row r="1" spans="1:16123" ht="16.7" customHeight="1">
      <c r="A1" s="703"/>
      <c r="B1" s="6"/>
      <c r="C1" s="7"/>
      <c r="D1" s="7"/>
      <c r="E1" s="7"/>
      <c r="F1" s="867" t="s">
        <v>1369</v>
      </c>
      <c r="G1" s="867"/>
      <c r="H1" s="867"/>
      <c r="I1" s="867"/>
      <c r="J1" s="867"/>
      <c r="K1" s="867"/>
      <c r="L1" s="867"/>
      <c r="M1" s="867"/>
      <c r="N1" s="867"/>
      <c r="O1" s="867"/>
      <c r="P1" s="867"/>
      <c r="Q1" s="867"/>
      <c r="R1" s="867"/>
      <c r="S1" s="867"/>
      <c r="T1" s="868"/>
      <c r="V1"/>
      <c r="W1"/>
      <c r="X1"/>
      <c r="Y1"/>
      <c r="Z1"/>
      <c r="AA1"/>
      <c r="AB1"/>
      <c r="AC1"/>
    </row>
    <row r="2" spans="1:16123" ht="16.7" customHeight="1">
      <c r="A2" s="704"/>
      <c r="B2" s="7"/>
      <c r="C2" s="7"/>
      <c r="D2" s="7"/>
      <c r="E2" s="7"/>
      <c r="F2" s="870"/>
      <c r="G2" s="870"/>
      <c r="H2" s="870"/>
      <c r="I2" s="870"/>
      <c r="J2" s="870"/>
      <c r="K2" s="870"/>
      <c r="L2" s="870"/>
      <c r="M2" s="870"/>
      <c r="N2" s="870"/>
      <c r="O2" s="870"/>
      <c r="P2" s="870"/>
      <c r="Q2" s="870"/>
      <c r="R2" s="870"/>
      <c r="S2" s="870"/>
      <c r="T2" s="871"/>
      <c r="V2"/>
      <c r="W2"/>
      <c r="X2"/>
      <c r="Y2"/>
      <c r="Z2"/>
      <c r="AA2"/>
      <c r="AB2"/>
      <c r="AC2"/>
    </row>
    <row r="3" spans="1:16123" ht="16.7" customHeight="1">
      <c r="A3" s="705"/>
      <c r="B3" s="7"/>
      <c r="C3" s="7"/>
      <c r="D3" s="7"/>
      <c r="E3" s="7"/>
      <c r="F3" s="870"/>
      <c r="G3" s="870"/>
      <c r="H3" s="870"/>
      <c r="I3" s="870"/>
      <c r="J3" s="870"/>
      <c r="K3" s="870"/>
      <c r="L3" s="870"/>
      <c r="M3" s="870"/>
      <c r="N3" s="870"/>
      <c r="O3" s="870"/>
      <c r="P3" s="870"/>
      <c r="Q3" s="870"/>
      <c r="R3" s="870"/>
      <c r="S3" s="870"/>
      <c r="T3" s="871"/>
      <c r="V3"/>
      <c r="W3"/>
      <c r="X3"/>
      <c r="Y3"/>
      <c r="Z3"/>
      <c r="AA3"/>
      <c r="AB3"/>
      <c r="AC3"/>
    </row>
    <row r="4" spans="1:16123" ht="16.7" customHeight="1">
      <c r="A4" s="705"/>
      <c r="B4" s="7"/>
      <c r="C4" s="7"/>
      <c r="D4" s="7"/>
      <c r="E4" s="7"/>
      <c r="F4" s="873"/>
      <c r="G4" s="873"/>
      <c r="H4" s="873"/>
      <c r="I4" s="873"/>
      <c r="J4" s="873"/>
      <c r="K4" s="873"/>
      <c r="L4" s="873"/>
      <c r="M4" s="873"/>
      <c r="N4" s="873"/>
      <c r="O4" s="873"/>
      <c r="P4" s="873"/>
      <c r="Q4" s="873"/>
      <c r="R4" s="873"/>
      <c r="S4" s="873"/>
      <c r="T4" s="874"/>
      <c r="V4"/>
      <c r="W4"/>
      <c r="X4"/>
      <c r="Y4"/>
      <c r="Z4"/>
      <c r="AA4"/>
      <c r="AB4"/>
      <c r="AC4"/>
    </row>
    <row r="5" spans="1:16123" ht="5.25" customHeight="1">
      <c r="A5" s="4"/>
      <c r="B5" s="5"/>
      <c r="C5" s="4"/>
      <c r="D5" s="4"/>
      <c r="E5" s="4"/>
      <c r="F5" s="8"/>
      <c r="G5" s="8"/>
      <c r="H5" s="9"/>
      <c r="I5" s="9"/>
      <c r="J5" s="9"/>
      <c r="K5" s="9"/>
      <c r="L5" s="9"/>
      <c r="M5" s="9"/>
      <c r="N5" s="9"/>
      <c r="O5" s="9"/>
      <c r="P5" s="9"/>
      <c r="Q5" s="9"/>
      <c r="R5" s="9"/>
      <c r="S5" s="9"/>
      <c r="T5" s="9"/>
      <c r="V5"/>
      <c r="W5"/>
      <c r="X5"/>
      <c r="Y5"/>
      <c r="Z5"/>
      <c r="AA5"/>
      <c r="AB5"/>
      <c r="AC5"/>
    </row>
    <row r="6" spans="1:16123" ht="15" customHeight="1">
      <c r="A6" s="875" t="s">
        <v>0</v>
      </c>
      <c r="B6" s="875"/>
      <c r="C6" s="875"/>
      <c r="D6" s="875"/>
      <c r="E6" s="875"/>
      <c r="F6" s="875"/>
      <c r="G6" s="875"/>
      <c r="H6" s="875"/>
      <c r="I6" s="875"/>
      <c r="J6" s="875"/>
      <c r="K6" s="875"/>
      <c r="L6" s="875"/>
      <c r="M6" s="875"/>
      <c r="N6" s="875"/>
      <c r="O6" s="875"/>
      <c r="P6" s="875"/>
      <c r="Q6" s="875"/>
      <c r="R6" s="875"/>
      <c r="S6" s="875"/>
      <c r="T6" s="875"/>
      <c r="V6"/>
      <c r="W6"/>
      <c r="X6"/>
      <c r="Y6"/>
      <c r="Z6"/>
      <c r="AA6"/>
      <c r="AB6"/>
      <c r="AC6"/>
    </row>
    <row r="7" spans="1:16123" ht="15" customHeight="1">
      <c r="A7" s="875"/>
      <c r="B7" s="875"/>
      <c r="C7" s="875"/>
      <c r="D7" s="875"/>
      <c r="E7" s="875"/>
      <c r="F7" s="875"/>
      <c r="G7" s="875"/>
      <c r="H7" s="875"/>
      <c r="I7" s="875"/>
      <c r="J7" s="875"/>
      <c r="K7" s="875"/>
      <c r="L7" s="875"/>
      <c r="M7" s="875"/>
      <c r="N7" s="875"/>
      <c r="O7" s="875"/>
      <c r="P7" s="875"/>
      <c r="Q7" s="875"/>
      <c r="R7" s="875"/>
      <c r="S7" s="875"/>
      <c r="T7" s="875"/>
      <c r="V7"/>
      <c r="W7"/>
      <c r="X7"/>
      <c r="Y7"/>
      <c r="Z7"/>
      <c r="AA7"/>
      <c r="AB7"/>
      <c r="AC7"/>
    </row>
    <row r="8" spans="1:16123" s="173" customFormat="1" ht="15" customHeight="1">
      <c r="A8" s="418"/>
      <c r="B8" s="418"/>
      <c r="C8" s="418"/>
      <c r="D8" s="418"/>
      <c r="E8" s="418"/>
      <c r="F8" s="418"/>
      <c r="G8" s="418"/>
      <c r="H8" s="418"/>
      <c r="I8" s="418"/>
      <c r="J8" s="418"/>
      <c r="K8" s="418"/>
      <c r="L8" s="418"/>
      <c r="M8" s="418"/>
      <c r="N8" s="418"/>
      <c r="O8" s="418"/>
      <c r="P8" s="418"/>
      <c r="Q8" s="418"/>
      <c r="R8" s="418"/>
      <c r="S8" s="418"/>
      <c r="T8" s="41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row>
    <row r="9" spans="1:16123" ht="15" customHeight="1" thickBot="1">
      <c r="A9" s="418"/>
      <c r="B9" s="418"/>
      <c r="C9" s="418"/>
      <c r="D9" s="418"/>
      <c r="E9" s="418"/>
      <c r="F9" s="418"/>
      <c r="G9" s="418"/>
      <c r="H9" s="418"/>
      <c r="I9" s="418"/>
      <c r="J9" s="418"/>
      <c r="K9" s="418"/>
      <c r="L9" s="418"/>
      <c r="M9" s="418"/>
      <c r="N9" s="418"/>
      <c r="O9" s="418"/>
      <c r="P9" s="418"/>
      <c r="Q9" s="418"/>
      <c r="R9" s="418"/>
      <c r="S9" s="418"/>
      <c r="T9" s="418"/>
      <c r="V9"/>
      <c r="W9"/>
      <c r="X9"/>
      <c r="Y9"/>
      <c r="Z9"/>
      <c r="AA9"/>
      <c r="AB9"/>
      <c r="AC9"/>
    </row>
    <row r="10" spans="1:16123" ht="16.5" thickTop="1" thickBot="1">
      <c r="A10" s="1092" t="s">
        <v>1407</v>
      </c>
      <c r="B10" s="1093"/>
      <c r="C10" s="1093"/>
      <c r="D10" s="1094"/>
      <c r="E10" s="339"/>
      <c r="F10" s="339"/>
      <c r="G10" s="339"/>
      <c r="H10" s="339"/>
      <c r="I10" s="921" t="s">
        <v>116</v>
      </c>
      <c r="J10" s="922"/>
      <c r="K10" s="922"/>
      <c r="L10" s="923"/>
      <c r="M10" s="580"/>
      <c r="N10" s="579"/>
      <c r="O10" s="1089" t="s">
        <v>74</v>
      </c>
      <c r="P10" s="1090"/>
      <c r="Q10" s="1090"/>
      <c r="R10" s="1091"/>
      <c r="S10" s="339"/>
      <c r="T10" s="419"/>
      <c r="V10"/>
      <c r="W10"/>
      <c r="X10"/>
      <c r="Y10"/>
      <c r="Z10"/>
      <c r="AA10"/>
      <c r="AB10"/>
      <c r="AC10"/>
    </row>
    <row r="11" spans="1:16123" ht="15.75" thickTop="1">
      <c r="A11" s="420"/>
      <c r="B11" s="420"/>
      <c r="C11" s="420"/>
      <c r="D11" s="420"/>
      <c r="E11" s="420"/>
      <c r="F11" s="420"/>
      <c r="G11" s="420"/>
      <c r="H11" s="420"/>
      <c r="I11" s="1086"/>
      <c r="J11" s="1086"/>
      <c r="K11" s="1086"/>
      <c r="L11" s="420"/>
      <c r="M11" s="420"/>
      <c r="N11" s="420"/>
      <c r="O11" s="420"/>
      <c r="P11" s="420"/>
      <c r="Q11" s="420"/>
      <c r="R11" s="420"/>
      <c r="S11" s="420"/>
      <c r="T11" s="420"/>
      <c r="V11"/>
      <c r="W11"/>
      <c r="X11"/>
      <c r="Y11"/>
      <c r="Z11"/>
      <c r="AA11"/>
      <c r="AB11"/>
      <c r="AC11"/>
    </row>
    <row r="12" spans="1:16123">
      <c r="A12" s="423" t="s">
        <v>1672</v>
      </c>
      <c r="B12" s="423"/>
      <c r="C12" s="423"/>
      <c r="D12" s="423"/>
      <c r="E12" s="423"/>
      <c r="F12" s="423"/>
      <c r="G12" s="420"/>
      <c r="H12" s="420"/>
      <c r="I12" s="1085">
        <f>(VLOOKUP($I$10,'D_Ch-1'!$B$4:$Y$38,MATCH("Population N-1",'D_Ch-1'!$4:$4,0)-1,FALSE))</f>
        <v>1505517</v>
      </c>
      <c r="J12" s="1085"/>
      <c r="K12" s="1085"/>
      <c r="L12" s="1088">
        <f>VLOOKUP($I$10,'D_Ch-1'!$B$4:$Y$38,MATCH("Croissance",'D_Ch-1'!$4:$4,0)-1,FALSE)</f>
        <v>84241</v>
      </c>
      <c r="M12" s="1088"/>
      <c r="N12" s="1088"/>
      <c r="O12" s="1086">
        <f>VLOOKUP($O$10,'D_Ch-1'!$B$4:$Y$38,MATCH("Population N-1",'D_Ch-1'!$4:4,0)-1,FALSE)</f>
        <v>3316889</v>
      </c>
      <c r="P12" s="1086"/>
      <c r="Q12" s="1086"/>
      <c r="R12" s="1088">
        <f>(VLOOKUP($O$10,'D_Ch-1'!$B$4:$Y$38,MATCH("Population N-1",'D_Ch-1'!$4:$4,0)-1,FALSE))-(VLOOKUP($O$10,'D_Ch-1'!$B$4:$Y$38,MATCH("Population N-2",'D_Ch-1'!$4:$4,0)-1,FALSE))</f>
        <v>139264</v>
      </c>
      <c r="S12" s="1088"/>
      <c r="T12" s="1088"/>
      <c r="V12"/>
      <c r="W12"/>
      <c r="X12"/>
      <c r="Y12"/>
      <c r="Z12"/>
      <c r="AA12"/>
      <c r="AB12"/>
      <c r="AC12"/>
    </row>
    <row r="13" spans="1:16123">
      <c r="A13" s="423" t="s">
        <v>1432</v>
      </c>
      <c r="B13" s="423"/>
      <c r="C13" s="423"/>
      <c r="D13" s="423"/>
      <c r="E13" s="423"/>
      <c r="F13" s="423"/>
      <c r="G13" s="420"/>
      <c r="H13" s="420"/>
      <c r="I13" s="1087">
        <f>(VLOOKUP($I$10,'D_Ch-1'!$B$4:$Y$38,MATCH("Tx évol moyen annuel",'D_Ch-1'!$4:$4,0)-1,FALSE))</f>
        <v>1.1582827642219387E-2</v>
      </c>
      <c r="J13" s="1087"/>
      <c r="K13" s="1087"/>
      <c r="L13" s="420"/>
      <c r="M13" s="420"/>
      <c r="N13" s="420"/>
      <c r="O13" s="1087">
        <f>(VLOOKUP($O$10,'D_Ch-1'!$B$4:$Y$38,MATCH("Tx évol moyen annuel",'D_Ch-1'!$4:$4,0)-1,FALSE))</f>
        <v>8.6155486406229408E-3</v>
      </c>
      <c r="P13" s="1087"/>
      <c r="Q13" s="1087"/>
      <c r="R13" s="420"/>
      <c r="S13" s="420"/>
      <c r="T13" s="420"/>
      <c r="V13"/>
      <c r="W13"/>
      <c r="X13"/>
      <c r="Y13"/>
      <c r="Z13"/>
      <c r="AA13"/>
      <c r="AB13"/>
      <c r="AC13"/>
    </row>
    <row r="14" spans="1:16123">
      <c r="A14" s="1095" t="s">
        <v>1615</v>
      </c>
      <c r="B14" s="1095"/>
      <c r="C14" s="1095"/>
      <c r="D14" s="1095"/>
      <c r="E14" s="1095"/>
      <c r="F14" s="1095"/>
      <c r="G14" s="420"/>
      <c r="H14" s="420"/>
      <c r="I14" s="1085">
        <f>VLOOKUP($I$10,'D_Ch-1'!$B$4:$Y$38,MATCH("Superficie",'D_Ch-1'!$4:$4,0)-1,FALSE)</f>
        <v>10000</v>
      </c>
      <c r="J14" s="1085"/>
      <c r="K14" s="1085"/>
      <c r="L14" s="420"/>
      <c r="M14" s="420"/>
      <c r="N14" s="420"/>
      <c r="O14" s="1086">
        <f>VLOOKUP($O$10,'D_Ch-1'!$B$4:$Y$38,MATCH("Superficie",'D_Ch-1'!$4:$4,0)-1,FALSE)</f>
        <v>41283.870000000032</v>
      </c>
      <c r="P14" s="1086"/>
      <c r="Q14" s="1086"/>
      <c r="R14" s="420"/>
      <c r="S14" s="420"/>
      <c r="T14" s="420"/>
      <c r="V14"/>
      <c r="W14"/>
      <c r="X14"/>
      <c r="Y14"/>
      <c r="Z14"/>
      <c r="AA14"/>
      <c r="AB14"/>
      <c r="AC14"/>
    </row>
    <row r="15" spans="1:16123">
      <c r="A15" s="1095" t="s">
        <v>1590</v>
      </c>
      <c r="B15" s="1095"/>
      <c r="C15" s="1095"/>
      <c r="D15" s="1095"/>
      <c r="E15" s="1095"/>
      <c r="F15" s="1095"/>
      <c r="G15" s="420"/>
      <c r="H15" s="420"/>
      <c r="I15" s="1085">
        <f>VALUE(I12)/VALUE(I14)</f>
        <v>150.55170000000001</v>
      </c>
      <c r="J15" s="1085"/>
      <c r="K15" s="1085"/>
      <c r="L15" s="420"/>
      <c r="M15" s="421"/>
      <c r="N15" s="420"/>
      <c r="O15" s="1086">
        <f>VALUE(O12)/VALUE(O14)</f>
        <v>80.343461017583806</v>
      </c>
      <c r="P15" s="1086"/>
      <c r="Q15" s="1086"/>
      <c r="R15" s="420"/>
      <c r="S15" s="420"/>
      <c r="T15" s="420"/>
      <c r="V15"/>
      <c r="W15"/>
      <c r="X15"/>
      <c r="Y15"/>
      <c r="Z15"/>
      <c r="AA15"/>
      <c r="AB15"/>
      <c r="AC15"/>
    </row>
    <row r="16" spans="1:16123">
      <c r="A16" s="422"/>
      <c r="B16" s="422"/>
      <c r="C16" s="422"/>
      <c r="D16" s="422"/>
      <c r="E16" s="422"/>
      <c r="F16" s="422"/>
      <c r="G16" s="420"/>
      <c r="H16" s="420"/>
      <c r="I16" s="591"/>
      <c r="J16" s="591"/>
      <c r="K16" s="591"/>
      <c r="L16" s="420"/>
      <c r="M16" s="420"/>
      <c r="N16" s="420"/>
      <c r="O16" s="420"/>
      <c r="P16" s="420"/>
      <c r="Q16" s="420"/>
      <c r="R16" s="420"/>
      <c r="S16" s="420"/>
      <c r="T16" s="420"/>
      <c r="V16"/>
      <c r="W16"/>
      <c r="X16"/>
      <c r="Y16"/>
      <c r="Z16"/>
      <c r="AA16"/>
      <c r="AB16"/>
      <c r="AC16"/>
    </row>
    <row r="17" spans="1:29" ht="15" customHeight="1">
      <c r="A17" s="1097" t="s">
        <v>1733</v>
      </c>
      <c r="B17" s="1097"/>
      <c r="C17" s="1097"/>
      <c r="D17" s="1097"/>
      <c r="E17" s="1097"/>
      <c r="F17" s="1097"/>
      <c r="G17" s="1097"/>
      <c r="H17" s="1097"/>
      <c r="I17" s="591"/>
      <c r="J17" s="591"/>
      <c r="K17" s="591"/>
      <c r="L17" s="420"/>
      <c r="M17" s="420"/>
      <c r="N17" s="420"/>
      <c r="O17" s="420"/>
      <c r="P17" s="420"/>
      <c r="Q17" s="420"/>
      <c r="R17" s="420"/>
      <c r="S17" s="420"/>
      <c r="T17" s="420"/>
      <c r="V17"/>
      <c r="W17"/>
      <c r="X17"/>
      <c r="Y17"/>
      <c r="Z17"/>
      <c r="AA17"/>
      <c r="AB17"/>
      <c r="AC17"/>
    </row>
    <row r="18" spans="1:29" ht="19.5" customHeight="1">
      <c r="A18" s="1097"/>
      <c r="B18" s="1097"/>
      <c r="C18" s="1097"/>
      <c r="D18" s="1097"/>
      <c r="E18" s="1097"/>
      <c r="F18" s="1097"/>
      <c r="G18" s="1097"/>
      <c r="H18" s="1097"/>
      <c r="I18" s="1099">
        <f>(VLOOKUP($I$10,'D_Ch-1'!$B$4:$Y$38,MATCH("Revenu médian UC N-1",'D_Ch-1'!$4:$4,0)-1,FALSE))</f>
        <v>20822</v>
      </c>
      <c r="J18" s="1099"/>
      <c r="K18" s="1099"/>
      <c r="L18" s="1096">
        <f>((VLOOKUP($I$10,'D_Ch-1'!$B$4:$Y$38,MATCH("Revenu médian UC N-1",'D_Ch-1'!$4:$4,0)-1,FALSE))-(VLOOKUP($I$10,'D_Ch-1'!$B$4:$Y$38,MATCH("Revenu médian UC N-2",'D_Ch-1'!$4:$4,0)-1,FALSE)))/(VLOOKUP($I$10,'D_Ch-1'!$B$4:$Y$38,MATCH("Revenu médian UC N-2",'D_Ch-1'!$4:$4,0)-1,FALSE))</f>
        <v>2.1788202963980763E-2</v>
      </c>
      <c r="M18" s="1096"/>
      <c r="N18" s="1096"/>
      <c r="O18" s="1100">
        <f>VLOOKUP($O$10,'D_Ch-1'!$B$4:$Y$38,MATCH("Revenu médian UC N-1",'D_Ch-1'!$4:$4,0)-1,FALSE)</f>
        <v>19954</v>
      </c>
      <c r="P18" s="1100"/>
      <c r="Q18" s="1100"/>
      <c r="R18" s="1098">
        <f>((VLOOKUP($O$10,'D_Ch-1'!$B$4:$Y$38,MATCH("Revenu médian UC N-1",'D_Ch-1'!$4:$4,0)-1,FALSE))-(VLOOKUP($O$10,'D_Ch-1'!$B$4:$Y$38,MATCH("Revenu médian UC N-2",'D_Ch-1'!$4:$4,0)-1,FALSE)))/(VLOOKUP($O$10,'D_Ch-1'!$B$4:$Y$38,MATCH("Revenu médian UC N-2",'D_Ch-1'!$4:$4,0)-1,FALSE))</f>
        <v>2.1291841539563927E-2</v>
      </c>
      <c r="S18" s="1098"/>
      <c r="T18" s="1098"/>
      <c r="V18"/>
      <c r="W18"/>
      <c r="X18"/>
      <c r="Y18"/>
      <c r="Z18"/>
      <c r="AA18"/>
      <c r="AB18"/>
      <c r="AC18"/>
    </row>
    <row r="19" spans="1:29">
      <c r="A19" s="422"/>
      <c r="B19" s="422"/>
      <c r="C19" s="422"/>
      <c r="D19" s="422"/>
      <c r="E19" s="422"/>
      <c r="F19" s="422"/>
      <c r="G19" s="420"/>
      <c r="H19" s="420"/>
      <c r="I19" s="591"/>
      <c r="J19" s="591"/>
      <c r="K19" s="591"/>
      <c r="L19" s="420"/>
      <c r="M19" s="420"/>
      <c r="N19" s="420"/>
      <c r="O19" s="420"/>
      <c r="P19" s="420"/>
      <c r="Q19" s="420"/>
      <c r="R19" s="420"/>
      <c r="S19" s="420"/>
      <c r="T19" s="420"/>
      <c r="V19"/>
      <c r="W19"/>
      <c r="X19"/>
      <c r="Y19"/>
      <c r="Z19"/>
      <c r="AA19"/>
      <c r="AB19"/>
      <c r="AC19"/>
    </row>
    <row r="20" spans="1:29" ht="15" customHeight="1">
      <c r="A20" s="1095" t="s">
        <v>1692</v>
      </c>
      <c r="B20" s="1095"/>
      <c r="C20" s="1095"/>
      <c r="D20" s="1095"/>
      <c r="E20" s="1095"/>
      <c r="F20" s="422"/>
      <c r="G20" s="1095"/>
      <c r="H20" s="1095"/>
      <c r="I20" s="1085">
        <f>(VLOOKUP($I$10,'D_Ch-1'!$B$4:$Y$38,MATCH("Actif 15-64 ans",'D_Ch-1'!$4:$4,0)-1,FALSE))</f>
        <v>717339.22673170397</v>
      </c>
      <c r="J20" s="1085"/>
      <c r="K20" s="1085"/>
      <c r="L20" s="420"/>
      <c r="M20" s="420"/>
      <c r="N20" s="420"/>
      <c r="O20" s="1086">
        <f>VLOOKUP($O$10,'D_Ch-1'!$B$4:$Y$38,MATCH("Actif 15-64 ans",'D_Ch-1'!$4:$4,0)-1,FALSE)</f>
        <v>1521036.6929792899</v>
      </c>
      <c r="P20" s="1086"/>
      <c r="Q20" s="1086"/>
      <c r="R20" s="420"/>
      <c r="S20" s="420"/>
      <c r="T20" s="420"/>
      <c r="V20"/>
      <c r="W20"/>
      <c r="X20"/>
      <c r="Y20"/>
      <c r="Z20"/>
      <c r="AA20"/>
      <c r="AB20"/>
      <c r="AC20"/>
    </row>
    <row r="21" spans="1:29" ht="15" customHeight="1">
      <c r="A21" s="1095" t="s">
        <v>1673</v>
      </c>
      <c r="B21" s="1095"/>
      <c r="C21" s="1095"/>
      <c r="D21" s="1095"/>
      <c r="E21" s="1095"/>
      <c r="F21" s="422"/>
      <c r="G21" s="420"/>
      <c r="H21" s="420"/>
      <c r="I21" s="591"/>
      <c r="J21" s="1103">
        <f>(VLOOKUP($I$10,'D_Ch-1'!$B$4:$Y$38,MATCH("Actif 15-64 ans",'D_Ch-1'!$4:$4,0)-1,FALSE))/(VLOOKUP($I$10,'D_Ch-1'!$B$4:$Y$38,MATCH("Pop 15 - 64 ans",'D_Ch-1'!$4:$4,0)-1,FALSE))</f>
        <v>0.73011005017143227</v>
      </c>
      <c r="K21" s="1103"/>
      <c r="L21" s="420"/>
      <c r="M21" s="420"/>
      <c r="N21" s="420"/>
      <c r="O21" s="420"/>
      <c r="P21" s="1104">
        <f>(VLOOKUP($O$10,'D_Ch-1'!$B$4:$Y$38,MATCH("Actif 15-64 ans",'D_Ch-1'!$4:$4,0)-1,FALSE))/(VLOOKUP($O$10,'D_Ch-1'!$B$4:$Y$38,MATCH("Pop 15 - 64 ans",'D_Ch-1'!$4:$4,0)-1,FALSE))</f>
        <v>0.72981882884521321</v>
      </c>
      <c r="Q21" s="1104"/>
      <c r="R21" s="420"/>
      <c r="S21" s="420"/>
      <c r="T21" s="420"/>
      <c r="V21"/>
      <c r="W21"/>
      <c r="X21"/>
      <c r="Y21"/>
      <c r="Z21"/>
      <c r="AA21"/>
      <c r="AB21"/>
      <c r="AC21"/>
    </row>
    <row r="22" spans="1:29">
      <c r="A22" s="420"/>
      <c r="B22" s="420"/>
      <c r="C22" s="420"/>
      <c r="D22" s="420"/>
      <c r="E22" s="420"/>
      <c r="F22" s="420"/>
      <c r="G22" s="420"/>
      <c r="H22" s="420"/>
      <c r="I22" s="591"/>
      <c r="J22" s="591"/>
      <c r="K22" s="591"/>
      <c r="L22" s="420"/>
      <c r="M22" s="420"/>
      <c r="N22" s="420"/>
      <c r="O22" s="420"/>
      <c r="P22" s="420"/>
      <c r="Q22" s="420"/>
      <c r="R22" s="420"/>
      <c r="S22" s="420"/>
      <c r="T22" s="420"/>
      <c r="V22"/>
      <c r="W22"/>
      <c r="X22"/>
      <c r="Y22"/>
      <c r="Z22"/>
      <c r="AA22"/>
      <c r="AB22"/>
      <c r="AC22"/>
    </row>
    <row r="23" spans="1:29">
      <c r="A23" s="420"/>
      <c r="B23" s="420"/>
      <c r="C23" s="420"/>
      <c r="D23" s="420"/>
      <c r="E23" s="420"/>
      <c r="F23" s="420"/>
      <c r="G23" s="420"/>
      <c r="H23" s="420"/>
      <c r="I23" s="420"/>
      <c r="J23" s="420"/>
      <c r="K23" s="420"/>
      <c r="L23" s="420"/>
      <c r="M23" s="420"/>
      <c r="N23" s="420"/>
      <c r="O23" s="420"/>
      <c r="P23" s="420"/>
      <c r="Q23" s="420"/>
      <c r="R23" s="420"/>
      <c r="S23" s="420"/>
      <c r="T23" s="420"/>
      <c r="V23"/>
      <c r="W23"/>
      <c r="X23"/>
      <c r="Y23"/>
      <c r="Z23"/>
      <c r="AA23"/>
      <c r="AB23"/>
      <c r="AC23"/>
    </row>
    <row r="24" spans="1:29">
      <c r="A24" s="420"/>
      <c r="B24" s="420"/>
      <c r="C24" s="420"/>
      <c r="D24" s="420"/>
      <c r="E24" s="420"/>
      <c r="F24" s="420"/>
      <c r="G24" s="420"/>
      <c r="H24" s="420"/>
      <c r="I24" s="420"/>
      <c r="J24" s="420"/>
      <c r="K24" s="420"/>
      <c r="L24" s="420"/>
      <c r="M24" s="420"/>
      <c r="N24" s="420"/>
      <c r="O24" s="420"/>
      <c r="P24" s="420"/>
      <c r="Q24" s="420"/>
      <c r="R24" s="420"/>
      <c r="S24" s="420"/>
      <c r="T24" s="420"/>
      <c r="V24"/>
      <c r="W24"/>
      <c r="X24"/>
      <c r="Y24"/>
      <c r="Z24"/>
      <c r="AA24"/>
      <c r="AB24"/>
      <c r="AC24"/>
    </row>
    <row r="25" spans="1:29">
      <c r="A25" s="426" t="s">
        <v>1693</v>
      </c>
      <c r="B25" s="426"/>
      <c r="C25" s="426"/>
      <c r="D25" s="426"/>
      <c r="E25" s="426"/>
      <c r="F25" s="426"/>
      <c r="G25" s="426"/>
      <c r="H25" s="426"/>
      <c r="I25" s="426"/>
      <c r="J25" s="420"/>
      <c r="K25" s="420"/>
      <c r="L25" s="420"/>
      <c r="M25" s="420"/>
      <c r="N25" s="420"/>
      <c r="O25" s="420"/>
      <c r="P25" s="420"/>
      <c r="Q25" s="420"/>
      <c r="R25" s="420"/>
      <c r="S25" s="420"/>
      <c r="T25" s="420"/>
      <c r="V25"/>
      <c r="W25"/>
      <c r="X25"/>
      <c r="Y25"/>
      <c r="Z25"/>
      <c r="AA25"/>
      <c r="AB25"/>
      <c r="AC25"/>
    </row>
    <row r="26" spans="1:29">
      <c r="A26" s="427"/>
      <c r="B26" s="420"/>
      <c r="C26" s="420"/>
      <c r="D26" s="420"/>
      <c r="E26" s="420"/>
      <c r="F26" s="420"/>
      <c r="G26" s="420"/>
      <c r="H26" s="420"/>
      <c r="I26" s="420"/>
      <c r="J26" s="420"/>
      <c r="K26" s="420"/>
      <c r="L26" s="420"/>
      <c r="M26" s="420"/>
      <c r="N26" s="420"/>
      <c r="O26" s="420"/>
      <c r="P26" s="420"/>
      <c r="Q26" s="420"/>
      <c r="R26" s="420"/>
      <c r="S26" s="420"/>
      <c r="T26" s="420"/>
      <c r="V26"/>
      <c r="W26"/>
      <c r="X26"/>
      <c r="Y26"/>
      <c r="Z26"/>
      <c r="AA26"/>
      <c r="AB26"/>
      <c r="AC26"/>
    </row>
    <row r="27" spans="1:29">
      <c r="A27" s="428"/>
      <c r="B27" s="429"/>
      <c r="C27" s="429" t="str">
        <f>I10</f>
        <v>Gironde</v>
      </c>
      <c r="D27" s="429"/>
      <c r="E27" s="429" t="str">
        <f>O10</f>
        <v>Aquitaine</v>
      </c>
      <c r="F27" s="429"/>
      <c r="G27" s="420"/>
      <c r="H27" s="420"/>
      <c r="I27" s="420"/>
      <c r="J27" s="420"/>
      <c r="K27" s="420"/>
      <c r="L27" s="420"/>
      <c r="M27" s="420"/>
      <c r="N27" s="420"/>
      <c r="O27" s="420"/>
      <c r="P27" s="420"/>
      <c r="Q27" s="420"/>
      <c r="R27" s="420"/>
      <c r="S27" s="420"/>
      <c r="T27" s="420"/>
      <c r="V27"/>
      <c r="W27"/>
      <c r="X27"/>
      <c r="Y27"/>
      <c r="Z27"/>
      <c r="AA27"/>
      <c r="AB27"/>
      <c r="AC27"/>
    </row>
    <row r="28" spans="1:29">
      <c r="A28" s="430" t="s">
        <v>875</v>
      </c>
      <c r="B28" s="429"/>
      <c r="C28" s="1101">
        <f>(VLOOKUP($I$10,'D_Ch-1'!$B$4:$Y$38,MATCH("Act occ CS1",'D_Ch-1'!$4:$4,0)-1,FALSE))/(VLOOKUP($I$10,'D_Ch-1'!$B$4:$Y$38,MATCH("Total Occ Actifs LR",'D_Ch-1'!$4:$4,0)-1,FALSE))</f>
        <v>1.2346023772948425E-2</v>
      </c>
      <c r="D28" s="1101"/>
      <c r="E28" s="1101">
        <f>(VLOOKUP($O$10,'D_Ch-1'!$B$4:$Y$38,MATCH("Act occ CS1",'D_Ch-1'!$4:$4,0)-1,FALSE))/(VLOOKUP($O$10,'D_Ch-1'!$B$4:$Y$38,MATCH("Total Occ Actifs LR",'D_Ch-1'!$4:$4,0)-1,FALSE))</f>
        <v>2.4161830879302938E-2</v>
      </c>
      <c r="F28" s="1101"/>
      <c r="G28" s="420"/>
      <c r="H28" s="420"/>
      <c r="I28" s="420"/>
      <c r="J28" s="420"/>
      <c r="K28" s="420"/>
      <c r="L28" s="420"/>
      <c r="M28" s="420"/>
      <c r="N28" s="420"/>
      <c r="O28" s="420"/>
      <c r="P28" s="420"/>
      <c r="Q28" s="420"/>
      <c r="R28" s="420"/>
      <c r="S28" s="420"/>
      <c r="T28" s="420"/>
      <c r="V28"/>
      <c r="W28"/>
      <c r="X28"/>
      <c r="Y28"/>
      <c r="Z28"/>
      <c r="AA28"/>
      <c r="AB28"/>
      <c r="AC28"/>
    </row>
    <row r="29" spans="1:29">
      <c r="A29" s="430" t="s">
        <v>876</v>
      </c>
      <c r="B29" s="429"/>
      <c r="C29" s="1101">
        <f>(VLOOKUP($I$10,'D_Ch-1'!$B$4:$Y$38,MATCH("Act occ CS2",'D_Ch-1'!$4:$4,0)-1,FALSE))/(VLOOKUP($I$10,'D_Ch-1'!$B$4:$Y$38,MATCH("Total Occ Actifs LR",'D_Ch-1'!$4:$4,0)-1,FALSE))</f>
        <v>7.0054319938053916E-2</v>
      </c>
      <c r="D29" s="1101"/>
      <c r="E29" s="1101">
        <f>(VLOOKUP($O$10,'D_Ch-1'!$B$4:$Y$38,MATCH("Act occ CS2",'D_Ch-1'!$4:$4,0)-1,FALSE))/(VLOOKUP($O$10,'D_Ch-1'!$B$4:$Y$38,MATCH("Total Occ Actifs LR",'D_Ch-1'!$4:$4,0)-1,FALSE))</f>
        <v>7.8398675570172674E-2</v>
      </c>
      <c r="F29" s="1101"/>
      <c r="G29" s="420"/>
      <c r="H29" s="420"/>
      <c r="I29" s="420"/>
      <c r="J29" s="420"/>
      <c r="K29" s="420"/>
      <c r="L29" s="420"/>
      <c r="M29" s="420"/>
      <c r="N29" s="420"/>
      <c r="O29" s="420"/>
      <c r="P29" s="420"/>
      <c r="Q29" s="420"/>
      <c r="R29" s="420"/>
      <c r="S29" s="420"/>
      <c r="T29" s="420"/>
      <c r="V29"/>
      <c r="W29"/>
      <c r="X29"/>
      <c r="Y29"/>
      <c r="Z29"/>
      <c r="AA29"/>
      <c r="AB29"/>
      <c r="AC29"/>
    </row>
    <row r="30" spans="1:29">
      <c r="A30" s="430" t="s">
        <v>1613</v>
      </c>
      <c r="B30" s="429"/>
      <c r="C30" s="1102">
        <f>(VLOOKUP($I$10,'D_Ch-1'!$B$4:$Y$38,MATCH("Act occ CS3",'D_Ch-1'!$4:$4,0)-1,FALSE))/(VLOOKUP($I$10,'D_Ch-1'!$B$4:$Y$38,MATCH("Total Occ Actifs LR",'D_Ch-1'!$4:$4,0)-1,FALSE))</f>
        <v>0.17464410446775738</v>
      </c>
      <c r="D30" s="1102"/>
      <c r="E30" s="1101">
        <f>(VLOOKUP($O$10,'D_Ch-1'!$B$4:$Y$38,MATCH("Act occ CS3",'D_Ch-1'!$4:$4,0)-1,FALSE))/(VLOOKUP($O$10,'D_Ch-1'!$B$4:$Y$38,MATCH("Total Occ Actifs LR",'D_Ch-1'!$4:$4,0)-1,FALSE))</f>
        <v>0.14015318787773937</v>
      </c>
      <c r="F30" s="1101"/>
      <c r="G30" s="420"/>
      <c r="H30" s="420"/>
      <c r="I30" s="420"/>
      <c r="J30" s="420"/>
      <c r="K30" s="420"/>
      <c r="L30" s="420"/>
      <c r="M30" s="420"/>
      <c r="N30" s="420"/>
      <c r="O30" s="420"/>
      <c r="P30" s="420"/>
      <c r="Q30" s="420"/>
      <c r="R30" s="420"/>
      <c r="S30" s="420"/>
      <c r="T30" s="420"/>
      <c r="V30"/>
      <c r="W30"/>
      <c r="X30"/>
      <c r="Y30"/>
      <c r="Z30"/>
      <c r="AA30"/>
      <c r="AB30"/>
      <c r="AC30"/>
    </row>
    <row r="31" spans="1:29">
      <c r="A31" s="430" t="s">
        <v>1614</v>
      </c>
      <c r="B31" s="429"/>
      <c r="C31" s="1101">
        <f>(VLOOKUP($I$10,'D_Ch-1'!$B$4:$Y$38,MATCH("Act occ CS4",'D_Ch-1'!$4:$4,0)-1,FALSE))/(VLOOKUP($I$10,'D_Ch-1'!$B$4:$Y$38,MATCH("Total Occ Actifs LR",'D_Ch-1'!$4:$4,0)-1,FALSE))</f>
        <v>0.2674040139138702</v>
      </c>
      <c r="D31" s="1101"/>
      <c r="E31" s="1101">
        <f>(VLOOKUP($O$10,'D_Ch-1'!$B$4:$Y$38,MATCH("Act occ CS4",'D_Ch-1'!$4:$4,0)-1,FALSE))/(VLOOKUP($O$10,'D_Ch-1'!$B$4:$Y$38,MATCH("Total Occ Actifs LR",'D_Ch-1'!$4:$4,0)-1,FALSE))</f>
        <v>0.25407809846680091</v>
      </c>
      <c r="F31" s="1101"/>
      <c r="G31" s="420"/>
      <c r="H31" s="420"/>
      <c r="I31" s="420"/>
      <c r="J31" s="420"/>
      <c r="K31" s="420"/>
      <c r="L31" s="420"/>
      <c r="M31" s="420"/>
      <c r="N31" s="420"/>
      <c r="O31" s="420"/>
      <c r="P31" s="420"/>
      <c r="Q31" s="420"/>
      <c r="R31" s="420"/>
      <c r="S31" s="420"/>
      <c r="T31" s="420"/>
      <c r="V31"/>
      <c r="W31"/>
      <c r="X31"/>
      <c r="Y31"/>
      <c r="Z31"/>
      <c r="AA31"/>
      <c r="AB31"/>
      <c r="AC31"/>
    </row>
    <row r="32" spans="1:29">
      <c r="A32" s="430" t="s">
        <v>877</v>
      </c>
      <c r="B32" s="429"/>
      <c r="C32" s="1101">
        <f>(VLOOKUP($I$10,'D_Ch-1'!$B$4:$Y$38,MATCH("Act occ CS5",'D_Ch-1'!$4:$4,0)-1,FALSE))/(VLOOKUP($I$10,'D_Ch-1'!$B$4:$Y$38,MATCH("Total Occ Actifs LR",'D_Ch-1'!$4:$4,0)-1,FALSE))</f>
        <v>0.28292477059473897</v>
      </c>
      <c r="D32" s="1101"/>
      <c r="E32" s="1101">
        <f>(VLOOKUP($O$10,'D_Ch-1'!$B$4:$Y$38,MATCH("Act occ CS5",'D_Ch-1'!$4:$4,0)-1,FALSE))/(VLOOKUP($O$10,'D_Ch-1'!$B$4:$Y$38,MATCH("Total Occ Actifs LR",'D_Ch-1'!$4:$4,0)-1,FALSE))</f>
        <v>0.29053375470569159</v>
      </c>
      <c r="F32" s="1101"/>
      <c r="G32" s="420"/>
      <c r="H32" s="420"/>
      <c r="I32" s="420"/>
      <c r="J32" s="420"/>
      <c r="K32" s="420"/>
      <c r="L32" s="420"/>
      <c r="M32" s="420"/>
      <c r="N32" s="420"/>
      <c r="O32" s="420"/>
      <c r="P32" s="420"/>
      <c r="Q32" s="420"/>
      <c r="R32" s="420"/>
      <c r="S32" s="420"/>
      <c r="T32" s="420"/>
      <c r="V32"/>
      <c r="W32"/>
      <c r="X32"/>
      <c r="Y32"/>
      <c r="Z32"/>
      <c r="AA32"/>
      <c r="AB32"/>
      <c r="AC32"/>
    </row>
    <row r="33" spans="1:29">
      <c r="A33" s="430" t="s">
        <v>878</v>
      </c>
      <c r="B33" s="429"/>
      <c r="C33" s="1101">
        <f>(VLOOKUP($I$10,'D_Ch-1'!$B$4:$Y$38,MATCH("Act occ CS6",'D_Ch-1'!$4:$4,0)-1,FALSE))/(VLOOKUP($I$10,'D_Ch-1'!$B$4:$Y$38,MATCH("Total Occ Actifs LR",'D_Ch-1'!$4:$4,0)-1,FALSE))</f>
        <v>0.19311416560890984</v>
      </c>
      <c r="D33" s="1101"/>
      <c r="E33" s="1101">
        <f>(VLOOKUP($O$10,'D_Ch-1'!$B$4:$Y$38,MATCH("Act occ CS6",'D_Ch-1'!$4:$4,0)-1,FALSE))/(VLOOKUP($O$10,'D_Ch-1'!$B$4:$Y$38,MATCH("Total Occ Actifs LR",'D_Ch-1'!$4:$4,0)-1,FALSE))</f>
        <v>0.21352617118510375</v>
      </c>
      <c r="F33" s="1101"/>
      <c r="G33" s="420"/>
      <c r="H33" s="420"/>
      <c r="I33" s="420"/>
      <c r="J33" s="420"/>
      <c r="K33" s="420"/>
      <c r="L33" s="420"/>
      <c r="M33" s="420"/>
      <c r="N33" s="420"/>
      <c r="O33" s="420"/>
      <c r="P33" s="420"/>
      <c r="Q33" s="420"/>
      <c r="R33" s="420"/>
      <c r="S33" s="420"/>
      <c r="T33" s="420"/>
      <c r="V33"/>
      <c r="W33"/>
      <c r="X33"/>
      <c r="Y33"/>
      <c r="Z33"/>
      <c r="AA33"/>
      <c r="AB33"/>
      <c r="AC33"/>
    </row>
    <row r="34" spans="1:29">
      <c r="A34" s="420"/>
      <c r="B34" s="420"/>
      <c r="C34" s="431"/>
      <c r="D34" s="420"/>
      <c r="E34" s="420"/>
      <c r="F34" s="420"/>
      <c r="G34" s="420"/>
      <c r="H34" s="420"/>
      <c r="I34" s="420"/>
      <c r="J34" s="420"/>
      <c r="K34" s="420"/>
      <c r="L34" s="420"/>
      <c r="M34" s="420"/>
      <c r="N34" s="420"/>
      <c r="O34" s="420"/>
      <c r="P34" s="420"/>
      <c r="Q34" s="420"/>
      <c r="R34" s="420"/>
      <c r="S34" s="420"/>
      <c r="T34" s="420"/>
      <c r="V34"/>
      <c r="W34"/>
      <c r="X34"/>
      <c r="Y34"/>
      <c r="Z34"/>
      <c r="AA34"/>
      <c r="AB34"/>
      <c r="AC34"/>
    </row>
    <row r="35" spans="1:29">
      <c r="A35" s="420"/>
      <c r="B35" s="420"/>
      <c r="C35" s="420"/>
      <c r="D35" s="420"/>
      <c r="E35" s="420"/>
      <c r="F35" s="420"/>
      <c r="G35" s="420"/>
      <c r="H35" s="420"/>
      <c r="I35" s="420"/>
      <c r="J35" s="420"/>
      <c r="K35" s="420"/>
      <c r="L35" s="420"/>
      <c r="M35" s="420"/>
      <c r="N35" s="420"/>
      <c r="O35" s="420"/>
      <c r="P35" s="420"/>
      <c r="Q35" s="420"/>
      <c r="R35" s="420"/>
      <c r="S35" s="420"/>
      <c r="T35" s="420"/>
      <c r="V35"/>
      <c r="W35"/>
      <c r="X35"/>
      <c r="Y35"/>
      <c r="Z35"/>
      <c r="AA35"/>
      <c r="AB35"/>
      <c r="AC35"/>
    </row>
    <row r="36" spans="1:29">
      <c r="A36" s="420"/>
      <c r="B36" s="420"/>
      <c r="C36" s="420"/>
      <c r="D36" s="420"/>
      <c r="E36" s="420"/>
      <c r="F36" s="420"/>
      <c r="G36" s="420"/>
      <c r="H36" s="420"/>
      <c r="I36" s="420"/>
      <c r="J36" s="420"/>
      <c r="K36" s="420"/>
      <c r="L36" s="420"/>
      <c r="M36" s="420"/>
      <c r="N36" s="420"/>
      <c r="O36" s="420"/>
      <c r="P36" s="420"/>
      <c r="Q36" s="420"/>
      <c r="R36" s="420"/>
      <c r="S36" s="420"/>
      <c r="T36" s="420"/>
      <c r="V36"/>
      <c r="W36"/>
      <c r="X36"/>
      <c r="Y36"/>
      <c r="Z36"/>
      <c r="AA36"/>
      <c r="AB36"/>
      <c r="AC36"/>
    </row>
    <row r="37" spans="1:29">
      <c r="A37" s="426" t="s">
        <v>1697</v>
      </c>
      <c r="B37" s="426"/>
      <c r="C37" s="426"/>
      <c r="D37" s="426"/>
      <c r="E37" s="426"/>
      <c r="F37" s="426"/>
      <c r="G37" s="426"/>
      <c r="H37" s="420"/>
      <c r="I37" s="420"/>
      <c r="J37" s="420"/>
      <c r="K37" s="420"/>
      <c r="L37" s="420"/>
      <c r="M37" s="420"/>
      <c r="N37" s="420"/>
      <c r="O37" s="420"/>
      <c r="P37" s="420"/>
      <c r="Q37" s="420"/>
      <c r="R37" s="420"/>
      <c r="S37" s="420"/>
      <c r="T37" s="420"/>
      <c r="V37"/>
      <c r="W37"/>
      <c r="X37"/>
      <c r="Y37"/>
      <c r="Z37"/>
      <c r="AA37"/>
      <c r="AB37"/>
      <c r="AC37"/>
    </row>
    <row r="38" spans="1:29">
      <c r="A38" s="674"/>
      <c r="B38" s="674"/>
      <c r="C38" s="674"/>
      <c r="D38" s="674"/>
      <c r="E38" s="674"/>
      <c r="F38" s="674"/>
      <c r="G38" s="674"/>
      <c r="H38" s="674"/>
      <c r="I38" s="674"/>
      <c r="J38" s="674"/>
      <c r="K38" s="674"/>
      <c r="L38" s="674"/>
      <c r="M38" s="674"/>
      <c r="N38" s="674"/>
      <c r="O38" s="420"/>
      <c r="P38" s="420"/>
      <c r="Q38" s="420"/>
      <c r="R38" s="420"/>
      <c r="S38" s="420"/>
      <c r="T38" s="420"/>
      <c r="V38"/>
      <c r="W38"/>
      <c r="X38"/>
      <c r="Y38"/>
      <c r="Z38"/>
      <c r="AA38"/>
      <c r="AB38"/>
      <c r="AC38"/>
    </row>
    <row r="39" spans="1:29">
      <c r="A39" s="204"/>
      <c r="B39" s="204"/>
      <c r="C39" s="674"/>
      <c r="D39" s="674"/>
      <c r="E39" s="674"/>
      <c r="F39" s="674"/>
      <c r="G39" s="674"/>
      <c r="H39" s="674"/>
      <c r="I39" s="674"/>
      <c r="J39" s="674"/>
      <c r="K39" s="674"/>
      <c r="L39" s="674"/>
      <c r="M39" s="674"/>
      <c r="N39" s="674"/>
      <c r="O39" s="420"/>
      <c r="P39" s="420"/>
      <c r="Q39" s="420"/>
      <c r="R39" s="420"/>
      <c r="S39" s="420"/>
      <c r="T39" s="420"/>
      <c r="V39"/>
      <c r="W39"/>
      <c r="X39"/>
      <c r="Y39"/>
      <c r="Z39"/>
      <c r="AA39"/>
      <c r="AB39"/>
      <c r="AC39"/>
    </row>
    <row r="40" spans="1:29">
      <c r="A40" s="204"/>
      <c r="B40" s="204"/>
      <c r="C40" s="1101"/>
      <c r="D40" s="1101"/>
      <c r="E40" s="1101"/>
      <c r="F40" s="1101"/>
      <c r="G40" s="429"/>
      <c r="H40" s="674"/>
      <c r="I40" s="674"/>
      <c r="J40" s="674"/>
      <c r="K40" s="674"/>
      <c r="L40" s="674"/>
      <c r="M40" s="674"/>
      <c r="N40" s="674"/>
      <c r="O40" s="420"/>
      <c r="P40" s="420"/>
      <c r="Q40" s="420"/>
      <c r="R40" s="420"/>
      <c r="S40" s="420"/>
      <c r="T40" s="420"/>
      <c r="V40"/>
      <c r="W40"/>
      <c r="X40"/>
      <c r="Y40"/>
      <c r="Z40"/>
      <c r="AA40"/>
      <c r="AB40"/>
      <c r="AC40"/>
    </row>
    <row r="41" spans="1:29">
      <c r="A41" s="204" t="s">
        <v>1740</v>
      </c>
      <c r="B41" s="204"/>
      <c r="C41" s="1101">
        <f>(VLOOKUP($I$10,'D_Ch-1'!$B$4:$Y$38,MATCH("Enseignement sup",'D_Ch-1'!$4:$4,0)-1,FALSE))/(VLOOKUP($I$10,'D_Ch-1'!$B$4:$Y$38,MATCH("Pop 15 ans ou plus non scolarisée",'D_Ch-1'!$4:$4,0)-1,FALSE))</f>
        <v>0.29180493373469202</v>
      </c>
      <c r="D41" s="1101"/>
      <c r="E41" s="1101">
        <f>(VLOOKUP($O$10,'D_Ch-1'!$B$4:$Y$38,MATCH("Enseignement sup",'D_Ch-1'!$4:$4,0)-1,FALSE))/(VLOOKUP($O$10,'D_Ch-1'!$B$4:$Y$38,MATCH("Pop 15 ans ou plus non scolarisée",'D_Ch-1'!$4:$4,0)-1,FALSE))</f>
        <v>0.25691087273475111</v>
      </c>
      <c r="F41" s="1101"/>
      <c r="G41" s="429"/>
      <c r="H41" s="674"/>
      <c r="I41" s="674"/>
      <c r="J41" s="674"/>
      <c r="K41" s="674"/>
      <c r="L41" s="674"/>
      <c r="M41" s="674"/>
      <c r="N41" s="674"/>
      <c r="O41" s="420"/>
      <c r="P41" s="420"/>
      <c r="Q41" s="420"/>
      <c r="R41" s="420"/>
      <c r="S41" s="420"/>
      <c r="T41" s="420"/>
      <c r="V41"/>
      <c r="W41"/>
      <c r="X41"/>
      <c r="Y41"/>
      <c r="Z41"/>
      <c r="AA41"/>
      <c r="AB41"/>
      <c r="AC41"/>
    </row>
    <row r="42" spans="1:29">
      <c r="A42" s="204" t="s">
        <v>1591</v>
      </c>
      <c r="B42" s="204"/>
      <c r="C42" s="1101">
        <f>(VLOOKUP($I$10,'D_Ch-1'!$B$4:$Y$38,MATCH("BAC-Bpro",'D_Ch-1'!$4:$4,0)-1,FALSE))/(VLOOKUP($I$10,'D_Ch-1'!$B$4:$Y$38,MATCH("Pop 15 ans ou plus non scolarisée",'D_Ch-1'!$4:$4,0)-1,FALSE))</f>
        <v>0.17343122371443548</v>
      </c>
      <c r="D42" s="1101"/>
      <c r="E42" s="1101">
        <f>(VLOOKUP($O$10,'D_Ch-1'!$B$4:$Y$38,MATCH("BAC-Bpro",'D_Ch-1'!$4:$4,0)-1,FALSE))/(VLOOKUP($O$10,'D_Ch-1'!$B$4:$Y$38,MATCH("Pop 15 ans ou plus non scolarisée",'D_Ch-1'!$4:$4,0)-1,FALSE))</f>
        <v>0.17259652950035487</v>
      </c>
      <c r="F42" s="1101"/>
      <c r="G42" s="429"/>
      <c r="H42" s="674"/>
      <c r="I42" s="674"/>
      <c r="J42" s="674"/>
      <c r="K42" s="674"/>
      <c r="L42" s="674"/>
      <c r="M42" s="674"/>
      <c r="N42" s="674"/>
      <c r="O42" s="420"/>
      <c r="P42" s="420"/>
      <c r="Q42" s="420"/>
      <c r="R42" s="420"/>
      <c r="S42" s="420"/>
      <c r="T42" s="420"/>
      <c r="V42"/>
      <c r="W42"/>
      <c r="X42"/>
      <c r="Y42"/>
      <c r="Z42"/>
      <c r="AA42"/>
      <c r="AB42"/>
      <c r="AC42"/>
    </row>
    <row r="43" spans="1:29">
      <c r="A43" s="204" t="s">
        <v>880</v>
      </c>
      <c r="B43" s="204"/>
      <c r="C43" s="1102">
        <f>(VLOOKUP($I$10,'D_Ch-1'!$B$4:$Y$38,MATCH("CAP-BEP",'D_Ch-1'!$4:$4,0)-1,FALSE))/(VLOOKUP($I$10,'D_Ch-1'!$B$4:$Y$38,MATCH("Pop 15 ans ou plus non scolarisée",'D_Ch-1'!$4:$4,0)-1,FALSE))</f>
        <v>0.24912431625984402</v>
      </c>
      <c r="D43" s="1102"/>
      <c r="E43" s="1101">
        <f>(VLOOKUP($O$10,'D_Ch-1'!$B$4:$Y$38,MATCH("CAP-BEP",'D_Ch-1'!$4:$4,0)-1,FALSE))/(VLOOKUP($O$10,'D_Ch-1'!$B$4:$Y$38,MATCH("Pop 15 ans ou plus non scolarisée",'D_Ch-1'!$4:$4,0)-1,FALSE))</f>
        <v>0.26278158347991137</v>
      </c>
      <c r="F43" s="1101"/>
      <c r="G43" s="429"/>
      <c r="H43" s="674"/>
      <c r="I43" s="674"/>
      <c r="J43" s="674"/>
      <c r="K43" s="674"/>
      <c r="L43" s="674"/>
      <c r="M43" s="674"/>
      <c r="N43" s="674"/>
      <c r="O43" s="420"/>
      <c r="P43" s="420"/>
      <c r="Q43" s="420"/>
      <c r="R43" s="420"/>
      <c r="S43" s="420"/>
      <c r="T43" s="420"/>
      <c r="V43"/>
      <c r="W43"/>
      <c r="X43"/>
      <c r="Y43"/>
      <c r="Z43"/>
      <c r="AA43"/>
      <c r="AB43"/>
      <c r="AC43"/>
    </row>
    <row r="44" spans="1:29">
      <c r="A44" s="204" t="s">
        <v>1612</v>
      </c>
      <c r="B44" s="204"/>
      <c r="C44" s="1101">
        <f>(VLOOKUP($I$10,'D_Ch-1'!$B$4:$Y$38,MATCH("0 diplôme CEP - Brevet coll",'D_Ch-1'!$4:$4,0)-1,FALSE))/(VLOOKUP($I$10,'D_Ch-1'!$B$4:$Y$38,MATCH("Pop 15 ans ou plus non scolarisée",'D_Ch-1'!$4:$4,0)-1,FALSE))</f>
        <v>0.28563952629102846</v>
      </c>
      <c r="D44" s="1101"/>
      <c r="E44" s="1101">
        <f>(VLOOKUP($O$10,'D_Ch-1'!$B$4:$Y$38,MATCH("0 diplôme CEP - Brevet coll",'D_Ch-1'!$4:$4,0)-1,FALSE))/(VLOOKUP($O$10,'D_Ch-1'!$B$4:$Y$38,MATCH("Pop 15 ans ou plus non scolarisée",'D_Ch-1'!$4:$4,0)-1,FALSE))</f>
        <v>0.3077110142849826</v>
      </c>
      <c r="F44" s="1101"/>
      <c r="G44" s="429"/>
      <c r="H44" s="674"/>
      <c r="I44" s="674"/>
      <c r="J44" s="674"/>
      <c r="K44" s="674"/>
      <c r="L44" s="674"/>
      <c r="M44" s="674"/>
      <c r="N44" s="674"/>
      <c r="O44" s="420"/>
      <c r="P44" s="420"/>
      <c r="Q44" s="420"/>
      <c r="R44" s="420"/>
      <c r="S44" s="420"/>
      <c r="T44" s="420"/>
      <c r="V44"/>
      <c r="W44"/>
      <c r="X44"/>
      <c r="Y44"/>
      <c r="Z44"/>
      <c r="AA44"/>
      <c r="AB44"/>
      <c r="AC44"/>
    </row>
    <row r="45" spans="1:29">
      <c r="A45" s="204"/>
      <c r="B45" s="204"/>
      <c r="C45" s="1101"/>
      <c r="D45" s="1101"/>
      <c r="E45" s="1101"/>
      <c r="F45" s="1101"/>
      <c r="G45" s="429"/>
      <c r="H45" s="674"/>
      <c r="I45" s="674"/>
      <c r="J45" s="674"/>
      <c r="K45" s="674"/>
      <c r="L45" s="674"/>
      <c r="M45" s="674"/>
      <c r="N45" s="674"/>
      <c r="O45" s="420"/>
      <c r="P45" s="420"/>
      <c r="Q45" s="420"/>
      <c r="R45" s="420"/>
      <c r="S45" s="420"/>
      <c r="T45" s="420"/>
      <c r="V45"/>
      <c r="W45"/>
      <c r="X45"/>
      <c r="Y45"/>
      <c r="Z45"/>
      <c r="AA45"/>
      <c r="AB45"/>
      <c r="AC45"/>
    </row>
    <row r="46" spans="1:29">
      <c r="A46" s="204"/>
      <c r="B46" s="204"/>
      <c r="C46" s="1105"/>
      <c r="D46" s="1105"/>
      <c r="E46" s="1105"/>
      <c r="F46" s="1105"/>
      <c r="G46" s="674"/>
      <c r="H46" s="674"/>
      <c r="I46" s="674"/>
      <c r="J46" s="674"/>
      <c r="K46" s="674"/>
      <c r="L46" s="674"/>
      <c r="M46" s="674"/>
      <c r="N46" s="674"/>
      <c r="O46" s="420"/>
      <c r="P46" s="420"/>
      <c r="Q46" s="420"/>
      <c r="R46" s="420"/>
      <c r="S46" s="420"/>
      <c r="T46" s="420"/>
      <c r="V46"/>
      <c r="W46"/>
      <c r="X46"/>
      <c r="Y46"/>
      <c r="Z46"/>
      <c r="AA46"/>
      <c r="AB46"/>
      <c r="AC46"/>
    </row>
    <row r="47" spans="1:29">
      <c r="A47" s="204"/>
      <c r="B47" s="204"/>
      <c r="C47" s="674"/>
      <c r="D47" s="674"/>
      <c r="E47" s="674"/>
      <c r="F47" s="674"/>
      <c r="G47" s="674"/>
      <c r="H47" s="674"/>
      <c r="I47" s="674"/>
      <c r="J47" s="674"/>
      <c r="K47" s="674"/>
      <c r="L47" s="674"/>
      <c r="M47" s="674"/>
      <c r="N47" s="674"/>
      <c r="O47" s="420"/>
      <c r="P47" s="420"/>
      <c r="Q47" s="420"/>
      <c r="R47" s="420"/>
      <c r="S47" s="420"/>
      <c r="T47" s="420"/>
      <c r="V47"/>
      <c r="W47"/>
      <c r="X47"/>
      <c r="Y47"/>
      <c r="Z47"/>
      <c r="AA47"/>
      <c r="AB47"/>
      <c r="AC47"/>
    </row>
    <row r="48" spans="1:29">
      <c r="A48" s="674"/>
      <c r="B48" s="674"/>
      <c r="C48" s="674"/>
      <c r="D48" s="674"/>
      <c r="E48" s="674"/>
      <c r="F48" s="674"/>
      <c r="G48" s="674"/>
      <c r="H48" s="674"/>
      <c r="I48" s="674"/>
      <c r="J48" s="674"/>
      <c r="K48" s="674"/>
      <c r="L48" s="674"/>
      <c r="M48" s="674"/>
      <c r="N48" s="674"/>
      <c r="O48" s="420"/>
      <c r="P48" s="420"/>
      <c r="Q48" s="420"/>
      <c r="R48" s="420"/>
      <c r="S48" s="420"/>
      <c r="T48" s="420"/>
      <c r="V48"/>
      <c r="W48"/>
      <c r="X48"/>
      <c r="Y48"/>
      <c r="Z48"/>
      <c r="AA48"/>
      <c r="AB48"/>
      <c r="AC48"/>
    </row>
    <row r="49" spans="1:29">
      <c r="A49" s="420"/>
      <c r="B49" s="420"/>
      <c r="C49" s="420"/>
      <c r="D49" s="420"/>
      <c r="E49" s="420"/>
      <c r="F49" s="420"/>
      <c r="G49" s="420"/>
      <c r="H49" s="420"/>
      <c r="I49" s="420"/>
      <c r="J49" s="420"/>
      <c r="K49" s="420"/>
      <c r="L49" s="420"/>
      <c r="M49" s="420"/>
      <c r="N49" s="420"/>
      <c r="O49" s="420"/>
      <c r="P49" s="420"/>
      <c r="Q49" s="420"/>
      <c r="R49" s="420"/>
      <c r="S49" s="420"/>
      <c r="T49" s="420"/>
      <c r="V49"/>
      <c r="W49"/>
      <c r="X49"/>
      <c r="Y49"/>
      <c r="Z49"/>
      <c r="AA49"/>
      <c r="AB49"/>
      <c r="AC49"/>
    </row>
    <row r="50" spans="1:29">
      <c r="A50" s="228"/>
      <c r="B50" s="228"/>
      <c r="C50" s="228"/>
      <c r="D50" s="228"/>
      <c r="E50" s="228"/>
      <c r="F50" s="228"/>
      <c r="G50" s="228"/>
      <c r="H50" s="228"/>
      <c r="I50" s="228"/>
      <c r="J50" s="228"/>
      <c r="K50" s="228"/>
      <c r="L50" s="228"/>
      <c r="M50" s="228"/>
      <c r="N50" s="228"/>
      <c r="O50" s="228"/>
      <c r="P50" s="228"/>
      <c r="Q50" s="228"/>
      <c r="R50" s="228"/>
      <c r="S50" s="228"/>
      <c r="T50" s="228"/>
      <c r="V50"/>
      <c r="W50"/>
      <c r="X50"/>
      <c r="Y50"/>
      <c r="Z50"/>
      <c r="AA50"/>
      <c r="AB50"/>
      <c r="AC50"/>
    </row>
    <row r="51" spans="1:29">
      <c r="V51"/>
      <c r="W51"/>
      <c r="X51"/>
      <c r="Y51"/>
      <c r="Z51"/>
      <c r="AA51"/>
      <c r="AB51"/>
      <c r="AC51"/>
    </row>
    <row r="52" spans="1:29"/>
  </sheetData>
  <sheetProtection sheet="1" objects="1" scenarios="1" autoFilter="0"/>
  <mergeCells count="56">
    <mergeCell ref="E41:F41"/>
    <mergeCell ref="C41:D41"/>
    <mergeCell ref="C46:D46"/>
    <mergeCell ref="E46:F46"/>
    <mergeCell ref="C42:D42"/>
    <mergeCell ref="E42:F42"/>
    <mergeCell ref="C43:D43"/>
    <mergeCell ref="E43:F43"/>
    <mergeCell ref="C45:D45"/>
    <mergeCell ref="E45:F45"/>
    <mergeCell ref="C44:D44"/>
    <mergeCell ref="E44:F44"/>
    <mergeCell ref="I20:K20"/>
    <mergeCell ref="O20:Q20"/>
    <mergeCell ref="C28:D28"/>
    <mergeCell ref="E28:F28"/>
    <mergeCell ref="C29:D29"/>
    <mergeCell ref="E29:F29"/>
    <mergeCell ref="J21:K21"/>
    <mergeCell ref="P21:Q21"/>
    <mergeCell ref="A21:E21"/>
    <mergeCell ref="A20:E20"/>
    <mergeCell ref="G20:H20"/>
    <mergeCell ref="C33:D33"/>
    <mergeCell ref="E33:F33"/>
    <mergeCell ref="C40:D40"/>
    <mergeCell ref="E40:F40"/>
    <mergeCell ref="C30:D30"/>
    <mergeCell ref="E30:F30"/>
    <mergeCell ref="C31:D31"/>
    <mergeCell ref="E31:F31"/>
    <mergeCell ref="C32:D32"/>
    <mergeCell ref="E32:F32"/>
    <mergeCell ref="A14:F14"/>
    <mergeCell ref="A15:F15"/>
    <mergeCell ref="L18:N18"/>
    <mergeCell ref="A17:H18"/>
    <mergeCell ref="R18:T18"/>
    <mergeCell ref="I14:K14"/>
    <mergeCell ref="I15:K15"/>
    <mergeCell ref="O14:Q14"/>
    <mergeCell ref="O15:Q15"/>
    <mergeCell ref="I18:K18"/>
    <mergeCell ref="O18:Q18"/>
    <mergeCell ref="F1:T4"/>
    <mergeCell ref="A6:T7"/>
    <mergeCell ref="I12:K12"/>
    <mergeCell ref="O12:Q12"/>
    <mergeCell ref="I13:K13"/>
    <mergeCell ref="I11:K11"/>
    <mergeCell ref="O13:Q13"/>
    <mergeCell ref="L12:N12"/>
    <mergeCell ref="I10:L10"/>
    <mergeCell ref="O10:R10"/>
    <mergeCell ref="R12:T12"/>
    <mergeCell ref="A10:D10"/>
  </mergeCells>
  <conditionalFormatting sqref="L12">
    <cfRule type="iconSet" priority="10">
      <iconSet iconSet="5ArrowsGray">
        <cfvo type="percent" val="0"/>
        <cfvo type="num" val="-0.5"/>
        <cfvo type="num" val="-0.05"/>
        <cfvo type="num" val="0.05"/>
        <cfvo type="num" val="0.5"/>
      </iconSet>
    </cfRule>
  </conditionalFormatting>
  <conditionalFormatting sqref="L18:N18">
    <cfRule type="iconSet" priority="3">
      <iconSet iconSet="5ArrowsGray">
        <cfvo type="percent" val="0"/>
        <cfvo type="num" val="-0.5"/>
        <cfvo type="num" val="-0.05"/>
        <cfvo type="num" val="0.05"/>
        <cfvo type="num" val="0.5"/>
      </iconSet>
    </cfRule>
  </conditionalFormatting>
  <conditionalFormatting sqref="R18:T18">
    <cfRule type="iconSet" priority="2">
      <iconSet iconSet="5ArrowsGray">
        <cfvo type="percent" val="0"/>
        <cfvo type="num" val="-0.5"/>
        <cfvo type="num" val="-0.05"/>
        <cfvo type="num" val="0.05"/>
        <cfvo type="num" val="0.5"/>
      </iconSet>
    </cfRule>
  </conditionalFormatting>
  <conditionalFormatting sqref="R12">
    <cfRule type="iconSet" priority="1">
      <iconSet iconSet="5ArrowsGray">
        <cfvo type="percent" val="0"/>
        <cfvo type="num" val="-0.5"/>
        <cfvo type="num" val="-0.05"/>
        <cfvo type="num" val="0.05"/>
        <cfvo type="num" val="0.5"/>
      </iconSet>
    </cfRule>
  </conditionalFormatting>
  <hyperlinks>
    <hyperlink ref="A12:F12" location="Glossaire!A118" display="Nombre d'habitants en 2013"/>
    <hyperlink ref="A13:F13" location="Glossaire!A18" display="Taux de croissance annuel moyen"/>
    <hyperlink ref="A20" location="Glossaire!A36" display="Nb d'actifs de 15 - 64 ans en 2012"/>
    <hyperlink ref="A21" location="Glossaire!A38" display="Taux d'activité en 2012"/>
    <hyperlink ref="A25" location="Glossaire!A40" display="Répartition des actifs occupés en 2012"/>
    <hyperlink ref="A37" location="Glossaire!A42" display="Niveau de qualification en 2012"/>
    <hyperlink ref="A20:E20" location="Glossaire!A36" display="Nb d'actifs de 15 - 64 ans en 2012"/>
    <hyperlink ref="A21:D21" location="Glossaire!A38" display="Taux d'activité en 2012"/>
    <hyperlink ref="A25:F25" location="Glossaire!A40" display="Répartition des actifs occupés en 2012"/>
    <hyperlink ref="A37:E37" location="Glossaire!A42" display="Niveau de qualification en 2012"/>
    <hyperlink ref="A20:G20" location="Glossaire!A38" display="Nombre d'actifs de 15 - 64 ans en 2013"/>
    <hyperlink ref="A21:E21" location="Glossaire!A148" display="Taux d'activité en 2013"/>
    <hyperlink ref="A37:G37" location="Glossaire!A152" display="Niveau de qualification en 2013"/>
    <hyperlink ref="A25:H25" location="Glossaire!A150" display="Répartition des actifs occupés en 2013"/>
    <hyperlink ref="A20:H20" location="Glossaire!A146" display="Nombre d'actifs de 15 - 64 ans en 2013"/>
    <hyperlink ref="A13:G13" location="Glossaire!A126" display="Taux de croissance annuel moyen"/>
  </hyperlinks>
  <pageMargins left="0.23622047244094491" right="0.23622047244094491" top="0.55118110236220474" bottom="0.55118110236220474" header="0.11811023622047245" footer="0.11811023622047245"/>
  <pageSetup paperSize="9" fitToWidth="2" orientation="portrait" r:id="rId1"/>
  <headerFooter>
    <oddHeader>&amp;C&amp;"Arial,Gras"&amp;10Tableau de bord / Mise à jour mars 2017</oddHeader>
    <oddFooter>&amp;C&amp;"-,Italique"&amp;8&amp;A&amp;R&amp;8Page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'D_Ch-1'!$B$5:$B$38</xm:f>
          </x14:formula1>
          <xm:sqref>I10:L10 O10:R10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showGridLines="0" view="pageLayout" zoomScaleNormal="100" workbookViewId="0">
      <selection activeCell="A6" sqref="A6:T7"/>
    </sheetView>
  </sheetViews>
  <sheetFormatPr baseColWidth="10" defaultColWidth="0" defaultRowHeight="15" zeroHeight="1"/>
  <cols>
    <col min="1" max="4" width="4.85546875" customWidth="1"/>
    <col min="5" max="7" width="4.7109375" customWidth="1"/>
    <col min="8" max="19" width="4.85546875" customWidth="1"/>
    <col min="20" max="20" width="3" customWidth="1"/>
    <col min="21" max="22" width="0" hidden="1" customWidth="1"/>
    <col min="23" max="16384" width="11.42578125" hidden="1"/>
  </cols>
  <sheetData>
    <row r="1" spans="1:22" ht="16.7" customHeight="1">
      <c r="A1" s="1"/>
      <c r="B1" s="6"/>
      <c r="C1" s="7"/>
      <c r="D1" s="7"/>
      <c r="E1" s="7"/>
      <c r="F1" s="866" t="s">
        <v>1369</v>
      </c>
      <c r="G1" s="867"/>
      <c r="H1" s="867"/>
      <c r="I1" s="867"/>
      <c r="J1" s="867"/>
      <c r="K1" s="867"/>
      <c r="L1" s="867"/>
      <c r="M1" s="867"/>
      <c r="N1" s="867"/>
      <c r="O1" s="867"/>
      <c r="P1" s="867"/>
      <c r="Q1" s="867"/>
      <c r="R1" s="867"/>
      <c r="S1" s="867"/>
      <c r="T1" s="868"/>
    </row>
    <row r="2" spans="1:22" ht="16.7" customHeight="1">
      <c r="A2" s="2"/>
      <c r="B2" s="7"/>
      <c r="C2" s="7"/>
      <c r="D2" s="7"/>
      <c r="E2" s="7"/>
      <c r="F2" s="869"/>
      <c r="G2" s="870"/>
      <c r="H2" s="870"/>
      <c r="I2" s="870"/>
      <c r="J2" s="870"/>
      <c r="K2" s="870"/>
      <c r="L2" s="870"/>
      <c r="M2" s="870"/>
      <c r="N2" s="870"/>
      <c r="O2" s="870"/>
      <c r="P2" s="870"/>
      <c r="Q2" s="870"/>
      <c r="R2" s="870"/>
      <c r="S2" s="870"/>
      <c r="T2" s="871"/>
    </row>
    <row r="3" spans="1:22" ht="16.7" customHeight="1">
      <c r="A3" s="3"/>
      <c r="B3" s="7"/>
      <c r="C3" s="7"/>
      <c r="D3" s="7"/>
      <c r="E3" s="7"/>
      <c r="F3" s="869"/>
      <c r="G3" s="870"/>
      <c r="H3" s="870"/>
      <c r="I3" s="870"/>
      <c r="J3" s="870"/>
      <c r="K3" s="870"/>
      <c r="L3" s="870"/>
      <c r="M3" s="870"/>
      <c r="N3" s="870"/>
      <c r="O3" s="870"/>
      <c r="P3" s="870"/>
      <c r="Q3" s="870"/>
      <c r="R3" s="870"/>
      <c r="S3" s="870"/>
      <c r="T3" s="871"/>
    </row>
    <row r="4" spans="1:22" ht="16.7" customHeight="1">
      <c r="A4" s="3"/>
      <c r="B4" s="7"/>
      <c r="C4" s="7"/>
      <c r="D4" s="7"/>
      <c r="E4" s="7"/>
      <c r="F4" s="872"/>
      <c r="G4" s="873"/>
      <c r="H4" s="873"/>
      <c r="I4" s="873"/>
      <c r="J4" s="873"/>
      <c r="K4" s="873"/>
      <c r="L4" s="873"/>
      <c r="M4" s="873"/>
      <c r="N4" s="873"/>
      <c r="O4" s="873"/>
      <c r="P4" s="873"/>
      <c r="Q4" s="873"/>
      <c r="R4" s="873"/>
      <c r="S4" s="873"/>
      <c r="T4" s="874"/>
    </row>
    <row r="5" spans="1:22" ht="3" customHeight="1">
      <c r="A5" s="4"/>
      <c r="B5" s="5"/>
      <c r="C5" s="4"/>
      <c r="D5" s="4"/>
      <c r="E5" s="4"/>
      <c r="F5" s="8"/>
      <c r="G5" s="8"/>
      <c r="H5" s="9"/>
      <c r="I5" s="9"/>
      <c r="J5" s="9"/>
      <c r="K5" s="9"/>
      <c r="L5" s="9"/>
      <c r="M5" s="9"/>
      <c r="N5" s="9"/>
      <c r="O5" s="9"/>
      <c r="P5" s="9"/>
      <c r="Q5" s="9"/>
      <c r="R5" s="9"/>
      <c r="S5" s="9"/>
      <c r="T5" s="9"/>
    </row>
    <row r="6" spans="1:22" ht="15" customHeight="1">
      <c r="A6" s="875" t="s">
        <v>507</v>
      </c>
      <c r="B6" s="875"/>
      <c r="C6" s="875"/>
      <c r="D6" s="875"/>
      <c r="E6" s="875"/>
      <c r="F6" s="875"/>
      <c r="G6" s="875"/>
      <c r="H6" s="875"/>
      <c r="I6" s="875"/>
      <c r="J6" s="875"/>
      <c r="K6" s="875"/>
      <c r="L6" s="875"/>
      <c r="M6" s="875"/>
      <c r="N6" s="875"/>
      <c r="O6" s="875"/>
      <c r="P6" s="875"/>
      <c r="Q6" s="875"/>
      <c r="R6" s="875"/>
      <c r="S6" s="875"/>
      <c r="T6" s="875"/>
    </row>
    <row r="7" spans="1:22" ht="15" customHeight="1">
      <c r="A7" s="875"/>
      <c r="B7" s="875"/>
      <c r="C7" s="875"/>
      <c r="D7" s="875"/>
      <c r="E7" s="875"/>
      <c r="F7" s="875"/>
      <c r="G7" s="875"/>
      <c r="H7" s="875"/>
      <c r="I7" s="875"/>
      <c r="J7" s="875"/>
      <c r="K7" s="875"/>
      <c r="L7" s="875"/>
      <c r="M7" s="875"/>
      <c r="N7" s="875"/>
      <c r="O7" s="875"/>
      <c r="P7" s="875"/>
      <c r="Q7" s="875"/>
      <c r="R7" s="875"/>
      <c r="S7" s="875"/>
      <c r="T7" s="875"/>
    </row>
    <row r="8" spans="1:22" ht="7.5" customHeight="1" thickBot="1"/>
    <row r="9" spans="1:22" s="313" customFormat="1" ht="13.5" thickTop="1" thickBot="1">
      <c r="A9" s="889" t="s">
        <v>1407</v>
      </c>
      <c r="B9" s="890"/>
      <c r="C9" s="891"/>
      <c r="D9" s="420"/>
      <c r="E9" s="420"/>
      <c r="F9" s="420"/>
      <c r="G9" s="420"/>
      <c r="H9" s="584"/>
      <c r="I9" s="921" t="s">
        <v>116</v>
      </c>
      <c r="J9" s="922"/>
      <c r="K9" s="922"/>
      <c r="L9" s="923"/>
      <c r="M9" s="585"/>
      <c r="N9" s="584"/>
      <c r="O9" s="1106" t="s">
        <v>74</v>
      </c>
      <c r="P9" s="1107"/>
      <c r="Q9" s="1107"/>
      <c r="R9" s="1108"/>
      <c r="S9" s="584"/>
      <c r="T9" s="476"/>
      <c r="U9" s="228"/>
      <c r="V9" s="228"/>
    </row>
    <row r="10" spans="1:22" ht="15.75" thickTop="1">
      <c r="A10" s="341"/>
      <c r="B10" s="341"/>
      <c r="C10" s="341"/>
      <c r="D10" s="341"/>
      <c r="E10" s="341"/>
      <c r="F10" s="341"/>
      <c r="G10" s="341"/>
      <c r="H10" s="341"/>
      <c r="I10" s="341"/>
      <c r="J10" s="341"/>
      <c r="K10" s="341"/>
      <c r="L10" s="341"/>
      <c r="M10" s="341"/>
      <c r="N10" s="341"/>
      <c r="O10" s="341"/>
      <c r="P10" s="341"/>
      <c r="Q10" s="341"/>
      <c r="R10" s="341"/>
      <c r="S10" s="341"/>
      <c r="T10" s="341"/>
      <c r="U10" s="208"/>
      <c r="V10" s="208"/>
    </row>
    <row r="11" spans="1:22" s="391" customFormat="1" ht="12.75">
      <c r="A11" s="435" t="s">
        <v>1712</v>
      </c>
      <c r="B11" s="435"/>
      <c r="C11" s="435"/>
      <c r="D11" s="435"/>
      <c r="E11" s="435"/>
      <c r="F11" s="435"/>
      <c r="G11" s="435"/>
      <c r="H11" s="435"/>
      <c r="I11" s="341"/>
      <c r="J11" s="477"/>
      <c r="K11" s="477"/>
      <c r="L11" s="341"/>
      <c r="M11" s="341"/>
      <c r="N11" s="341"/>
      <c r="O11" s="341"/>
      <c r="P11" s="341"/>
      <c r="Q11" s="341"/>
      <c r="R11" s="341"/>
      <c r="S11" s="341"/>
      <c r="T11" s="341"/>
      <c r="U11" s="208"/>
      <c r="V11" s="208"/>
    </row>
    <row r="12" spans="1:22">
      <c r="A12" s="425" t="s">
        <v>1581</v>
      </c>
      <c r="B12" s="425"/>
      <c r="C12" s="425"/>
      <c r="D12" s="425"/>
      <c r="E12" s="422"/>
      <c r="F12" s="422"/>
      <c r="G12" s="422"/>
      <c r="H12" s="341"/>
      <c r="I12" s="341"/>
      <c r="J12" s="1085">
        <f>VLOOKUP($I$9,'D_Ch-3'!$B$81:$O$129,MATCH("Entreprises N-1",'D_Ch-3'!$81:$81,0)-1,FALSE)</f>
        <v>106890</v>
      </c>
      <c r="K12" s="1085"/>
      <c r="L12" s="431"/>
      <c r="M12" s="431"/>
      <c r="N12" s="431"/>
      <c r="O12" s="431"/>
      <c r="P12" s="1086">
        <f>VLOOKUP($O$9,'D_Ch-3'!$B$81:$O$129,MATCH("Entreprises N-1",'D_Ch-3'!$81:$81,0)-1,FALSE)</f>
        <v>224812</v>
      </c>
      <c r="Q12" s="1086"/>
      <c r="R12" s="420"/>
      <c r="S12" s="420"/>
      <c r="T12" s="420"/>
      <c r="U12" s="208"/>
      <c r="V12" s="208"/>
    </row>
    <row r="13" spans="1:22">
      <c r="A13" s="425" t="s">
        <v>1024</v>
      </c>
      <c r="B13" s="425"/>
      <c r="C13" s="425"/>
      <c r="D13" s="425"/>
      <c r="E13" s="425"/>
      <c r="F13" s="422"/>
      <c r="G13" s="422"/>
      <c r="H13" s="341"/>
      <c r="I13" s="341"/>
      <c r="J13" s="1085">
        <f>VLOOKUP($I$9,'D_Ch-3'!$B$81:$O$129,MATCH("Créations d'entr N-1",'D_Ch-3'!$81:$81,0)-1,FALSE)</f>
        <v>16597</v>
      </c>
      <c r="K13" s="1085"/>
      <c r="L13" s="420"/>
      <c r="M13" s="1101">
        <f>(VLOOKUP($I$9,'D_Ch-3'!$B$81:$O$129,MATCH("Créations d'entr N-1",'D_Ch-3'!$81:$81,0)-1,FALSE)-VLOOKUP($I$9,'D_Ch-3'!$B$81:$O$129,MATCH("Créations d'entr N-2",'D_Ch-3'!$81:$81,0)-1,FALSE))/VLOOKUP($I$9,'D_Ch-3'!$B$81:$O$129,MATCH("Créations d'entr N-2",'D_Ch-3'!$81:$81,0)-1,FALSE)</f>
        <v>-9.902762035435185E-3</v>
      </c>
      <c r="N13" s="1101"/>
      <c r="O13" s="420"/>
      <c r="P13" s="1086">
        <f>VLOOKUP($O$9,'D_Ch-3'!$B$81:$O$129,MATCH("Créations d'entr N-1",'D_Ch-3'!$81:$81,0)-1,FALSE)</f>
        <v>30138</v>
      </c>
      <c r="Q13" s="1086"/>
      <c r="R13" s="420"/>
      <c r="S13" s="1101">
        <f>(VLOOKUP($O$9,'D_Ch-3'!$B$81:$O$129,MATCH("Créations d'entr N-1",'D_Ch-3'!$81:$81,0)-1,FALSE)-VLOOKUP($O$9,'D_Ch-3'!$B$81:$O$129,MATCH("Créations d'entr N-2",'D_Ch-3'!$81:$81,0)-1,FALSE))/VLOOKUP($O$9,'D_Ch-3'!$B$81:$O$129,MATCH("Créations d'entr N-2",'D_Ch-3'!$81:$81,0)-1,FALSE)</f>
        <v>-2.3332685203188801E-2</v>
      </c>
      <c r="T13" s="1101"/>
      <c r="U13" s="208"/>
      <c r="V13" s="208"/>
    </row>
    <row r="14" spans="1:22">
      <c r="A14" s="425" t="s">
        <v>1017</v>
      </c>
      <c r="B14" s="425"/>
      <c r="C14" s="425"/>
      <c r="D14" s="425"/>
      <c r="E14" s="425"/>
      <c r="F14" s="425"/>
      <c r="G14" s="425"/>
      <c r="H14" s="417"/>
      <c r="I14" s="417"/>
      <c r="J14" s="1109">
        <f>IFERROR(VLOOKUP($I$9,'D_Ch-3'!$B$59:$N$75,MATCH("Part micro-entrepreneur N-1",'D_Ch-3'!$59:$59,0)-1,FALSE),"NC")</f>
        <v>0.33967764060356653</v>
      </c>
      <c r="K14" s="1109"/>
      <c r="L14" s="1109"/>
      <c r="M14" s="1101">
        <f>(VLOOKUP($I$9,'D_Ch-3'!$B$59:$N$75,MATCH("Part micro-entrepreneur N-1",'D_Ch-3'!$59:$59,0)-1,FALSE)-(VLOOKUP($I$9,'D_Ch-3'!$B$59:$N$75,MATCH("Part micro-entrepreneur N-2",'D_Ch-3'!$59:$59,0)-1,FALSE))/VLOOKUP($I$9,'D_Ch-3'!$B$59:$N$75,MATCH("Part micro-entrepreneur N-2",'D_Ch-3'!$59:$59,0)-1,FALSE))</f>
        <v>-0.66032235939643347</v>
      </c>
      <c r="N14" s="1101"/>
      <c r="O14" s="478"/>
      <c r="P14" s="1110" t="str">
        <f>IFERROR(VLOOKUP($O$9,'D_Ch-3'!$B$59:$N$75,MATCH("Part micro-entrepreneur N-1",'D_Ch-3'!$59:$59,0)-1,FALSE),"NC")</f>
        <v>NC</v>
      </c>
      <c r="Q14" s="1110"/>
      <c r="R14" s="1110"/>
      <c r="S14" s="1112" t="e">
        <f>(VLOOKUP($O$9,'D_Ch-3'!$B$59:$N$75,MATCH("Part micro-entrepreneur N-1",'D_Ch-3'!$59:$59,0)-1,FALSE)-(VLOOKUP($O$9,'D_Ch-3'!$B$59:$N$75,MATCH("Part micro-entrepreneur N-2",'D_Ch-3'!$59:$59,0)-1,FALSE))/VLOOKUP($O$9,'D_Ch-3'!$B$59:$N$75,MATCH("Part micro-entrepreneur N-2",'D_Ch-3'!$59:$59,0)-1,FALSE))</f>
        <v>#N/A</v>
      </c>
      <c r="T14" s="1112"/>
      <c r="U14" s="208"/>
      <c r="V14" s="208"/>
    </row>
    <row r="15" spans="1:22">
      <c r="A15" s="479" t="s">
        <v>1580</v>
      </c>
      <c r="B15" s="341"/>
      <c r="C15" s="341"/>
      <c r="D15" s="341"/>
      <c r="E15" s="341"/>
      <c r="F15" s="341"/>
      <c r="G15" s="341"/>
      <c r="H15" s="341"/>
      <c r="I15" s="341"/>
      <c r="J15" s="420"/>
      <c r="K15" s="420"/>
      <c r="L15" s="420"/>
      <c r="M15" s="420"/>
      <c r="N15" s="420"/>
      <c r="O15" s="420"/>
      <c r="P15" s="420"/>
      <c r="Q15" s="420"/>
      <c r="R15" s="420"/>
      <c r="S15" s="420"/>
      <c r="T15" s="420"/>
      <c r="U15" s="208"/>
      <c r="V15" s="208"/>
    </row>
    <row r="16" spans="1:22">
      <c r="A16" s="425" t="s">
        <v>998</v>
      </c>
      <c r="B16" s="425"/>
      <c r="C16" s="425"/>
      <c r="D16" s="425"/>
      <c r="E16" s="425"/>
      <c r="F16" s="422"/>
      <c r="G16" s="341"/>
      <c r="H16" s="341"/>
      <c r="I16" s="341"/>
      <c r="J16" s="1104">
        <f>VLOOKUP($I$9,'D_Ch-3'!$B$81:$Z$129,MATCH("Taux d'entrepreunariat N-1",'D_Ch-3'!$81:$81,0)-1,FALSE)</f>
        <v>2.3136891698531826E-2</v>
      </c>
      <c r="K16" s="1104"/>
      <c r="L16" s="480"/>
      <c r="M16" s="1101">
        <f>(VLOOKUP($I$9,'D_Ch-3'!$B$81:$Z$129,MATCH("Taux d'entrepreunariat N-1",'D_Ch-3'!$81:$81,0)-1,FALSE)-VLOOKUP($I$9,'D_Ch-3'!$B$81:$Z$129,MATCH("Taux d'entrepreunariat N-2",'D_Ch-3'!$81:$81,0)-1,FALSE))/VLOOKUP($I$9,'D_Ch-3'!$B$81:$Z$129,MATCH("Taux d'entrepreunariat N-2",'D_Ch-3'!$81:$81,0)-1,FALSE)</f>
        <v>-9.902762035435192E-3</v>
      </c>
      <c r="N16" s="1101"/>
      <c r="O16" s="420"/>
      <c r="P16" s="1104">
        <f>VLOOKUP($O$9,'D_Ch-3'!$B$81:$Z$129,MATCH("Taux d'entrepreunariat N-1",'D_Ch-3'!$81:$81,0)-1,FALSE)</f>
        <v>1.9814117660086162E-2</v>
      </c>
      <c r="Q16" s="1104"/>
      <c r="R16" s="480"/>
      <c r="S16" s="1112">
        <f>(VLOOKUP($O$9,'D_Ch-3'!$B$81:$Z$129,MATCH("Taux d'entrepreunariat N-1",'D_Ch-3'!$81:$81,0)-1,FALSE)-VLOOKUP($O$9,'D_Ch-3'!$B$81:$Z$129,MATCH("Taux d'entrepreunariat N-2",'D_Ch-3'!$81:$81,0)-1,FALSE))/VLOOKUP($O$9,'D_Ch-3'!$B$81:$Z$129,MATCH("Taux d'entrepreunariat N-2",'D_Ch-3'!$81:$81,0)-1,FALSE)</f>
        <v>-2.3332685203188715E-2</v>
      </c>
      <c r="T16" s="1112"/>
      <c r="U16" s="208"/>
      <c r="V16" s="208"/>
    </row>
    <row r="17" spans="1:22">
      <c r="A17" s="422"/>
      <c r="B17" s="422"/>
      <c r="C17" s="422"/>
      <c r="D17" s="422"/>
      <c r="E17" s="422"/>
      <c r="F17" s="422"/>
      <c r="G17" s="341"/>
      <c r="H17" s="341"/>
      <c r="I17" s="341"/>
      <c r="J17" s="420"/>
      <c r="K17" s="420"/>
      <c r="L17" s="420"/>
      <c r="M17" s="420"/>
      <c r="N17" s="420"/>
      <c r="O17" s="420"/>
      <c r="P17" s="420"/>
      <c r="Q17" s="420"/>
      <c r="R17" s="420"/>
      <c r="S17" s="420"/>
      <c r="T17" s="420"/>
      <c r="U17" s="208"/>
      <c r="V17" s="208"/>
    </row>
    <row r="18" spans="1:22">
      <c r="A18" s="849" t="s">
        <v>999</v>
      </c>
      <c r="B18" s="849"/>
      <c r="C18" s="849"/>
      <c r="D18" s="849"/>
      <c r="E18" s="849"/>
      <c r="F18" s="802"/>
      <c r="G18" s="802"/>
      <c r="H18" s="803"/>
      <c r="I18" s="803"/>
      <c r="J18" s="1111" t="str">
        <f>VLOOKUP($I$9,'D_Ch-3'!$B$81:$Z$129,MATCH("Part Jeunes entreprises N-1",'D_Ch-3'!$81:$81,0)-1,FALSE)</f>
        <v>NC</v>
      </c>
      <c r="K18" s="1111"/>
      <c r="L18" s="802"/>
      <c r="M18" s="804"/>
      <c r="N18" s="804"/>
      <c r="O18" s="802"/>
      <c r="P18" s="1111" t="str">
        <f>VLOOKUP($O$9,'D_Ch-3'!$B$81:$Z$129,MATCH("Part Jeunes entreprises N-1",'D_Ch-3'!$81:$81,0)-1,FALSE)</f>
        <v>NC</v>
      </c>
      <c r="Q18" s="1111"/>
      <c r="R18" s="802"/>
      <c r="S18" s="804"/>
      <c r="T18" s="804"/>
      <c r="U18" s="208"/>
      <c r="V18" s="208"/>
    </row>
    <row r="19" spans="1:22">
      <c r="A19" s="849" t="s">
        <v>1000</v>
      </c>
      <c r="B19" s="849"/>
      <c r="C19" s="849"/>
      <c r="D19" s="849"/>
      <c r="E19" s="849"/>
      <c r="F19" s="802"/>
      <c r="G19" s="802"/>
      <c r="H19" s="803"/>
      <c r="I19" s="803"/>
      <c r="J19" s="1111" t="str">
        <f>VLOOKUP($I$9,'D_Ch-3'!$B$81:$Z$129,MATCH("Taux survie_N-1",'D_Ch-3'!$81:$81,0)-1,FALSE)</f>
        <v>NC</v>
      </c>
      <c r="K19" s="1111"/>
      <c r="L19" s="802"/>
      <c r="M19" s="804"/>
      <c r="N19" s="804"/>
      <c r="O19" s="802"/>
      <c r="P19" s="1111" t="str">
        <f>VLOOKUP($O$9,'D_Ch-3'!$B$81:$Z$129,MATCH("Taux survie_N-1",'D_Ch-3'!$81:$81,0)-1,FALSE)</f>
        <v>NC</v>
      </c>
      <c r="Q19" s="1111"/>
      <c r="R19" s="802"/>
      <c r="S19" s="804"/>
      <c r="T19" s="804"/>
      <c r="U19" s="208"/>
      <c r="V19" s="208"/>
    </row>
    <row r="20" spans="1:22" ht="15" customHeight="1">
      <c r="A20" s="422"/>
      <c r="B20" s="422"/>
      <c r="C20" s="422"/>
      <c r="D20" s="422"/>
      <c r="E20" s="422"/>
      <c r="F20" s="422"/>
      <c r="G20" s="341"/>
      <c r="H20" s="341"/>
      <c r="I20" s="341"/>
      <c r="J20" s="341"/>
      <c r="K20" s="341"/>
      <c r="L20" s="341"/>
      <c r="M20" s="341"/>
      <c r="N20" s="341"/>
      <c r="O20" s="341"/>
      <c r="P20" s="341"/>
      <c r="Q20" s="341"/>
      <c r="R20" s="341"/>
      <c r="S20" s="341"/>
      <c r="T20" s="341"/>
      <c r="U20" s="208"/>
      <c r="V20" s="208"/>
    </row>
    <row r="21" spans="1:22" ht="15" customHeight="1">
      <c r="A21" s="435" t="s">
        <v>1713</v>
      </c>
      <c r="B21" s="435"/>
      <c r="C21" s="435"/>
      <c r="D21" s="435"/>
      <c r="E21" s="435"/>
      <c r="F21" s="435"/>
      <c r="G21" s="435"/>
      <c r="H21" s="435"/>
      <c r="I21" s="341"/>
      <c r="J21" s="341"/>
      <c r="K21" s="341"/>
      <c r="L21" s="341"/>
      <c r="M21" s="341"/>
      <c r="N21" s="341"/>
      <c r="O21" s="341"/>
      <c r="P21" s="341"/>
      <c r="Q21" s="341"/>
      <c r="R21" s="341"/>
      <c r="S21" s="341"/>
      <c r="T21" s="341"/>
      <c r="U21" s="208"/>
      <c r="V21" s="208"/>
    </row>
    <row r="22" spans="1:22">
      <c r="A22" s="422" t="s">
        <v>1582</v>
      </c>
      <c r="B22" s="422"/>
      <c r="C22" s="422"/>
      <c r="D22" s="422"/>
      <c r="E22" s="422"/>
      <c r="F22" s="420"/>
      <c r="G22" s="420"/>
      <c r="H22" s="420"/>
      <c r="I22" s="420"/>
      <c r="J22" s="1085">
        <f>VLOOKUP($I$9,'D_Ch-3'!$B$81:$O$129,MATCH("Etablissements N-1",'D_Ch-3'!$81:$81,0)-1,FALSE)</f>
        <v>122419</v>
      </c>
      <c r="K22" s="1085"/>
      <c r="L22" s="420"/>
      <c r="M22" s="420"/>
      <c r="N22" s="420"/>
      <c r="O22" s="420"/>
      <c r="P22" s="1086">
        <f>VLOOKUP($O$9,'D_Ch-3'!$B$81:$O$129,MATCH("Etablissements N-1",'D_Ch-3'!$81:$81,0)-1,FALSE)</f>
        <v>260279</v>
      </c>
      <c r="Q22" s="1086"/>
      <c r="R22" s="420"/>
      <c r="S22" s="420"/>
      <c r="T22" s="420"/>
      <c r="U22" s="208"/>
      <c r="V22" s="208"/>
    </row>
    <row r="23" spans="1:22">
      <c r="A23" s="422" t="s">
        <v>1023</v>
      </c>
      <c r="B23" s="422"/>
      <c r="C23" s="422"/>
      <c r="D23" s="422"/>
      <c r="E23" s="420"/>
      <c r="F23" s="420"/>
      <c r="G23" s="420"/>
      <c r="H23" s="420"/>
      <c r="I23" s="420"/>
      <c r="J23" s="1085">
        <f>VLOOKUP($I$9,'D_Ch-3'!$B$81:$O$129,MATCH("Créations d'ets N-1",'D_Ch-3'!$81:$81,0)-1,FALSE)</f>
        <v>18794</v>
      </c>
      <c r="K23" s="1085"/>
      <c r="L23" s="481"/>
      <c r="M23" s="1101">
        <f>(VLOOKUP($I$9,'D_Ch-3'!$B$81:$O$129,MATCH("Créations d'ets N-1",'D_Ch-3'!$81:$81,0)-1,FALSE)-VLOOKUP($I$9,'D_Ch-3'!$B$81:$O$129,MATCH("Créations d'ets N-2",'D_Ch-3'!$81:$81,0)-1,FALSE))/VLOOKUP($I$9,'D_Ch-3'!$B$81:$O$129,MATCH("Créations d'ets N-2",'D_Ch-3'!$81:$81,0)-1,FALSE)</f>
        <v>-5.4506006244377419E-3</v>
      </c>
      <c r="N23" s="1101"/>
      <c r="O23" s="420"/>
      <c r="P23" s="1086">
        <f>VLOOKUP($O$9,'D_Ch-3'!$B$81:$O$129,MATCH("Créations d'ets N-1",'D_Ch-3'!$81:$81,0)-1,FALSE)</f>
        <v>34791</v>
      </c>
      <c r="Q23" s="1086"/>
      <c r="R23" s="420"/>
      <c r="S23" s="1101">
        <f>(VLOOKUP($O$9,'D_Ch-3'!$B$81:$O$129,MATCH("Créations d'ets N-1",'D_Ch-3'!$81:$81,0)-1,FALSE)-VLOOKUP($O$9,'D_Ch-3'!$B$81:$O$129,MATCH("Créations d'ets N-2",'D_Ch-3'!$81:$81,0)-1,FALSE))/VLOOKUP($O$9,'D_Ch-3'!$B$81:$O$129,MATCH("Créations d'ets N-2",'D_Ch-3'!$81:$81,0)-1,FALSE)</f>
        <v>-2.0468494847682865E-2</v>
      </c>
      <c r="T23" s="1101"/>
      <c r="U23" s="208"/>
      <c r="V23" s="208"/>
    </row>
    <row r="24" spans="1:22">
      <c r="A24" s="420"/>
      <c r="B24" s="420"/>
      <c r="C24" s="420"/>
      <c r="D24" s="420"/>
      <c r="E24" s="420"/>
      <c r="F24" s="420"/>
      <c r="G24" s="420"/>
      <c r="H24" s="420"/>
      <c r="I24" s="420"/>
      <c r="J24" s="420"/>
      <c r="K24" s="420"/>
      <c r="L24" s="481"/>
      <c r="M24" s="481"/>
      <c r="N24" s="420"/>
      <c r="O24" s="420"/>
      <c r="P24" s="420"/>
      <c r="Q24" s="420"/>
      <c r="R24" s="420"/>
      <c r="S24" s="420"/>
      <c r="T24" s="420"/>
      <c r="U24" s="208"/>
      <c r="V24" s="208"/>
    </row>
    <row r="25" spans="1:22">
      <c r="A25" s="435" t="s">
        <v>1846</v>
      </c>
      <c r="B25" s="341"/>
      <c r="C25" s="341"/>
      <c r="D25" s="341"/>
      <c r="E25" s="341"/>
      <c r="F25" s="341"/>
      <c r="G25" s="341"/>
      <c r="H25" s="341"/>
      <c r="I25" s="341"/>
      <c r="J25" s="341"/>
      <c r="K25" s="341"/>
      <c r="L25" s="341"/>
      <c r="M25" s="341"/>
      <c r="N25" s="341"/>
      <c r="O25" s="341"/>
      <c r="P25" s="341"/>
      <c r="Q25" s="341"/>
      <c r="R25" s="341"/>
      <c r="S25" s="341"/>
      <c r="T25" s="341"/>
      <c r="U25" s="208"/>
      <c r="V25" s="208"/>
    </row>
    <row r="26" spans="1:22">
      <c r="A26" s="424"/>
      <c r="B26" s="424"/>
      <c r="C26" s="424"/>
      <c r="D26" s="424"/>
      <c r="E26" s="424"/>
      <c r="F26" s="449"/>
      <c r="G26" s="449"/>
      <c r="H26" s="449"/>
      <c r="I26" s="449"/>
      <c r="J26" s="449"/>
      <c r="K26" s="449"/>
      <c r="L26" s="341"/>
      <c r="M26" s="341"/>
      <c r="N26" s="341"/>
      <c r="O26" s="341"/>
      <c r="P26" s="341"/>
      <c r="Q26" s="341"/>
      <c r="R26" s="341"/>
      <c r="S26" s="341"/>
      <c r="T26" s="341"/>
      <c r="U26" s="208"/>
      <c r="V26" s="208"/>
    </row>
    <row r="27" spans="1:22" s="313" customFormat="1" ht="12">
      <c r="A27" s="429"/>
      <c r="B27" s="429" t="s">
        <v>724</v>
      </c>
      <c r="C27" s="429" t="s">
        <v>726</v>
      </c>
      <c r="D27" s="429" t="s">
        <v>510</v>
      </c>
      <c r="E27" s="429" t="s">
        <v>1045</v>
      </c>
      <c r="F27" s="429" t="s">
        <v>1540</v>
      </c>
      <c r="G27" s="429" t="s">
        <v>701</v>
      </c>
      <c r="H27" s="482"/>
      <c r="I27" s="1114" t="str">
        <f>I9</f>
        <v>Gironde</v>
      </c>
      <c r="J27" s="1114"/>
      <c r="K27" s="1114"/>
      <c r="L27" s="1114"/>
      <c r="M27" s="420"/>
      <c r="N27" s="420"/>
      <c r="O27" s="483"/>
      <c r="P27" s="1115" t="str">
        <f>O9</f>
        <v>Aquitaine</v>
      </c>
      <c r="Q27" s="1115"/>
      <c r="R27" s="1115"/>
      <c r="S27" s="1115"/>
      <c r="T27" s="420"/>
      <c r="U27" s="228"/>
      <c r="V27" s="228"/>
    </row>
    <row r="28" spans="1:22">
      <c r="A28" s="449" t="str">
        <f>I9</f>
        <v>Gironde</v>
      </c>
      <c r="B28" s="449">
        <f>VLOOKUP($I$9,'D_Ch-3'!$B$5:$Y$53,MATCH("Ets actifs agriculture N-1",'D_Ch-3'!$5:$5,0)-1,FALSE)</f>
        <v>9783</v>
      </c>
      <c r="C28" s="449">
        <f>VLOOKUP($I$9,'D_Ch-3'!$B$5:$Y$53,MATCH("Ets actifs industrie N-1",'D_Ch-3'!$5:$5,0)-1,FALSE)</f>
        <v>8023</v>
      </c>
      <c r="D28" s="449">
        <f>VLOOKUP($I$9,'D_Ch-3'!$B$5:$Y$53,MATCH("Ets actifs construction N-1",'D_Ch-3'!$5:$5,0)-1,FALSE)</f>
        <v>18636</v>
      </c>
      <c r="E28" s="449">
        <f>VLOOKUP($I$9,'D_Ch-3'!$B$5:$Y$53,MATCH("Ets actifs Services N-1",'D_Ch-3'!$5:$5,0)-1,FALSE)</f>
        <v>78446</v>
      </c>
      <c r="F28" s="449">
        <f>VLOOKUP($I$9,'D_Ch-3'!$B$5:$Y$53,MATCH("Ets actifs commerce &amp; rep auto N-1",'D_Ch-3'!$5:$5,0)-1,FALSE)</f>
        <v>28172</v>
      </c>
      <c r="G28" s="449">
        <f>VLOOKUP($I$9,'D_Ch-3'!$B$5:$Y$53,MATCH("Ets actifs adm publique N-1",'D_Ch-3'!$5:$5,0)-1,FALSE)</f>
        <v>23400</v>
      </c>
      <c r="H28" s="449"/>
      <c r="I28" s="449"/>
      <c r="J28" s="449"/>
      <c r="K28" s="449"/>
      <c r="L28" s="341"/>
      <c r="M28" s="341"/>
      <c r="N28" s="341"/>
      <c r="O28" s="341"/>
      <c r="P28" s="341"/>
      <c r="Q28" s="341"/>
      <c r="R28" s="341"/>
      <c r="S28" s="341"/>
      <c r="T28" s="341"/>
      <c r="U28" s="208"/>
      <c r="V28" s="208"/>
    </row>
    <row r="29" spans="1:22">
      <c r="A29" s="449" t="str">
        <f>O9</f>
        <v>Aquitaine</v>
      </c>
      <c r="B29" s="449">
        <f>VLOOKUP($O$9,'D_Ch-3'!$B$5:$Y$53,MATCH("Ets actifs agriculture N-1",'D_Ch-3'!$5:$5,0)-1,FALSE)</f>
        <v>34765</v>
      </c>
      <c r="C29" s="449">
        <f>VLOOKUP($O$9,'D_Ch-3'!$B$5:$Y$53,MATCH("Ets actifs industrie N-1",'D_Ch-3'!$5:$5,0)-1,FALSE)</f>
        <v>20413</v>
      </c>
      <c r="D29" s="449">
        <f>VLOOKUP($O$9,'D_Ch-3'!$B$5:$Y$53,MATCH("Ets actifs construction N-1",'D_Ch-3'!$5:$5,0)-1,FALSE)</f>
        <v>40264</v>
      </c>
      <c r="E29" s="449">
        <f>VLOOKUP($O$9,'D_Ch-3'!$B$5:$Y$53,MATCH("Ets actifs Services N-1",'D_Ch-3'!$5:$5,0)-1,FALSE)</f>
        <v>164528</v>
      </c>
      <c r="F29" s="449">
        <f>VLOOKUP($O$9,'D_Ch-3'!$B$5:$Y$53,MATCH("Ets actifs commerce &amp; rep auto N-1",'D_Ch-3'!$5:$5,0)-1,FALSE)</f>
        <v>59172</v>
      </c>
      <c r="G29" s="449">
        <f>VLOOKUP($O$9,'D_Ch-3'!$B$5:$Y$53,MATCH("Ets actifs adm publique N-1",'D_Ch-3'!$5:$5,0)-1,FALSE)</f>
        <v>51438</v>
      </c>
      <c r="H29" s="449"/>
      <c r="I29" s="449"/>
      <c r="J29" s="449"/>
      <c r="K29" s="449"/>
      <c r="L29" s="341"/>
      <c r="M29" s="341"/>
      <c r="N29" s="341"/>
      <c r="O29" s="341"/>
      <c r="P29" s="341"/>
      <c r="Q29" s="341"/>
      <c r="R29" s="341"/>
      <c r="S29" s="341"/>
      <c r="T29" s="341"/>
      <c r="U29" s="208"/>
      <c r="V29" s="208"/>
    </row>
    <row r="30" spans="1:22">
      <c r="A30" s="449"/>
      <c r="B30" s="449"/>
      <c r="C30" s="449"/>
      <c r="D30" s="449"/>
      <c r="E30" s="449"/>
      <c r="F30" s="449"/>
      <c r="G30" s="449"/>
      <c r="H30" s="449"/>
      <c r="I30" s="449"/>
      <c r="J30" s="449"/>
      <c r="K30" s="449"/>
      <c r="L30" s="341"/>
      <c r="M30" s="341"/>
      <c r="N30" s="341"/>
      <c r="O30" s="341"/>
      <c r="P30" s="341"/>
      <c r="Q30" s="341"/>
      <c r="R30" s="341"/>
      <c r="S30" s="341"/>
      <c r="T30" s="341"/>
      <c r="U30" s="208"/>
      <c r="V30" s="208"/>
    </row>
    <row r="31" spans="1:22">
      <c r="A31" s="341"/>
      <c r="B31" s="341"/>
      <c r="C31" s="341"/>
      <c r="D31" s="341"/>
      <c r="E31" s="341"/>
      <c r="F31" s="341"/>
      <c r="G31" s="341"/>
      <c r="H31" s="341"/>
      <c r="I31" s="341"/>
      <c r="J31" s="341"/>
      <c r="K31" s="341"/>
      <c r="L31" s="341"/>
      <c r="M31" s="341"/>
      <c r="N31" s="341"/>
      <c r="O31" s="341"/>
      <c r="P31" s="341"/>
      <c r="Q31" s="341"/>
      <c r="R31" s="341"/>
      <c r="S31" s="341"/>
      <c r="T31" s="341"/>
      <c r="U31" s="208"/>
      <c r="V31" s="208"/>
    </row>
    <row r="32" spans="1:22">
      <c r="A32" s="341"/>
      <c r="B32" s="341"/>
      <c r="C32" s="341"/>
      <c r="D32" s="341"/>
      <c r="E32" s="341"/>
      <c r="F32" s="341"/>
      <c r="G32" s="341"/>
      <c r="H32" s="341"/>
      <c r="I32" s="341"/>
      <c r="J32" s="341"/>
      <c r="K32" s="341"/>
      <c r="L32" s="341"/>
      <c r="M32" s="341"/>
      <c r="N32" s="341"/>
      <c r="O32" s="341"/>
      <c r="P32" s="341"/>
      <c r="Q32" s="341"/>
      <c r="R32" s="341"/>
      <c r="S32" s="341"/>
      <c r="T32" s="341"/>
      <c r="U32" s="208"/>
      <c r="V32" s="208"/>
    </row>
    <row r="33" spans="1:22">
      <c r="A33" s="341"/>
      <c r="B33" s="341"/>
      <c r="C33" s="341"/>
      <c r="D33" s="341"/>
      <c r="E33" s="341"/>
      <c r="F33" s="341"/>
      <c r="G33" s="341"/>
      <c r="H33" s="341"/>
      <c r="I33" s="341"/>
      <c r="J33" s="341"/>
      <c r="K33" s="341"/>
      <c r="L33" s="341"/>
      <c r="M33" s="341"/>
      <c r="N33" s="341"/>
      <c r="O33" s="341"/>
      <c r="P33" s="341"/>
      <c r="Q33" s="341"/>
      <c r="R33" s="341"/>
      <c r="S33" s="341"/>
      <c r="T33" s="341"/>
      <c r="U33" s="208"/>
      <c r="V33" s="208"/>
    </row>
    <row r="34" spans="1:22">
      <c r="A34" s="341"/>
      <c r="B34" s="341"/>
      <c r="C34" s="341"/>
      <c r="D34" s="341"/>
      <c r="E34" s="341"/>
      <c r="F34" s="341"/>
      <c r="G34" s="341"/>
      <c r="H34" s="341"/>
      <c r="I34" s="341"/>
      <c r="J34" s="341"/>
      <c r="K34" s="341"/>
      <c r="L34" s="341"/>
      <c r="M34" s="341"/>
      <c r="N34" s="341"/>
      <c r="O34" s="341"/>
      <c r="P34" s="341"/>
      <c r="Q34" s="341"/>
      <c r="R34" s="341"/>
      <c r="S34" s="341"/>
      <c r="T34" s="341"/>
      <c r="U34" s="208"/>
      <c r="V34" s="208"/>
    </row>
    <row r="35" spans="1:22">
      <c r="A35" s="341"/>
      <c r="B35" s="341"/>
      <c r="C35" s="341"/>
      <c r="D35" s="341"/>
      <c r="E35" s="341"/>
      <c r="F35" s="341"/>
      <c r="G35" s="341"/>
      <c r="H35" s="341"/>
      <c r="I35" s="341"/>
      <c r="J35" s="341"/>
      <c r="K35" s="341"/>
      <c r="L35" s="341"/>
      <c r="M35" s="341"/>
      <c r="N35" s="341"/>
      <c r="O35" s="341"/>
      <c r="P35" s="341"/>
      <c r="Q35" s="341"/>
      <c r="R35" s="341"/>
      <c r="S35" s="341"/>
      <c r="T35" s="341"/>
      <c r="U35" s="208"/>
      <c r="V35" s="208"/>
    </row>
    <row r="36" spans="1:22">
      <c r="A36" s="341"/>
      <c r="B36" s="341"/>
      <c r="C36" s="341"/>
      <c r="D36" s="341"/>
      <c r="E36" s="341"/>
      <c r="F36" s="341"/>
      <c r="G36" s="341"/>
      <c r="H36" s="341"/>
      <c r="I36" s="341"/>
      <c r="J36" s="341"/>
      <c r="K36" s="341"/>
      <c r="L36" s="341"/>
      <c r="M36" s="341"/>
      <c r="N36" s="341"/>
      <c r="O36" s="341"/>
      <c r="P36" s="341"/>
      <c r="Q36" s="341"/>
      <c r="R36" s="341"/>
      <c r="S36" s="341"/>
      <c r="T36" s="341"/>
      <c r="U36" s="208"/>
      <c r="V36" s="208"/>
    </row>
    <row r="37" spans="1:22">
      <c r="A37" s="341"/>
      <c r="B37" s="341"/>
      <c r="C37" s="341"/>
      <c r="D37" s="341"/>
      <c r="E37" s="341"/>
      <c r="F37" s="341"/>
      <c r="G37" s="341"/>
      <c r="H37" s="341"/>
      <c r="I37" s="341"/>
      <c r="J37" s="341"/>
      <c r="K37" s="341"/>
      <c r="L37" s="341"/>
      <c r="M37" s="341"/>
      <c r="N37" s="341"/>
      <c r="O37" s="341"/>
      <c r="P37" s="341"/>
      <c r="Q37" s="341"/>
      <c r="R37" s="341"/>
      <c r="S37" s="341"/>
      <c r="T37" s="341"/>
      <c r="U37" s="208"/>
      <c r="V37" s="208"/>
    </row>
    <row r="38" spans="1:22">
      <c r="A38" s="324"/>
      <c r="B38" s="341"/>
      <c r="C38" s="341"/>
      <c r="D38" s="341"/>
      <c r="E38" s="341"/>
      <c r="F38" s="341"/>
      <c r="G38" s="341"/>
      <c r="H38" s="341"/>
      <c r="I38" s="341"/>
      <c r="J38" s="341"/>
      <c r="K38" s="341"/>
      <c r="L38" s="341"/>
      <c r="M38" s="341"/>
      <c r="N38" s="341"/>
      <c r="O38" s="341"/>
      <c r="P38" s="341"/>
      <c r="Q38" s="341"/>
      <c r="R38" s="341"/>
      <c r="S38" s="341"/>
      <c r="T38" s="341"/>
      <c r="U38" s="208"/>
      <c r="V38" s="208"/>
    </row>
    <row r="39" spans="1:22">
      <c r="A39" s="435" t="s">
        <v>1847</v>
      </c>
      <c r="B39" s="324"/>
      <c r="C39" s="324"/>
      <c r="D39" s="324"/>
      <c r="E39" s="324"/>
      <c r="F39" s="324"/>
      <c r="G39" s="324"/>
      <c r="H39" s="324"/>
      <c r="I39" s="324"/>
      <c r="J39" s="449"/>
      <c r="K39" s="341"/>
      <c r="L39" s="341"/>
      <c r="M39" s="341"/>
      <c r="N39" s="341"/>
      <c r="O39" s="341"/>
      <c r="P39" s="324"/>
      <c r="Q39" s="341"/>
      <c r="R39" s="341"/>
      <c r="S39" s="341"/>
      <c r="T39" s="341"/>
      <c r="U39" s="208"/>
      <c r="V39" s="208"/>
    </row>
    <row r="40" spans="1:22">
      <c r="A40" s="416"/>
      <c r="B40" s="416" t="s">
        <v>1047</v>
      </c>
      <c r="C40" s="416" t="s">
        <v>1048</v>
      </c>
      <c r="D40" s="416" t="s">
        <v>1049</v>
      </c>
      <c r="E40" s="416" t="s">
        <v>1050</v>
      </c>
      <c r="F40" s="416" t="s">
        <v>1051</v>
      </c>
      <c r="G40" s="416" t="s">
        <v>1052</v>
      </c>
      <c r="H40" s="449"/>
      <c r="I40" s="449"/>
      <c r="J40" s="449"/>
      <c r="K40" s="449"/>
      <c r="L40" s="449"/>
      <c r="M40" s="341"/>
      <c r="N40" s="341"/>
      <c r="O40" s="341"/>
      <c r="P40" s="341"/>
      <c r="Q40" s="341"/>
      <c r="R40" s="341"/>
      <c r="S40" s="341"/>
      <c r="T40" s="341"/>
      <c r="U40" s="208"/>
      <c r="V40" s="208"/>
    </row>
    <row r="41" spans="1:22" s="313" customFormat="1" ht="12">
      <c r="A41" s="429" t="str">
        <f>I9</f>
        <v>Gironde</v>
      </c>
      <c r="B41" s="429">
        <f>VLOOKUP($I$9,'D_Ch-3'!$B$5:$Y$53,MATCH("Ets actifs de 0 salarié N-1",'D_Ch-3'!$5:$5,0)-1,FALSE)</f>
        <v>120170</v>
      </c>
      <c r="C41" s="429">
        <f>VLOOKUP($I$9,'D_Ch-3'!$B$5:$Y$53,MATCH("Ets actifs de 1 à 9 salariés N-1",'D_Ch-3'!$5:$5,0)-1,FALSE)</f>
        <v>37072</v>
      </c>
      <c r="D41" s="429">
        <f>VLOOKUP($I$9,'D_Ch-3'!$B$5:$Y$53,MATCH("Ets actifs de 10 à 49 salariés N-1",'D_Ch-3'!$5:$5,0)-1,FALSE)</f>
        <v>7493</v>
      </c>
      <c r="E41" s="429">
        <f>VLOOKUP($I$9,'D_Ch-3'!$B$5:$Y$53,MATCH("Ets actifs de 50 à 199 salariés N-1",'D_Ch-3'!$5:$5,0)-1,FALSE)</f>
        <v>1460</v>
      </c>
      <c r="F41" s="429">
        <f>VLOOKUP($I$9,'D_Ch-3'!$B$5:$Y$53,MATCH("Ets actifs de 200 à 499 salariés N-1",'D_Ch-3'!$5:$5,0)-1,FALSE)</f>
        <v>187</v>
      </c>
      <c r="G41" s="429">
        <f>VLOOKUP($I$9,'D_Ch-3'!$B$5:$Y$53,MATCH("Ets actifs de 500 salariés ou plus N-1",'D_Ch-3'!$5:$5,0)-1,FALSE)</f>
        <v>78</v>
      </c>
      <c r="H41" s="429"/>
      <c r="I41" s="1114" t="str">
        <f>I9</f>
        <v>Gironde</v>
      </c>
      <c r="J41" s="1114"/>
      <c r="K41" s="1114"/>
      <c r="L41" s="1114"/>
      <c r="M41" s="420"/>
      <c r="N41" s="420"/>
      <c r="O41" s="420"/>
      <c r="P41" s="1115" t="str">
        <f>O9</f>
        <v>Aquitaine</v>
      </c>
      <c r="Q41" s="1115"/>
      <c r="R41" s="1115"/>
      <c r="S41" s="1115"/>
      <c r="T41" s="420"/>
      <c r="U41" s="228"/>
      <c r="V41" s="228"/>
    </row>
    <row r="42" spans="1:22">
      <c r="A42" s="449" t="str">
        <f>O9</f>
        <v>Aquitaine</v>
      </c>
      <c r="B42" s="449">
        <f>VLOOKUP($O$9,'D_Ch-3'!$B$5:$Y$53,MATCH("Ets actifs de 0 salarié N-1",'D_Ch-3'!$5:$5,0)-1,FALSE)</f>
        <v>267004</v>
      </c>
      <c r="C42" s="449">
        <f>VLOOKUP($O$9,'D_Ch-3'!$B$5:$Y$53,MATCH("Ets actifs de 1 à 9 salariés N-1",'D_Ch-3'!$5:$5,0)-1,FALSE)</f>
        <v>84300</v>
      </c>
      <c r="D42" s="449">
        <f>VLOOKUP($O$9,'D_Ch-3'!$B$5:$Y$53,MATCH("Ets actifs de 10 à 49 salariés N-1",'D_Ch-3'!$5:$5,0)-1,FALSE)</f>
        <v>15814</v>
      </c>
      <c r="E42" s="449">
        <f>VLOOKUP($O$9,'D_Ch-3'!$B$5:$Y$53,MATCH("Ets actifs de 50 à 199 salariés N-1",'D_Ch-3'!$5:$5,0)-1,FALSE)</f>
        <v>2986</v>
      </c>
      <c r="F42" s="449">
        <f>VLOOKUP($O$9,'D_Ch-3'!$B$5:$Y$53,MATCH("Ets actifs de 200 à 499 salariés N-1",'D_Ch-3'!$5:$5,0)-1,FALSE)</f>
        <v>355</v>
      </c>
      <c r="G42" s="449">
        <f>VLOOKUP($O$9,'D_Ch-3'!$B$5:$Y$53,MATCH("Ets actifs de 500 salariés ou plus N-1",'D_Ch-3'!$5:$5,0)-1,FALSE)</f>
        <v>121</v>
      </c>
      <c r="H42" s="449"/>
      <c r="I42" s="449"/>
      <c r="J42" s="449"/>
      <c r="K42" s="449"/>
      <c r="L42" s="449"/>
      <c r="M42" s="341"/>
      <c r="N42" s="341"/>
      <c r="O42" s="341"/>
      <c r="P42" s="341"/>
      <c r="Q42" s="341"/>
      <c r="R42" s="341"/>
      <c r="S42" s="341"/>
      <c r="T42" s="341"/>
      <c r="U42" s="208"/>
      <c r="V42" s="208"/>
    </row>
    <row r="43" spans="1:22">
      <c r="A43" s="416"/>
      <c r="B43" s="484"/>
      <c r="C43" s="484"/>
      <c r="D43" s="484"/>
      <c r="E43" s="484"/>
      <c r="F43" s="484"/>
      <c r="G43" s="485"/>
      <c r="H43" s="442"/>
      <c r="I43" s="439"/>
      <c r="J43" s="486">
        <f>B41/($B$41+$C$41+$D$41+$E$41+$F$41+$G$41)</f>
        <v>0.72191517481677281</v>
      </c>
      <c r="K43" s="487"/>
      <c r="L43" s="439"/>
      <c r="M43" s="439"/>
      <c r="N43" s="439"/>
      <c r="O43" s="486">
        <f>B$42/($B$42+$C$42+$D$42+$E$42+$F$42+$G$42)</f>
        <v>0.72050299530465756</v>
      </c>
      <c r="P43" s="341"/>
      <c r="Q43" s="341"/>
      <c r="R43" s="341"/>
      <c r="S43" s="341"/>
      <c r="T43" s="341"/>
      <c r="U43" s="208"/>
      <c r="V43" s="208"/>
    </row>
    <row r="44" spans="1:22">
      <c r="A44" s="341"/>
      <c r="B44" s="439"/>
      <c r="C44" s="439"/>
      <c r="D44" s="439"/>
      <c r="E44" s="439"/>
      <c r="F44" s="439"/>
      <c r="G44" s="488"/>
      <c r="H44" s="439"/>
      <c r="I44" s="439"/>
      <c r="J44" s="489">
        <f>C41/($B$41+$C$41+$D$41+$E$41+$F$41+$G$41)</f>
        <v>0.22270815811606393</v>
      </c>
      <c r="K44" s="439"/>
      <c r="L44" s="439"/>
      <c r="M44" s="439"/>
      <c r="N44" s="439"/>
      <c r="O44" s="489">
        <f>C$42/($B$42+$C$42+$D$42+$E$42+$F$42+$G$42)</f>
        <v>0.22748124561498193</v>
      </c>
      <c r="P44" s="341"/>
      <c r="Q44" s="341"/>
      <c r="R44" s="341"/>
      <c r="S44" s="341"/>
      <c r="T44" s="341"/>
      <c r="U44" s="208"/>
      <c r="V44" s="208"/>
    </row>
    <row r="45" spans="1:22">
      <c r="A45" s="341"/>
      <c r="B45" s="439"/>
      <c r="C45" s="439"/>
      <c r="D45" s="439"/>
      <c r="E45" s="439"/>
      <c r="F45" s="439"/>
      <c r="G45" s="439"/>
      <c r="H45" s="439"/>
      <c r="I45" s="439"/>
      <c r="J45" s="1113">
        <f>D41/($B$41+$C$41+$D$41+$E$41+$F$41+$G$41)</f>
        <v>4.5013817133245225E-2</v>
      </c>
      <c r="K45" s="439"/>
      <c r="L45" s="439"/>
      <c r="M45" s="439"/>
      <c r="N45" s="439"/>
      <c r="O45" s="1113">
        <f>D$42/($B$42+$C$42+$D$42+$E$42+$F$42+$G$42)</f>
        <v>4.2673646715958767E-2</v>
      </c>
      <c r="P45" s="341"/>
      <c r="Q45" s="341"/>
      <c r="R45" s="341"/>
      <c r="S45" s="341"/>
      <c r="T45" s="341"/>
      <c r="U45" s="208"/>
      <c r="V45" s="208"/>
    </row>
    <row r="46" spans="1:22">
      <c r="A46" s="341"/>
      <c r="B46" s="341"/>
      <c r="C46" s="341"/>
      <c r="D46" s="341"/>
      <c r="E46" s="341"/>
      <c r="F46" s="341"/>
      <c r="G46" s="341"/>
      <c r="H46" s="341"/>
      <c r="I46" s="341"/>
      <c r="J46" s="1113">
        <f t="shared" ref="J46" si="0">B44/($B$41+$C$41+$D$41+$E$41+$F$41+$G$41)</f>
        <v>0</v>
      </c>
      <c r="K46" s="341"/>
      <c r="L46" s="341"/>
      <c r="M46" s="341"/>
      <c r="N46" s="341"/>
      <c r="O46" s="1113">
        <f t="shared" ref="O46" si="1">B$42/($B$42+$C$42+$D$42+$E$42+$F$42+$G$42)</f>
        <v>0.72050299530465756</v>
      </c>
      <c r="P46" s="341"/>
      <c r="Q46" s="341"/>
      <c r="R46" s="341"/>
      <c r="S46" s="341"/>
      <c r="T46" s="341"/>
      <c r="U46" s="208"/>
      <c r="V46" s="208"/>
    </row>
    <row r="47" spans="1:22">
      <c r="A47" s="341"/>
      <c r="B47" s="341"/>
      <c r="C47" s="341"/>
      <c r="D47" s="341"/>
      <c r="E47" s="341"/>
      <c r="F47" s="341"/>
      <c r="G47" s="341"/>
      <c r="H47" s="341"/>
      <c r="I47" s="341"/>
      <c r="J47" s="490">
        <f>E41/($B$41+$C$41+$D$41+$E$41+$F$41+$G$41)</f>
        <v>8.770875886098763E-3</v>
      </c>
      <c r="K47" s="341"/>
      <c r="L47" s="341"/>
      <c r="M47" s="341"/>
      <c r="N47" s="341"/>
      <c r="O47" s="490">
        <f>E$42/($B$42+$C$42+$D$42+$E$42+$F$42+$G$42)</f>
        <v>8.0576393761131199E-3</v>
      </c>
      <c r="P47" s="341"/>
      <c r="Q47" s="341"/>
      <c r="R47" s="341"/>
      <c r="S47" s="341"/>
      <c r="T47" s="341"/>
      <c r="U47" s="208"/>
      <c r="V47" s="208"/>
    </row>
    <row r="48" spans="1:22">
      <c r="A48" s="341"/>
      <c r="B48" s="341"/>
      <c r="C48" s="341"/>
      <c r="D48" s="341"/>
      <c r="E48" s="341"/>
      <c r="F48" s="341"/>
      <c r="G48" s="341"/>
      <c r="H48" s="341"/>
      <c r="I48" s="341"/>
      <c r="J48" s="490">
        <f>F41/($B$41+$C$41+$D$41+$E$41+$F$41+$G$41)</f>
        <v>1.1233930073290882E-3</v>
      </c>
      <c r="K48" s="341"/>
      <c r="L48" s="341"/>
      <c r="M48" s="341"/>
      <c r="N48" s="341"/>
      <c r="O48" s="490">
        <f>F$42/($B$42+$C$42+$D$42+$E$42+$F$42+$G$42)</f>
        <v>9.5795779588752771E-4</v>
      </c>
      <c r="P48" s="341"/>
      <c r="Q48" s="341"/>
      <c r="R48" s="341"/>
      <c r="S48" s="341"/>
      <c r="T48" s="341"/>
      <c r="U48" s="208"/>
      <c r="V48" s="208"/>
    </row>
    <row r="49" spans="1:22">
      <c r="A49" s="341"/>
      <c r="B49" s="341"/>
      <c r="C49" s="341"/>
      <c r="D49" s="341"/>
      <c r="E49" s="341"/>
      <c r="F49" s="341"/>
      <c r="G49" s="341"/>
      <c r="H49" s="341"/>
      <c r="I49" s="341"/>
      <c r="J49" s="491">
        <f>G41/($B$41+$C$41+$D$41+$E$41+$F$41+$G$41)</f>
        <v>4.6858104049020784E-4</v>
      </c>
      <c r="K49" s="341"/>
      <c r="L49" s="341"/>
      <c r="M49" s="341"/>
      <c r="N49" s="341"/>
      <c r="O49" s="491">
        <f>G$42/($B$42+$C$42+$D$42+$E$42+$F$42+$G$42)</f>
        <v>3.2651519240110095E-4</v>
      </c>
      <c r="P49" s="341"/>
      <c r="Q49" s="341"/>
      <c r="R49" s="341"/>
      <c r="S49" s="341"/>
      <c r="T49" s="341"/>
      <c r="U49" s="208"/>
      <c r="V49" s="208"/>
    </row>
    <row r="50" spans="1:22">
      <c r="A50" s="341"/>
      <c r="B50" s="341"/>
      <c r="C50" s="341"/>
      <c r="D50" s="341"/>
      <c r="E50" s="341"/>
      <c r="F50" s="341"/>
      <c r="G50" s="341"/>
      <c r="H50" s="341"/>
      <c r="I50" s="341"/>
      <c r="J50" s="341"/>
      <c r="K50" s="341"/>
      <c r="L50" s="341"/>
      <c r="M50" s="341"/>
      <c r="N50" s="341"/>
      <c r="O50" s="341"/>
      <c r="P50" s="341"/>
      <c r="Q50" s="341"/>
      <c r="R50" s="341"/>
      <c r="S50" s="341"/>
      <c r="T50" s="341"/>
      <c r="U50" s="208"/>
      <c r="V50" s="208"/>
    </row>
    <row r="51" spans="1:22">
      <c r="A51" s="341"/>
      <c r="B51" s="341"/>
      <c r="C51" s="341"/>
      <c r="D51" s="341"/>
      <c r="E51" s="341"/>
      <c r="F51" s="341"/>
      <c r="G51" s="341"/>
      <c r="H51" s="341"/>
      <c r="I51" s="341"/>
      <c r="J51" s="341"/>
      <c r="K51" s="341"/>
      <c r="L51" s="341"/>
      <c r="M51" s="341"/>
      <c r="N51" s="341"/>
      <c r="O51" s="341"/>
      <c r="P51" s="341"/>
      <c r="Q51" s="341"/>
      <c r="R51" s="341"/>
      <c r="S51" s="341"/>
      <c r="T51" s="341"/>
      <c r="U51" s="208"/>
      <c r="V51" s="208"/>
    </row>
    <row r="52" spans="1:22">
      <c r="A52" s="208"/>
      <c r="B52" s="208"/>
      <c r="C52" s="208"/>
      <c r="D52" s="208"/>
      <c r="E52" s="208"/>
      <c r="F52" s="208"/>
      <c r="G52" s="208"/>
      <c r="H52" s="208"/>
      <c r="I52" s="208"/>
      <c r="J52" s="208"/>
      <c r="K52" s="208"/>
      <c r="L52" s="208"/>
      <c r="M52" s="208"/>
      <c r="N52" s="208"/>
      <c r="O52" s="208"/>
      <c r="P52" s="208"/>
      <c r="Q52" s="208"/>
      <c r="R52" s="208"/>
      <c r="S52" s="208"/>
      <c r="T52" s="208"/>
      <c r="U52" s="208"/>
      <c r="V52" s="208"/>
    </row>
    <row r="53" spans="1:22">
      <c r="A53" s="208"/>
      <c r="B53" s="208"/>
      <c r="C53" s="208"/>
      <c r="D53" s="208"/>
      <c r="E53" s="208"/>
      <c r="F53" s="208"/>
      <c r="G53" s="208"/>
      <c r="H53" s="208"/>
      <c r="I53" s="208"/>
      <c r="J53" s="208"/>
      <c r="K53" s="208"/>
      <c r="L53" s="208"/>
      <c r="M53" s="208"/>
      <c r="N53" s="208"/>
      <c r="O53" s="208"/>
      <c r="P53" s="208"/>
      <c r="Q53" s="208"/>
      <c r="R53" s="208"/>
      <c r="S53" s="208"/>
      <c r="T53" s="208"/>
      <c r="U53" s="208"/>
      <c r="V53" s="208"/>
    </row>
    <row r="54" spans="1:22" hidden="1">
      <c r="A54" s="208"/>
      <c r="B54" s="208"/>
      <c r="C54" s="208"/>
      <c r="D54" s="208"/>
      <c r="E54" s="208"/>
      <c r="F54" s="208"/>
      <c r="G54" s="208"/>
      <c r="H54" s="208"/>
      <c r="I54" s="208"/>
      <c r="J54" s="208"/>
      <c r="K54" s="208"/>
      <c r="L54" s="208"/>
      <c r="M54" s="208"/>
      <c r="N54" s="208"/>
      <c r="O54" s="208"/>
      <c r="P54" s="208"/>
      <c r="Q54" s="208"/>
      <c r="R54" s="208"/>
      <c r="S54" s="208"/>
      <c r="T54" s="208"/>
      <c r="U54" s="208"/>
      <c r="V54" s="208"/>
    </row>
    <row r="55" spans="1:22" hidden="1">
      <c r="A55" s="208"/>
      <c r="B55" s="208"/>
      <c r="C55" s="208"/>
      <c r="D55" s="208"/>
      <c r="E55" s="208"/>
      <c r="F55" s="208"/>
      <c r="G55" s="208"/>
      <c r="H55" s="208"/>
      <c r="I55" s="208"/>
      <c r="J55" s="208"/>
      <c r="K55" s="208"/>
      <c r="L55" s="208"/>
      <c r="M55" s="208"/>
      <c r="N55" s="208"/>
      <c r="O55" s="208"/>
      <c r="P55" s="208"/>
      <c r="Q55" s="208"/>
      <c r="R55" s="208"/>
      <c r="S55" s="208"/>
      <c r="T55" s="208"/>
      <c r="U55" s="208"/>
      <c r="V55" s="208"/>
    </row>
    <row r="56" spans="1:22" hidden="1">
      <c r="A56" s="208"/>
      <c r="B56" s="208"/>
      <c r="C56" s="208"/>
      <c r="D56" s="208"/>
      <c r="E56" s="208"/>
      <c r="F56" s="208"/>
      <c r="G56" s="208"/>
      <c r="H56" s="208"/>
      <c r="I56" s="208"/>
      <c r="J56" s="208"/>
      <c r="K56" s="208"/>
      <c r="L56" s="208"/>
      <c r="M56" s="208"/>
      <c r="N56" s="208"/>
      <c r="O56" s="208"/>
      <c r="P56" s="208"/>
      <c r="Q56" s="208"/>
      <c r="R56" s="208"/>
      <c r="S56" s="208"/>
      <c r="T56" s="208"/>
      <c r="U56" s="208"/>
      <c r="V56" s="208"/>
    </row>
    <row r="57" spans="1:22" hidden="1">
      <c r="A57" s="208"/>
      <c r="B57" s="208"/>
      <c r="C57" s="208"/>
      <c r="D57" s="208"/>
      <c r="E57" s="208"/>
      <c r="F57" s="208"/>
      <c r="G57" s="208"/>
      <c r="H57" s="208"/>
      <c r="I57" s="208"/>
      <c r="J57" s="208"/>
      <c r="K57" s="208"/>
      <c r="L57" s="208"/>
      <c r="M57" s="208"/>
      <c r="N57" s="208"/>
      <c r="O57" s="208"/>
      <c r="P57" s="208"/>
      <c r="Q57" s="208"/>
      <c r="R57" s="208"/>
      <c r="S57" s="208"/>
      <c r="T57" s="208"/>
      <c r="U57" s="208"/>
      <c r="V57" s="208"/>
    </row>
    <row r="58" spans="1:22" hidden="1">
      <c r="A58" s="208"/>
      <c r="B58" s="208"/>
      <c r="C58" s="208"/>
      <c r="D58" s="208"/>
      <c r="E58" s="208"/>
      <c r="F58" s="208"/>
      <c r="G58" s="208"/>
      <c r="H58" s="208"/>
      <c r="I58" s="208"/>
      <c r="J58" s="208"/>
      <c r="K58" s="208"/>
      <c r="L58" s="208"/>
      <c r="M58" s="208"/>
      <c r="N58" s="208"/>
      <c r="O58" s="208"/>
      <c r="P58" s="208"/>
      <c r="Q58" s="208"/>
      <c r="R58" s="208"/>
      <c r="S58" s="208"/>
      <c r="T58" s="208"/>
      <c r="U58" s="208"/>
      <c r="V58" s="208"/>
    </row>
    <row r="59" spans="1:22" hidden="1">
      <c r="A59" s="208"/>
      <c r="B59" s="208"/>
      <c r="C59" s="208"/>
      <c r="D59" s="208"/>
      <c r="E59" s="208"/>
      <c r="F59" s="208"/>
      <c r="G59" s="208"/>
      <c r="H59" s="208"/>
      <c r="I59" s="208"/>
      <c r="J59" s="208"/>
      <c r="K59" s="208"/>
      <c r="L59" s="208"/>
      <c r="M59" s="208"/>
      <c r="N59" s="208"/>
      <c r="O59" s="208"/>
      <c r="P59" s="208"/>
      <c r="Q59" s="208"/>
      <c r="R59" s="208"/>
      <c r="S59" s="208"/>
      <c r="T59" s="208"/>
      <c r="U59" s="208"/>
      <c r="V59" s="208"/>
    </row>
    <row r="60" spans="1:22" hidden="1">
      <c r="A60" s="208"/>
      <c r="B60" s="208"/>
      <c r="C60" s="208"/>
      <c r="D60" s="208"/>
      <c r="E60" s="208"/>
      <c r="F60" s="208"/>
      <c r="G60" s="208"/>
      <c r="H60" s="208"/>
      <c r="I60" s="208"/>
      <c r="J60" s="208"/>
      <c r="K60" s="208"/>
      <c r="L60" s="208"/>
      <c r="M60" s="208"/>
      <c r="N60" s="208"/>
      <c r="O60" s="208"/>
      <c r="P60" s="208"/>
      <c r="Q60" s="208"/>
      <c r="R60" s="208"/>
      <c r="S60" s="208"/>
      <c r="T60" s="208"/>
      <c r="U60" s="208"/>
      <c r="V60" s="208"/>
    </row>
    <row r="61" spans="1:22" hidden="1">
      <c r="A61" s="208"/>
      <c r="B61" s="208"/>
      <c r="C61" s="208"/>
      <c r="D61" s="208"/>
      <c r="E61" s="208"/>
      <c r="F61" s="208"/>
      <c r="G61" s="208"/>
      <c r="H61" s="208"/>
      <c r="I61" s="208"/>
      <c r="J61" s="208"/>
      <c r="K61" s="208"/>
      <c r="L61" s="208"/>
      <c r="M61" s="208"/>
      <c r="N61" s="208"/>
      <c r="O61" s="208"/>
      <c r="P61" s="208"/>
      <c r="Q61" s="208"/>
      <c r="R61" s="208"/>
      <c r="S61" s="208"/>
      <c r="T61" s="208"/>
      <c r="U61" s="208"/>
      <c r="V61" s="208"/>
    </row>
  </sheetData>
  <sheetProtection sheet="1" objects="1" scenarios="1" autoFilter="0"/>
  <mergeCells count="35">
    <mergeCell ref="J45:J46"/>
    <mergeCell ref="O45:O46"/>
    <mergeCell ref="I27:L27"/>
    <mergeCell ref="P27:S27"/>
    <mergeCell ref="I41:L41"/>
    <mergeCell ref="P41:S41"/>
    <mergeCell ref="S23:T23"/>
    <mergeCell ref="S13:T13"/>
    <mergeCell ref="S14:T14"/>
    <mergeCell ref="M16:N16"/>
    <mergeCell ref="S16:T16"/>
    <mergeCell ref="J22:K22"/>
    <mergeCell ref="J23:K23"/>
    <mergeCell ref="P22:Q22"/>
    <mergeCell ref="P23:Q23"/>
    <mergeCell ref="J18:K18"/>
    <mergeCell ref="P18:Q18"/>
    <mergeCell ref="J19:K19"/>
    <mergeCell ref="P19:Q19"/>
    <mergeCell ref="M23:N23"/>
    <mergeCell ref="J13:K13"/>
    <mergeCell ref="P13:Q13"/>
    <mergeCell ref="J16:K16"/>
    <mergeCell ref="P16:Q16"/>
    <mergeCell ref="J14:L14"/>
    <mergeCell ref="P14:R14"/>
    <mergeCell ref="M14:N14"/>
    <mergeCell ref="M13:N13"/>
    <mergeCell ref="F1:T4"/>
    <mergeCell ref="A6:T7"/>
    <mergeCell ref="I9:L9"/>
    <mergeCell ref="O9:R9"/>
    <mergeCell ref="J12:K12"/>
    <mergeCell ref="P12:Q12"/>
    <mergeCell ref="A9:C9"/>
  </mergeCells>
  <conditionalFormatting sqref="M14:N14">
    <cfRule type="iconSet" priority="12">
      <iconSet iconSet="5ArrowsGray">
        <cfvo type="percent" val="0"/>
        <cfvo type="num" val="-0.5"/>
        <cfvo type="num" val="-0.05"/>
        <cfvo type="num" val="0.05"/>
        <cfvo type="num" val="0.5"/>
      </iconSet>
    </cfRule>
  </conditionalFormatting>
  <conditionalFormatting sqref="S14:T14">
    <cfRule type="iconSet" priority="11">
      <iconSet iconSet="5ArrowsGray">
        <cfvo type="percent" val="0"/>
        <cfvo type="num" val="-0.5"/>
        <cfvo type="num" val="-0.05"/>
        <cfvo type="num" val="0.05"/>
        <cfvo type="num" val="0.5"/>
      </iconSet>
    </cfRule>
  </conditionalFormatting>
  <conditionalFormatting sqref="M16:N16">
    <cfRule type="iconSet" priority="10">
      <iconSet iconSet="5ArrowsGray">
        <cfvo type="percent" val="0"/>
        <cfvo type="num" val="-0.5"/>
        <cfvo type="num" val="-0.05"/>
        <cfvo type="num" val="0.05"/>
        <cfvo type="num" val="0.5"/>
      </iconSet>
    </cfRule>
  </conditionalFormatting>
  <conditionalFormatting sqref="S16:T16">
    <cfRule type="iconSet" priority="9">
      <iconSet iconSet="5ArrowsGray">
        <cfvo type="percent" val="0"/>
        <cfvo type="num" val="-0.5"/>
        <cfvo type="num" val="-0.05"/>
        <cfvo type="num" val="0.05"/>
        <cfvo type="num" val="0.5"/>
      </iconSet>
    </cfRule>
  </conditionalFormatting>
  <conditionalFormatting sqref="M23:N23">
    <cfRule type="iconSet" priority="6">
      <iconSet iconSet="5ArrowsGray">
        <cfvo type="percent" val="0"/>
        <cfvo type="num" val="-0.5"/>
        <cfvo type="num" val="-0.05"/>
        <cfvo type="num" val="0.05"/>
        <cfvo type="num" val="0.5"/>
      </iconSet>
    </cfRule>
  </conditionalFormatting>
  <conditionalFormatting sqref="S23:T23">
    <cfRule type="iconSet" priority="5">
      <iconSet iconSet="5ArrowsGray">
        <cfvo type="percent" val="0"/>
        <cfvo type="num" val="-0.5"/>
        <cfvo type="num" val="-0.05"/>
        <cfvo type="num" val="0.05"/>
        <cfvo type="num" val="0.5"/>
      </iconSet>
    </cfRule>
  </conditionalFormatting>
  <conditionalFormatting sqref="M13:N13">
    <cfRule type="iconSet" priority="4">
      <iconSet iconSet="5ArrowsGray">
        <cfvo type="percent" val="0"/>
        <cfvo type="num" val="-0.5"/>
        <cfvo type="num" val="-0.05"/>
        <cfvo type="num" val="0.05"/>
        <cfvo type="num" val="0.5"/>
      </iconSet>
    </cfRule>
  </conditionalFormatting>
  <conditionalFormatting sqref="S13:T13">
    <cfRule type="iconSet" priority="3">
      <iconSet iconSet="5ArrowsGray">
        <cfvo type="percent" val="0"/>
        <cfvo type="num" val="-0.5"/>
        <cfvo type="num" val="-0.05"/>
        <cfvo type="num" val="0.05"/>
        <cfvo type="num" val="0.5"/>
      </iconSet>
    </cfRule>
  </conditionalFormatting>
  <hyperlinks>
    <hyperlink ref="A12:C12" location="Glossaire!A120" display="Nombre d'entreprises"/>
    <hyperlink ref="A13" location="Glossaire!A127" display="Création d'entreprises"/>
    <hyperlink ref="A16" location="Glossaire!A142" display="Taux d'entrepreneuriat "/>
    <hyperlink ref="A14" location="Glossaire!A136" display="dont part des micro-entrepreneurs "/>
    <hyperlink ref="A18" location="Glossaire!A147" display="Part de jeunes entreprises"/>
    <hyperlink ref="A22" location="Glossaire!A148" display="Nombre d'établissements"/>
    <hyperlink ref="A13:D13" location="Glossaire!A168" display="Création d'entreprises"/>
    <hyperlink ref="A14:E14" location="Glossaire!A129" display="dont part des micro-entrepreneurs "/>
    <hyperlink ref="A16:D16" location="Glossaire!A183" display="Taux d'entrepreneuriat "/>
    <hyperlink ref="A18:D18" location="Glossaire!A140" display="Part de jeunes entreprises"/>
    <hyperlink ref="A22:C22" location="Glossaire!A147" display="Nb d'établissements"/>
    <hyperlink ref="A18:A19" location="Glossaire!A142" display="Part de jeunes entreprises"/>
    <hyperlink ref="A22:D22" location="Glossaire!A194" display="Nombre d'établissements"/>
    <hyperlink ref="A11:H11" location="Glossaire!A161" display="Analyse des entreprises au 31 décembre 2015"/>
    <hyperlink ref="A21:I21" location="Glossaire!A194" display="Analyse des établissements au 31 décembre 2015"/>
    <hyperlink ref="A14:F14" location="Glossaire!A177" display="dont part des micro-entrepreneurs "/>
    <hyperlink ref="A16:E16" location="Glossaire!A142" display="Taux d'entrepreneuriat "/>
    <hyperlink ref="A12:D12" location="Glossaire!A161" display="Nombre d'entreprises"/>
    <hyperlink ref="A18:E18" location="Glossaire!A188" display="Part de jeunes entreprises"/>
    <hyperlink ref="A19" location="Glossaire!A142" display="Part de jeunes entreprises"/>
    <hyperlink ref="A19:D19" location="Glossaire!A140" display="Part de jeunes entreprises"/>
    <hyperlink ref="A19:E19" location="Glossaire!A188" display="Part de jeunes entreprises"/>
  </hyperlink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mars 2017</oddHeader>
    <oddFooter>&amp;C&amp;"-,Italique"&amp;8&amp;A&amp;R&amp;8Page &amp;P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'D_Ch-3'!$B$82:$B$128</xm:f>
          </x14:formula1>
          <xm:sqref>I9:L9</xm:sqref>
        </x14:dataValidation>
        <x14:dataValidation type="list" allowBlank="1" showInputMessage="1" showErrorMessage="1">
          <x14:formula1>
            <xm:f>'D_Ch-3'!$B$82:$B$129</xm:f>
          </x14:formula1>
          <xm:sqref>O9:R9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showGridLines="0" view="pageLayout" zoomScaleNormal="100" workbookViewId="0">
      <selection activeCell="A6" sqref="A6:T7"/>
    </sheetView>
  </sheetViews>
  <sheetFormatPr baseColWidth="10" defaultColWidth="0" defaultRowHeight="15" zeroHeight="1"/>
  <cols>
    <col min="1" max="20" width="4.85546875" style="324" customWidth="1"/>
    <col min="21" max="21" width="1.7109375" customWidth="1"/>
    <col min="22" max="16384" width="11.42578125" hidden="1"/>
  </cols>
  <sheetData>
    <row r="1" spans="1:21" s="208" customFormat="1" ht="16.7" customHeight="1">
      <c r="A1" s="205"/>
      <c r="B1" s="206"/>
      <c r="C1" s="207"/>
      <c r="D1" s="207"/>
      <c r="E1" s="207"/>
      <c r="F1" s="985" t="s">
        <v>1369</v>
      </c>
      <c r="G1" s="977"/>
      <c r="H1" s="977"/>
      <c r="I1" s="977"/>
      <c r="J1" s="977"/>
      <c r="K1" s="977"/>
      <c r="L1" s="977"/>
      <c r="M1" s="977"/>
      <c r="N1" s="977"/>
      <c r="O1" s="977"/>
      <c r="P1" s="977"/>
      <c r="Q1" s="977"/>
      <c r="R1" s="977"/>
      <c r="S1" s="977"/>
      <c r="T1" s="977"/>
      <c r="U1" s="622"/>
    </row>
    <row r="2" spans="1:21" s="208" customFormat="1" ht="16.7" customHeight="1">
      <c r="A2" s="209"/>
      <c r="B2" s="207"/>
      <c r="C2" s="207"/>
      <c r="D2" s="207"/>
      <c r="E2" s="207"/>
      <c r="F2" s="985"/>
      <c r="G2" s="977"/>
      <c r="H2" s="977"/>
      <c r="I2" s="977"/>
      <c r="J2" s="977"/>
      <c r="K2" s="977"/>
      <c r="L2" s="977"/>
      <c r="M2" s="977"/>
      <c r="N2" s="977"/>
      <c r="O2" s="977"/>
      <c r="P2" s="977"/>
      <c r="Q2" s="977"/>
      <c r="R2" s="977"/>
      <c r="S2" s="977"/>
      <c r="T2" s="977"/>
      <c r="U2" s="622"/>
    </row>
    <row r="3" spans="1:21" s="208" customFormat="1" ht="16.7" customHeight="1">
      <c r="A3" s="210"/>
      <c r="B3" s="207"/>
      <c r="C3" s="207"/>
      <c r="D3" s="207"/>
      <c r="E3" s="207"/>
      <c r="F3" s="985"/>
      <c r="G3" s="977"/>
      <c r="H3" s="977"/>
      <c r="I3" s="977"/>
      <c r="J3" s="977"/>
      <c r="K3" s="977"/>
      <c r="L3" s="977"/>
      <c r="M3" s="977"/>
      <c r="N3" s="977"/>
      <c r="O3" s="977"/>
      <c r="P3" s="977"/>
      <c r="Q3" s="977"/>
      <c r="R3" s="977"/>
      <c r="S3" s="977"/>
      <c r="T3" s="977"/>
      <c r="U3" s="622"/>
    </row>
    <row r="4" spans="1:21" ht="16.7" customHeight="1">
      <c r="A4"/>
      <c r="B4"/>
      <c r="C4"/>
      <c r="D4"/>
      <c r="E4"/>
      <c r="F4" s="985"/>
      <c r="G4" s="977"/>
      <c r="H4" s="977"/>
      <c r="I4" s="977"/>
      <c r="J4" s="977"/>
      <c r="K4" s="977"/>
      <c r="L4" s="977"/>
      <c r="M4" s="977"/>
      <c r="N4" s="977"/>
      <c r="O4" s="977"/>
      <c r="P4" s="977"/>
      <c r="Q4" s="977"/>
      <c r="R4" s="977"/>
      <c r="S4" s="977"/>
      <c r="T4" s="977"/>
    </row>
    <row r="5" spans="1:21" ht="5.25" customHeight="1">
      <c r="A5"/>
      <c r="B5"/>
      <c r="C5"/>
      <c r="D5"/>
      <c r="E5"/>
      <c r="F5"/>
      <c r="G5"/>
      <c r="H5"/>
      <c r="I5"/>
      <c r="J5"/>
      <c r="K5"/>
      <c r="L5"/>
      <c r="M5"/>
      <c r="N5"/>
      <c r="O5"/>
      <c r="P5"/>
      <c r="Q5"/>
      <c r="R5"/>
      <c r="S5"/>
      <c r="T5"/>
    </row>
    <row r="6" spans="1:21" s="208" customFormat="1" ht="15" customHeight="1">
      <c r="A6" s="875" t="s">
        <v>1053</v>
      </c>
      <c r="B6" s="875"/>
      <c r="C6" s="875"/>
      <c r="D6" s="875"/>
      <c r="E6" s="875"/>
      <c r="F6" s="875"/>
      <c r="G6" s="875"/>
      <c r="H6" s="875"/>
      <c r="I6" s="875"/>
      <c r="J6" s="875"/>
      <c r="K6" s="875"/>
      <c r="L6" s="875"/>
      <c r="M6" s="875"/>
      <c r="N6" s="875"/>
      <c r="O6" s="875"/>
      <c r="P6" s="875"/>
      <c r="Q6" s="875"/>
      <c r="R6" s="875"/>
      <c r="S6" s="875"/>
      <c r="T6" s="875"/>
      <c r="U6" s="860"/>
    </row>
    <row r="7" spans="1:21" s="208" customFormat="1" ht="15" customHeight="1">
      <c r="A7" s="875"/>
      <c r="B7" s="875"/>
      <c r="C7" s="875"/>
      <c r="D7" s="875"/>
      <c r="E7" s="875"/>
      <c r="F7" s="875"/>
      <c r="G7" s="875"/>
      <c r="H7" s="875"/>
      <c r="I7" s="875"/>
      <c r="J7" s="875"/>
      <c r="K7" s="875"/>
      <c r="L7" s="875"/>
      <c r="M7" s="875"/>
      <c r="N7" s="875"/>
      <c r="O7" s="875"/>
      <c r="P7" s="875"/>
      <c r="Q7" s="875"/>
      <c r="R7" s="875"/>
      <c r="S7" s="875"/>
      <c r="T7" s="875"/>
      <c r="U7" s="860"/>
    </row>
    <row r="8" spans="1:21" s="388" customFormat="1" ht="18" customHeight="1" thickBot="1">
      <c r="A8" s="492" t="s">
        <v>1954</v>
      </c>
      <c r="B8" s="492"/>
      <c r="C8" s="492"/>
      <c r="D8" s="492"/>
      <c r="E8" s="492"/>
      <c r="F8" s="492"/>
      <c r="G8" s="492"/>
      <c r="H8" s="492"/>
      <c r="I8" s="492"/>
      <c r="J8" s="492"/>
      <c r="K8" s="492"/>
      <c r="L8" s="436"/>
      <c r="M8" s="492"/>
      <c r="N8" s="492"/>
      <c r="O8" s="492"/>
      <c r="P8" s="493"/>
      <c r="Q8" s="493"/>
      <c r="R8" s="493"/>
      <c r="S8" s="459"/>
      <c r="T8" s="459"/>
    </row>
    <row r="9" spans="1:21" s="208" customFormat="1" ht="14.25" thickTop="1" thickBot="1">
      <c r="A9" s="341"/>
      <c r="B9" s="341"/>
      <c r="C9" s="581"/>
      <c r="D9" s="921" t="s">
        <v>1838</v>
      </c>
      <c r="E9" s="922"/>
      <c r="F9" s="922"/>
      <c r="G9" s="922"/>
      <c r="H9" s="923"/>
      <c r="I9" s="581"/>
      <c r="J9" s="581"/>
      <c r="K9" s="581"/>
      <c r="L9" s="581"/>
      <c r="M9" s="581"/>
      <c r="N9" s="879" t="s">
        <v>790</v>
      </c>
      <c r="O9" s="880"/>
      <c r="P9" s="880"/>
      <c r="Q9" s="880"/>
      <c r="R9" s="881"/>
      <c r="S9" s="341"/>
      <c r="T9" s="341"/>
    </row>
    <row r="10" spans="1:21" s="204" customFormat="1" ht="15.75" thickTop="1">
      <c r="A10" s="416"/>
      <c r="B10" s="494" t="s">
        <v>508</v>
      </c>
      <c r="C10" s="494" t="s">
        <v>1056</v>
      </c>
      <c r="D10" s="494" t="s">
        <v>510</v>
      </c>
      <c r="E10" s="494" t="s">
        <v>1054</v>
      </c>
      <c r="F10" s="494" t="s">
        <v>512</v>
      </c>
      <c r="G10" s="494" t="s">
        <v>513</v>
      </c>
      <c r="H10" s="494" t="s">
        <v>514</v>
      </c>
      <c r="I10" s="494" t="s">
        <v>515</v>
      </c>
      <c r="J10" s="494" t="s">
        <v>516</v>
      </c>
      <c r="K10" s="494" t="s">
        <v>1616</v>
      </c>
      <c r="L10" s="494" t="s">
        <v>1055</v>
      </c>
      <c r="M10" s="494" t="s">
        <v>519</v>
      </c>
      <c r="N10" s="416"/>
      <c r="O10" s="416"/>
      <c r="P10" s="416"/>
      <c r="Q10" s="416"/>
      <c r="R10" s="416"/>
      <c r="S10" s="495"/>
      <c r="T10" s="495"/>
    </row>
    <row r="11" spans="1:21" s="204" customFormat="1">
      <c r="A11" s="416" t="str">
        <f>D9</f>
        <v>Nouvelle-Aquitaine</v>
      </c>
      <c r="B11" s="416">
        <f>VLOOKUP($D$9,'D_Ch4-1'!$A$6:$M$16,MATCH("Agriculture, sylviculture et pêche",'D_Ch4-1'!$6:$6,0),FALSE)</f>
        <v>2.4081849260149264</v>
      </c>
      <c r="C11" s="416">
        <f>VLOOKUP($D$9,'D_Ch4-1'!$A$6:$M$16,MATCH("Industries manufacturières, extractives et autres",'D_Ch4-1'!$6:$6,0),FALSE)</f>
        <v>0.99181492246022152</v>
      </c>
      <c r="D11" s="416">
        <f>VLOOKUP($D$9,'D_Ch4-1'!$A$6:$M$16,MATCH("Construction",'D_Ch4-1'!$6:$6,0),FALSE)</f>
        <v>1.1358167549325993</v>
      </c>
      <c r="E11" s="416">
        <f>VLOOKUP($D$9,'D_Ch4-1'!$A$6:$M$16,MATCH("Commerce, réparation d'auto /moto",'D_Ch4-1'!$6:$6,0),FALSE)</f>
        <v>0.97204657996443555</v>
      </c>
      <c r="F11" s="416">
        <f>VLOOKUP($D$9,'D_Ch4-1'!$A$6:$M$16,MATCH("Transport et entreposage",'D_Ch4-1'!$6:$6,0),FALSE)</f>
        <v>0.90968716468043842</v>
      </c>
      <c r="G11" s="416">
        <f>VLOOKUP($D$9,'D_Ch4-1'!$A$6:$M$16,MATCH("Hébergement et restauration",'D_Ch4-1'!$6:$6,0),FALSE)</f>
        <v>1.0216181946297835</v>
      </c>
      <c r="H11" s="416">
        <f>VLOOKUP($D$9,'D_Ch4-1'!$A$6:$M$16,MATCH("Information et communication",'D_Ch4-1'!$6:$6,0),FALSE)</f>
        <v>0.46169482185427657</v>
      </c>
      <c r="I11" s="416">
        <f>VLOOKUP($D$9,'D_Ch4-1'!$A$6:$M$16,MATCH("Activités financières et d'assurance",'D_Ch4-1'!$6:$6,0),FALSE)</f>
        <v>0.81610436355467175</v>
      </c>
      <c r="J11" s="416">
        <f>VLOOKUP($D$9,'D_Ch4-1'!$A$6:$M$16,MATCH("Activités immobilières",'D_Ch4-1'!$6:$6,0),FALSE)</f>
        <v>1.0241271555118341</v>
      </c>
      <c r="K11" s="416">
        <f>VLOOKUP($D$9,'D_Ch4-1'!$A$6:$M$16,MATCH("Activités scientifiques et techn; services admin et de soutien",'D_Ch4-1'!$6:$6,0),FALSE)</f>
        <v>0.71634990366618567</v>
      </c>
      <c r="L11" s="416">
        <f>VLOOKUP($D$9,'D_Ch4-1'!$A$6:$M$16,MATCH("Administration pub, enseignement, santé, action sociale",'D_Ch4-1'!$6:$6,0),FALSE)</f>
        <v>1.1842016165264628</v>
      </c>
      <c r="M11" s="416">
        <f>VLOOKUP($D$9,'D_Ch4-1'!$A$6:$M$16,MATCH("Autres activités de services",'D_Ch4-1'!$6:$6,0),FALSE)</f>
        <v>1.0557954674722436</v>
      </c>
      <c r="N11" s="416"/>
      <c r="O11" s="416"/>
      <c r="P11" s="416"/>
      <c r="Q11" s="416"/>
      <c r="R11" s="416"/>
      <c r="S11" s="495"/>
      <c r="T11" s="495"/>
    </row>
    <row r="12" spans="1:21" s="204" customFormat="1">
      <c r="A12" s="416" t="str">
        <f>N9</f>
        <v>Pays de la Loire</v>
      </c>
      <c r="B12" s="416">
        <f>VLOOKUP($N$9,'D_Ch4-1'!$A$6:$M$16,MATCH("Agriculture, sylviculture et pêche",'D_Ch4-1'!$6:$6,0),FALSE)</f>
        <v>1.638416288696285</v>
      </c>
      <c r="C12" s="416">
        <f>VLOOKUP($N$9,'D_Ch4-1'!$A$6:$M$16,MATCH("Industries manufacturières, extractives et autres",'D_Ch4-1'!$6:$6,0),FALSE)</f>
        <v>1.2823485015137586</v>
      </c>
      <c r="D12" s="416">
        <f>VLOOKUP($N$9,'D_Ch4-1'!$A$6:$M$16,MATCH("Construction",'D_Ch4-1'!$6:$6,0),FALSE)</f>
        <v>1.2369676555859086</v>
      </c>
      <c r="E12" s="416">
        <f>VLOOKUP($N$9,'D_Ch4-1'!$A$6:$M$16,MATCH("Commerce, réparation d'auto /moto",'D_Ch4-1'!$6:$6,0),FALSE)</f>
        <v>1.094668729639416</v>
      </c>
      <c r="F12" s="416">
        <f>VLOOKUP($N$9,'D_Ch4-1'!$A$6:$M$16,MATCH("Transport et entreposage",'D_Ch4-1'!$6:$6,0),FALSE)</f>
        <v>0.88765239268029728</v>
      </c>
      <c r="G12" s="416">
        <f>VLOOKUP($N$9,'D_Ch4-1'!$A$6:$M$16,MATCH("Hébergement et restauration",'D_Ch4-1'!$6:$6,0),FALSE)</f>
        <v>0.84863626201493536</v>
      </c>
      <c r="H12" s="416">
        <f>VLOOKUP($N$9,'D_Ch4-1'!$A$6:$M$16,MATCH("Information et communication",'D_Ch4-1'!$6:$6,0),FALSE)</f>
        <v>0.670234273530675</v>
      </c>
      <c r="I12" s="416">
        <f>VLOOKUP($N$9,'D_Ch4-1'!$A$6:$M$16,MATCH("Activités financières et d'assurance",'D_Ch4-1'!$6:$6,0),FALSE)</f>
        <v>0.8903747488720487</v>
      </c>
      <c r="J12" s="416">
        <f>VLOOKUP($N$9,'D_Ch4-1'!$A$6:$M$16,MATCH("Activités immobilières",'D_Ch4-1'!$6:$6,0),FALSE)</f>
        <v>0.93575750898579968</v>
      </c>
      <c r="K12" s="416">
        <f>VLOOKUP($N$9,'D_Ch4-1'!$A$6:$M$16,MATCH("Activités scientifiques et techn; services admin et de soutien",'D_Ch4-1'!$6:$6,0),FALSE)</f>
        <v>0.73550516376337782</v>
      </c>
      <c r="L12" s="416">
        <f>VLOOKUP($N$9,'D_Ch4-1'!$A$6:$M$16,MATCH("Administration pub, enseignement, santé, action sociale",'D_Ch4-1'!$6:$6,0),FALSE)</f>
        <v>0.99287296559131377</v>
      </c>
      <c r="M12" s="416">
        <f>VLOOKUP($N$9,'D_Ch4-1'!$A$6:$M$16,MATCH("Autres activités de services",'D_Ch4-1'!$6:$6,0),FALSE)</f>
        <v>1.031583514417143</v>
      </c>
      <c r="N12" s="416"/>
      <c r="O12" s="416"/>
      <c r="P12" s="416"/>
      <c r="Q12" s="416"/>
      <c r="R12" s="416"/>
      <c r="S12" s="495"/>
      <c r="T12" s="495"/>
    </row>
    <row r="13" spans="1:21">
      <c r="A13" s="416"/>
      <c r="B13" s="416"/>
      <c r="C13" s="416"/>
      <c r="D13" s="416"/>
      <c r="E13" s="416"/>
      <c r="F13" s="416"/>
      <c r="G13" s="416"/>
      <c r="H13" s="416"/>
      <c r="I13" s="416"/>
      <c r="J13" s="416"/>
      <c r="K13" s="416"/>
      <c r="L13" s="416"/>
      <c r="M13" s="416"/>
      <c r="N13" s="416"/>
      <c r="O13" s="416"/>
      <c r="P13" s="416"/>
      <c r="Q13" s="416"/>
      <c r="R13" s="416"/>
      <c r="S13" s="495"/>
      <c r="T13" s="495"/>
    </row>
    <row r="14" spans="1:21">
      <c r="A14" s="495"/>
      <c r="B14" s="495"/>
      <c r="C14" s="495"/>
      <c r="D14" s="495"/>
      <c r="E14" s="495"/>
      <c r="F14" s="495"/>
      <c r="G14" s="495"/>
      <c r="H14" s="495"/>
      <c r="I14" s="495"/>
      <c r="J14" s="495"/>
      <c r="K14" s="495"/>
      <c r="L14" s="495"/>
      <c r="M14" s="495"/>
      <c r="N14" s="495"/>
      <c r="O14" s="495"/>
      <c r="P14" s="495"/>
      <c r="Q14" s="495"/>
      <c r="R14" s="495"/>
      <c r="S14" s="495"/>
      <c r="T14" s="495"/>
    </row>
    <row r="15" spans="1:21">
      <c r="A15" s="495"/>
      <c r="B15" s="495"/>
      <c r="C15" s="495"/>
      <c r="D15" s="495"/>
      <c r="E15" s="495"/>
      <c r="F15" s="495"/>
      <c r="G15" s="495"/>
      <c r="H15" s="495"/>
      <c r="I15" s="495"/>
      <c r="J15" s="495"/>
      <c r="K15" s="495"/>
      <c r="L15" s="495"/>
      <c r="M15" s="495"/>
      <c r="N15" s="495"/>
      <c r="O15" s="495"/>
      <c r="P15" s="495"/>
      <c r="Q15" s="495"/>
      <c r="R15" s="495"/>
      <c r="S15" s="495"/>
      <c r="T15" s="495"/>
    </row>
    <row r="16" spans="1:21">
      <c r="A16" s="495"/>
      <c r="B16" s="495"/>
      <c r="C16" s="495"/>
      <c r="D16" s="495"/>
      <c r="E16" s="495"/>
      <c r="F16" s="495"/>
      <c r="G16" s="495"/>
      <c r="H16" s="495"/>
      <c r="I16" s="495"/>
      <c r="J16" s="495"/>
      <c r="K16" s="495"/>
      <c r="L16" s="495"/>
      <c r="M16" s="495"/>
      <c r="N16" s="495"/>
      <c r="O16" s="495"/>
      <c r="P16" s="495"/>
      <c r="Q16" s="495"/>
      <c r="R16" s="495"/>
      <c r="S16" s="495"/>
      <c r="T16" s="495"/>
    </row>
    <row r="17" spans="1:20">
      <c r="A17" s="495"/>
      <c r="B17" s="495"/>
      <c r="C17" s="495"/>
      <c r="D17" s="495"/>
      <c r="E17" s="495"/>
      <c r="F17" s="495"/>
      <c r="G17" s="495"/>
      <c r="H17" s="495"/>
      <c r="I17" s="495"/>
      <c r="J17" s="495"/>
      <c r="K17" s="495"/>
      <c r="L17" s="495"/>
      <c r="M17" s="495"/>
      <c r="N17" s="495"/>
      <c r="O17" s="495"/>
      <c r="P17" s="495"/>
      <c r="Q17" s="495"/>
      <c r="R17" s="495"/>
      <c r="S17" s="495"/>
      <c r="T17" s="495"/>
    </row>
    <row r="18" spans="1:20">
      <c r="A18" s="495"/>
      <c r="B18" s="495"/>
      <c r="C18" s="495"/>
      <c r="D18" s="495"/>
      <c r="E18" s="495"/>
      <c r="F18" s="495"/>
      <c r="G18" s="495"/>
      <c r="H18" s="495"/>
      <c r="I18" s="495"/>
      <c r="J18" s="495"/>
      <c r="K18" s="495"/>
      <c r="L18" s="495"/>
      <c r="M18" s="495"/>
      <c r="N18" s="495"/>
      <c r="O18" s="495"/>
      <c r="P18" s="495"/>
      <c r="Q18" s="495"/>
      <c r="R18" s="495"/>
      <c r="S18" s="495"/>
      <c r="T18" s="495"/>
    </row>
    <row r="19" spans="1:20">
      <c r="A19" s="495"/>
      <c r="B19" s="495"/>
      <c r="C19" s="495"/>
      <c r="D19" s="495"/>
      <c r="E19" s="495"/>
      <c r="F19" s="495"/>
      <c r="G19" s="495"/>
      <c r="H19" s="495"/>
      <c r="I19" s="495"/>
      <c r="J19" s="495"/>
      <c r="K19" s="495"/>
      <c r="L19" s="495"/>
      <c r="M19" s="495"/>
      <c r="N19" s="495"/>
      <c r="O19" s="495"/>
      <c r="P19" s="495"/>
      <c r="Q19" s="495"/>
      <c r="R19" s="495"/>
      <c r="S19" s="495"/>
      <c r="T19" s="495"/>
    </row>
    <row r="20" spans="1:20">
      <c r="A20" s="495"/>
      <c r="B20" s="495"/>
      <c r="C20" s="495"/>
      <c r="D20" s="495"/>
      <c r="E20" s="495"/>
      <c r="F20" s="495"/>
      <c r="G20" s="495"/>
      <c r="H20" s="495"/>
      <c r="I20" s="495"/>
      <c r="J20" s="495"/>
      <c r="K20" s="495"/>
      <c r="L20" s="495"/>
      <c r="M20" s="495"/>
      <c r="N20" s="495"/>
      <c r="O20" s="495"/>
      <c r="P20" s="495"/>
      <c r="Q20" s="495"/>
      <c r="R20" s="495"/>
      <c r="S20" s="495"/>
      <c r="T20" s="495"/>
    </row>
    <row r="21" spans="1:20">
      <c r="A21" s="495"/>
      <c r="B21" s="495"/>
      <c r="C21" s="495"/>
      <c r="D21" s="495"/>
      <c r="E21" s="495"/>
      <c r="F21" s="495"/>
      <c r="G21" s="495"/>
      <c r="H21" s="495"/>
      <c r="I21" s="495"/>
      <c r="J21" s="495"/>
      <c r="K21" s="495"/>
      <c r="L21" s="495"/>
      <c r="M21" s="495"/>
      <c r="N21" s="495"/>
      <c r="O21" s="495"/>
      <c r="P21" s="495"/>
      <c r="Q21" s="495"/>
      <c r="R21" s="495"/>
      <c r="S21" s="495"/>
      <c r="T21" s="495"/>
    </row>
    <row r="22" spans="1:20">
      <c r="A22" s="495"/>
      <c r="B22" s="495"/>
      <c r="C22" s="495"/>
      <c r="D22" s="495"/>
      <c r="E22" s="495"/>
      <c r="F22" s="495"/>
      <c r="G22" s="495"/>
      <c r="H22" s="495"/>
      <c r="I22" s="495"/>
      <c r="J22" s="495"/>
      <c r="K22" s="495"/>
      <c r="L22" s="495"/>
      <c r="M22" s="495"/>
      <c r="N22" s="495"/>
      <c r="O22" s="495"/>
      <c r="P22" s="495"/>
      <c r="Q22" s="495"/>
      <c r="R22" s="495"/>
      <c r="S22" s="495"/>
      <c r="T22" s="495"/>
    </row>
    <row r="23" spans="1:20"/>
    <row r="24" spans="1:20"/>
    <row r="25" spans="1:20"/>
    <row r="26" spans="1:20">
      <c r="A26" s="492" t="s">
        <v>1480</v>
      </c>
      <c r="B26" s="492"/>
      <c r="C26" s="492"/>
      <c r="D26" s="492"/>
      <c r="E26" s="492"/>
      <c r="F26" s="492"/>
      <c r="G26" s="492"/>
      <c r="H26" s="492"/>
      <c r="I26" s="492"/>
      <c r="J26" s="492"/>
      <c r="K26" s="493"/>
      <c r="L26" s="698"/>
    </row>
    <row r="27" spans="1:20">
      <c r="J27" s="1146" t="s">
        <v>1955</v>
      </c>
      <c r="K27" s="1146"/>
      <c r="L27" s="1146"/>
      <c r="M27" s="1146"/>
      <c r="N27" s="1146"/>
      <c r="O27" s="1146"/>
      <c r="P27" s="1146"/>
      <c r="Q27" s="1146"/>
      <c r="R27" s="1146"/>
    </row>
    <row r="28" spans="1:20">
      <c r="A28" s="420"/>
      <c r="B28" s="420"/>
      <c r="C28" s="420"/>
      <c r="D28" s="420"/>
      <c r="E28" s="1050" t="s">
        <v>107</v>
      </c>
      <c r="F28" s="1035"/>
      <c r="G28" s="496" t="s">
        <v>568</v>
      </c>
      <c r="J28" s="1146"/>
      <c r="K28" s="1146"/>
      <c r="L28" s="1146"/>
      <c r="M28" s="1146"/>
      <c r="N28" s="1146"/>
      <c r="O28" s="1146"/>
      <c r="P28" s="1146"/>
      <c r="Q28" s="1146"/>
      <c r="R28" s="1146"/>
    </row>
    <row r="29" spans="1:20">
      <c r="A29" s="497" t="s">
        <v>731</v>
      </c>
      <c r="B29" s="498"/>
      <c r="C29" s="498"/>
      <c r="D29" s="499"/>
      <c r="E29" s="1046">
        <v>45554.71</v>
      </c>
      <c r="F29" s="1059"/>
      <c r="G29" s="500">
        <v>1</v>
      </c>
    </row>
    <row r="30" spans="1:20">
      <c r="A30" s="497" t="s">
        <v>732</v>
      </c>
      <c r="B30" s="498"/>
      <c r="C30" s="498"/>
      <c r="D30" s="499"/>
      <c r="E30" s="1046">
        <v>41131.480000000003</v>
      </c>
      <c r="F30" s="1059"/>
      <c r="G30" s="500">
        <v>2</v>
      </c>
    </row>
    <row r="31" spans="1:20">
      <c r="A31" s="497" t="s">
        <v>1</v>
      </c>
      <c r="B31" s="498"/>
      <c r="C31" s="498"/>
      <c r="D31" s="499"/>
      <c r="E31" s="1046">
        <v>37492.160000000003</v>
      </c>
      <c r="F31" s="1059"/>
      <c r="G31" s="500">
        <v>3</v>
      </c>
    </row>
    <row r="32" spans="1:20">
      <c r="A32" s="497" t="s">
        <v>738</v>
      </c>
      <c r="B32" s="498"/>
      <c r="C32" s="498"/>
      <c r="D32" s="499"/>
      <c r="E32" s="1046">
        <v>37137.410000000003</v>
      </c>
      <c r="F32" s="1059"/>
      <c r="G32" s="500">
        <v>4</v>
      </c>
    </row>
    <row r="33" spans="1:20">
      <c r="A33" s="497" t="s">
        <v>737</v>
      </c>
      <c r="B33" s="498"/>
      <c r="C33" s="498"/>
      <c r="D33" s="499"/>
      <c r="E33" s="1046">
        <v>37081.599999999999</v>
      </c>
      <c r="F33" s="1059"/>
      <c r="G33" s="500">
        <v>5</v>
      </c>
    </row>
    <row r="34" spans="1:20">
      <c r="A34" s="497" t="s">
        <v>2</v>
      </c>
      <c r="B34" s="498"/>
      <c r="C34" s="498"/>
      <c r="D34" s="499"/>
      <c r="E34" s="1046">
        <v>36744.800000000003</v>
      </c>
      <c r="F34" s="1059"/>
      <c r="G34" s="500">
        <v>6</v>
      </c>
    </row>
    <row r="35" spans="1:20">
      <c r="A35" s="497" t="s">
        <v>503</v>
      </c>
      <c r="B35" s="498"/>
      <c r="C35" s="498"/>
      <c r="D35" s="499"/>
      <c r="E35" s="1046">
        <v>36286.269999999997</v>
      </c>
      <c r="F35" s="1059"/>
      <c r="G35" s="500">
        <v>7</v>
      </c>
    </row>
    <row r="36" spans="1:20">
      <c r="A36" s="497" t="s">
        <v>736</v>
      </c>
      <c r="B36" s="498"/>
      <c r="C36" s="498"/>
      <c r="D36" s="499"/>
      <c r="E36" s="1046">
        <v>36164.11</v>
      </c>
      <c r="F36" s="1059"/>
      <c r="G36" s="500">
        <v>8</v>
      </c>
    </row>
    <row r="37" spans="1:20">
      <c r="A37" s="497" t="s">
        <v>748</v>
      </c>
      <c r="B37" s="498"/>
      <c r="C37" s="498"/>
      <c r="D37" s="499"/>
      <c r="E37" s="1046">
        <v>35778.300000000003</v>
      </c>
      <c r="F37" s="1059"/>
      <c r="G37" s="500">
        <v>9</v>
      </c>
    </row>
    <row r="38" spans="1:20">
      <c r="A38" s="497" t="s">
        <v>749</v>
      </c>
      <c r="B38" s="498"/>
      <c r="C38" s="498"/>
      <c r="D38" s="499"/>
      <c r="E38" s="1046">
        <v>34952.04</v>
      </c>
      <c r="F38" s="1059"/>
      <c r="G38" s="500">
        <v>10</v>
      </c>
    </row>
    <row r="39" spans="1:20">
      <c r="A39" s="497" t="s">
        <v>111</v>
      </c>
      <c r="B39" s="498"/>
      <c r="C39" s="498"/>
      <c r="D39" s="499"/>
      <c r="E39" s="1046">
        <v>33490.53</v>
      </c>
      <c r="F39" s="1059"/>
      <c r="G39" s="500">
        <v>11</v>
      </c>
    </row>
    <row r="40" spans="1:20">
      <c r="A40" s="497" t="s">
        <v>735</v>
      </c>
      <c r="B40" s="498"/>
      <c r="C40" s="498"/>
      <c r="D40" s="499"/>
      <c r="E40" s="1046">
        <v>32273.919999999998</v>
      </c>
      <c r="F40" s="1059"/>
      <c r="G40" s="500">
        <v>12</v>
      </c>
    </row>
    <row r="41" spans="1:20">
      <c r="A41" s="497" t="s">
        <v>733</v>
      </c>
      <c r="B41" s="498"/>
      <c r="C41" s="498"/>
      <c r="D41" s="499"/>
      <c r="E41" s="1046">
        <v>31792.59</v>
      </c>
      <c r="F41" s="1059"/>
      <c r="G41" s="500">
        <v>13</v>
      </c>
    </row>
    <row r="42" spans="1:20">
      <c r="A42" s="497" t="s">
        <v>1059</v>
      </c>
      <c r="B42" s="498"/>
      <c r="C42" s="498"/>
      <c r="D42" s="499"/>
      <c r="E42" s="1046">
        <v>29869.09</v>
      </c>
      <c r="F42" s="1059"/>
      <c r="G42" s="500">
        <v>14</v>
      </c>
    </row>
    <row r="43" spans="1:20">
      <c r="A43" s="497" t="s">
        <v>1060</v>
      </c>
      <c r="B43" s="498"/>
      <c r="C43" s="498"/>
      <c r="D43" s="499"/>
      <c r="E43" s="1046">
        <v>27426.52</v>
      </c>
      <c r="F43" s="1059"/>
      <c r="G43" s="500">
        <v>15</v>
      </c>
    </row>
    <row r="44" spans="1:20"/>
    <row r="45" spans="1:20"/>
    <row r="46" spans="1:20">
      <c r="F46"/>
      <c r="G46"/>
      <c r="H46"/>
      <c r="I46"/>
      <c r="J46"/>
      <c r="K46"/>
      <c r="L46"/>
      <c r="M46"/>
      <c r="N46"/>
      <c r="O46"/>
      <c r="P46"/>
      <c r="Q46"/>
      <c r="R46"/>
      <c r="S46"/>
      <c r="T46"/>
    </row>
    <row r="47" spans="1:20">
      <c r="F47"/>
      <c r="G47"/>
      <c r="H47"/>
      <c r="I47"/>
      <c r="J47"/>
      <c r="K47"/>
      <c r="L47"/>
      <c r="M47"/>
      <c r="N47"/>
      <c r="O47"/>
      <c r="P47"/>
      <c r="Q47"/>
      <c r="R47"/>
      <c r="S47"/>
      <c r="T47"/>
    </row>
    <row r="48" spans="1:20">
      <c r="F48"/>
      <c r="G48"/>
      <c r="H48"/>
      <c r="I48"/>
      <c r="J48"/>
      <c r="K48"/>
      <c r="L48"/>
      <c r="M48"/>
      <c r="N48"/>
      <c r="O48"/>
      <c r="P48"/>
      <c r="Q48"/>
      <c r="R48"/>
      <c r="S48"/>
      <c r="T48"/>
    </row>
    <row r="49" spans="1:21">
      <c r="F49"/>
      <c r="G49"/>
      <c r="H49"/>
      <c r="I49"/>
      <c r="J49"/>
      <c r="K49"/>
      <c r="L49"/>
      <c r="M49"/>
      <c r="N49"/>
      <c r="O49"/>
      <c r="P49"/>
      <c r="Q49"/>
      <c r="R49"/>
      <c r="S49"/>
      <c r="T49"/>
    </row>
    <row r="50" spans="1:21"/>
    <row r="51" spans="1:21"/>
    <row r="52" spans="1:21" s="208" customFormat="1" ht="16.7" customHeight="1">
      <c r="A52" s="338"/>
      <c r="B52" s="450"/>
      <c r="C52" s="451"/>
      <c r="D52" s="451"/>
      <c r="E52" s="451"/>
      <c r="F52" s="985" t="s">
        <v>1369</v>
      </c>
      <c r="G52" s="977"/>
      <c r="H52" s="977"/>
      <c r="I52" s="977"/>
      <c r="J52" s="977"/>
      <c r="K52" s="977"/>
      <c r="L52" s="977"/>
      <c r="M52" s="977"/>
      <c r="N52" s="977"/>
      <c r="O52" s="977"/>
      <c r="P52" s="977"/>
      <c r="Q52" s="977"/>
      <c r="R52" s="977"/>
      <c r="S52" s="977"/>
      <c r="T52" s="977"/>
      <c r="U52" s="622"/>
    </row>
    <row r="53" spans="1:21" s="208" customFormat="1" ht="16.7" customHeight="1">
      <c r="A53" s="452"/>
      <c r="B53" s="451"/>
      <c r="C53" s="451"/>
      <c r="D53" s="451"/>
      <c r="E53" s="451"/>
      <c r="F53" s="985"/>
      <c r="G53" s="977"/>
      <c r="H53" s="977"/>
      <c r="I53" s="977"/>
      <c r="J53" s="977"/>
      <c r="K53" s="977"/>
      <c r="L53" s="977"/>
      <c r="M53" s="977"/>
      <c r="N53" s="977"/>
      <c r="O53" s="977"/>
      <c r="P53" s="977"/>
      <c r="Q53" s="977"/>
      <c r="R53" s="977"/>
      <c r="S53" s="977"/>
      <c r="T53" s="977"/>
      <c r="U53" s="622"/>
    </row>
    <row r="54" spans="1:21" s="208" customFormat="1" ht="16.7" customHeight="1">
      <c r="A54" s="453"/>
      <c r="B54" s="451"/>
      <c r="C54" s="451"/>
      <c r="D54" s="451"/>
      <c r="E54" s="451"/>
      <c r="F54" s="985"/>
      <c r="G54" s="977"/>
      <c r="H54" s="977"/>
      <c r="I54" s="977"/>
      <c r="J54" s="977"/>
      <c r="K54" s="977"/>
      <c r="L54" s="977"/>
      <c r="M54" s="977"/>
      <c r="N54" s="977"/>
      <c r="O54" s="977"/>
      <c r="P54" s="977"/>
      <c r="Q54" s="977"/>
      <c r="R54" s="977"/>
      <c r="S54" s="977"/>
      <c r="T54" s="977"/>
      <c r="U54" s="622"/>
    </row>
    <row r="55" spans="1:21" ht="16.7" customHeight="1">
      <c r="A55"/>
      <c r="B55"/>
      <c r="C55"/>
      <c r="D55"/>
      <c r="E55"/>
      <c r="F55" s="985"/>
      <c r="G55" s="977"/>
      <c r="H55" s="977"/>
      <c r="I55" s="977"/>
      <c r="J55" s="977"/>
      <c r="K55" s="977"/>
      <c r="L55" s="977"/>
      <c r="M55" s="977"/>
      <c r="N55" s="977"/>
      <c r="O55" s="977"/>
      <c r="P55" s="977"/>
      <c r="Q55" s="977"/>
      <c r="R55" s="977"/>
      <c r="S55" s="977"/>
      <c r="T55" s="977"/>
      <c r="U55" s="173"/>
    </row>
    <row r="56" spans="1:21" ht="5.25" customHeight="1">
      <c r="A56"/>
      <c r="B56"/>
      <c r="C56"/>
      <c r="D56"/>
      <c r="E56"/>
      <c r="F56"/>
      <c r="G56"/>
      <c r="H56"/>
      <c r="I56"/>
      <c r="J56"/>
      <c r="K56"/>
      <c r="L56"/>
      <c r="M56"/>
      <c r="N56"/>
      <c r="O56"/>
      <c r="P56"/>
      <c r="Q56"/>
      <c r="R56"/>
      <c r="S56"/>
      <c r="T56"/>
      <c r="U56" s="173"/>
    </row>
    <row r="57" spans="1:21" s="208" customFormat="1" ht="15" customHeight="1">
      <c r="A57" s="875" t="s">
        <v>1053</v>
      </c>
      <c r="B57" s="875"/>
      <c r="C57" s="875"/>
      <c r="D57" s="875"/>
      <c r="E57" s="875"/>
      <c r="F57" s="875"/>
      <c r="G57" s="875"/>
      <c r="H57" s="875"/>
      <c r="I57" s="875"/>
      <c r="J57" s="875"/>
      <c r="K57" s="875"/>
      <c r="L57" s="875"/>
      <c r="M57" s="875"/>
      <c r="N57" s="875"/>
      <c r="O57" s="875"/>
      <c r="P57" s="875"/>
      <c r="Q57" s="875"/>
      <c r="R57" s="875"/>
      <c r="S57" s="875"/>
      <c r="T57" s="875"/>
      <c r="U57" s="860"/>
    </row>
    <row r="58" spans="1:21" s="208" customFormat="1" ht="15" customHeight="1" thickBot="1">
      <c r="A58" s="875"/>
      <c r="B58" s="875"/>
      <c r="C58" s="875"/>
      <c r="D58" s="875"/>
      <c r="E58" s="875"/>
      <c r="F58" s="875"/>
      <c r="G58" s="875"/>
      <c r="H58" s="875"/>
      <c r="I58" s="875"/>
      <c r="J58" s="875"/>
      <c r="K58" s="875"/>
      <c r="L58" s="875"/>
      <c r="M58" s="875"/>
      <c r="N58" s="875"/>
      <c r="O58" s="875"/>
      <c r="P58" s="875"/>
      <c r="Q58" s="875"/>
      <c r="R58" s="875"/>
      <c r="S58" s="875"/>
      <c r="T58" s="875"/>
      <c r="U58" s="860"/>
    </row>
    <row r="59" spans="1:21" s="391" customFormat="1" ht="14.25" thickTop="1" thickBot="1">
      <c r="A59" s="501" t="s">
        <v>1407</v>
      </c>
      <c r="B59" s="502"/>
      <c r="C59" s="503"/>
      <c r="D59" s="477"/>
      <c r="E59" s="586"/>
      <c r="F59" s="586"/>
      <c r="G59" s="586"/>
      <c r="H59" s="921" t="s">
        <v>116</v>
      </c>
      <c r="I59" s="922"/>
      <c r="J59" s="922"/>
      <c r="K59" s="923"/>
      <c r="L59" s="586"/>
      <c r="M59" s="586"/>
      <c r="N59" s="879" t="s">
        <v>471</v>
      </c>
      <c r="O59" s="880"/>
      <c r="P59" s="880"/>
      <c r="Q59" s="881"/>
      <c r="R59" s="586"/>
      <c r="S59" s="477"/>
      <c r="T59" s="477"/>
    </row>
    <row r="60" spans="1:21" ht="15.75" thickTop="1">
      <c r="A60" s="448" t="s">
        <v>1595</v>
      </c>
      <c r="J60" s="492"/>
    </row>
    <row r="61" spans="1:21">
      <c r="A61" s="416"/>
      <c r="B61" s="416">
        <v>2013</v>
      </c>
      <c r="C61" s="416">
        <v>2013</v>
      </c>
      <c r="D61" s="416">
        <v>2014</v>
      </c>
      <c r="E61" s="416">
        <v>2014</v>
      </c>
      <c r="F61" s="416">
        <v>2015</v>
      </c>
      <c r="G61" s="416">
        <v>2015</v>
      </c>
      <c r="H61" s="416">
        <v>2016</v>
      </c>
      <c r="I61" s="416">
        <v>2016</v>
      </c>
      <c r="J61" s="495"/>
      <c r="K61" s="495"/>
    </row>
    <row r="62" spans="1:21">
      <c r="A62" s="416" t="str">
        <f>H59</f>
        <v>Gironde</v>
      </c>
      <c r="B62" s="243">
        <f>VLOOKUP($H$59,'D_Ch4-3'!$V$4:$AD$19,MATCH("Exportations N-4",'D_Ch4-3'!$V$4:$AD$4,0),FALSE)</f>
        <v>7043</v>
      </c>
      <c r="C62" s="243">
        <f>VLOOKUP($H$59,'D_Ch4-3'!$V$4:$AD$19,MATCH("Importations N-4",'D_Ch4-3'!$V$4:$AD$4,0),FALSE)</f>
        <v>-7533</v>
      </c>
      <c r="D62" s="243">
        <f>VLOOKUP($H$59,'D_Ch4-3'!$V$4:$AD$19,MATCH("Exportations N-3",'D_Ch4-3'!$V$4:$AD$4,0),FALSE)</f>
        <v>6375</v>
      </c>
      <c r="E62" s="243">
        <f>VLOOKUP($H$59,'D_Ch4-3'!$V$4:$AD$19,MATCH("Importations N-3",'D_Ch4-3'!$V$4:$AD$4,0),FALSE)</f>
        <v>-7099</v>
      </c>
      <c r="F62" s="243">
        <f>VLOOKUP($H$59,'D_Ch4-3'!$V$4:$AD$19,MATCH("Exportations N-2",'D_Ch4-3'!$V$4:$AD$4,0),FALSE)</f>
        <v>6852</v>
      </c>
      <c r="G62" s="243">
        <f>VLOOKUP($H$59,'D_Ch4-3'!$V$4:$AD$19,MATCH("Importations N-2",'D_Ch4-3'!$V$4:$AD$4,0),FALSE)</f>
        <v>-6906</v>
      </c>
      <c r="H62" s="243">
        <f>VLOOKUP($H$59,'D_Ch4-3'!$V$4:$AD$19,MATCH("Exportations N-1",'D_Ch4-3'!$V$4:$AD$4,0),FALSE)</f>
        <v>6691.3166689999998</v>
      </c>
      <c r="I62" s="243">
        <f>VLOOKUP($H$59,'D_Ch4-3'!$V$4:$AD$19,MATCH("Importations N-1",'D_Ch4-3'!$V$4:$AD$4,0),FALSE)</f>
        <v>-7278.8395309999996</v>
      </c>
      <c r="J62" s="495"/>
      <c r="K62" s="495"/>
    </row>
    <row r="63" spans="1:21">
      <c r="A63" s="416" t="str">
        <f>N59</f>
        <v>Loire-Atlantique</v>
      </c>
      <c r="B63" s="243">
        <f>VLOOKUP($N$59,'D_Ch4-3'!$V$4:$AD$19,MATCH("Exportations N-4",'D_Ch4-3'!$V$4:$AD$4,0),FALSE)</f>
        <v>8389</v>
      </c>
      <c r="C63" s="243">
        <f>VLOOKUP($N$59,'D_Ch4-3'!$V$4:$AD$19,MATCH("Importations N-4",'D_Ch4-3'!$V$4:$AD$4,0),FALSE)</f>
        <v>-12685</v>
      </c>
      <c r="D63" s="243">
        <f>VLOOKUP($N$59,'D_Ch4-3'!$V$4:$AD$19,MATCH("Exportations N-3",'D_Ch4-3'!$V$4:$AD$4,0),FALSE)</f>
        <v>7365</v>
      </c>
      <c r="E63" s="243">
        <f>VLOOKUP($N$59,'D_Ch4-3'!$V$4:$AD$19,MATCH("Importations N-3",'D_Ch4-3'!$V$4:$AD$4,0),FALSE)</f>
        <v>-12060</v>
      </c>
      <c r="F63" s="243">
        <f>VLOOKUP($N$59,'D_Ch4-3'!$V$4:$AD$19,MATCH("Exportations N-2",'D_Ch4-3'!$V$4:$AD$4,0),FALSE)</f>
        <v>6628</v>
      </c>
      <c r="G63" s="243">
        <f>VLOOKUP($N$59,'D_Ch4-3'!$V$4:$AD$19,MATCH("Importations N-2",'D_Ch4-3'!$V$4:$AD$4,0),FALSE)</f>
        <v>-10674</v>
      </c>
      <c r="H63" s="243">
        <f>VLOOKUP($N$59,'D_Ch4-3'!$V$4:$AD$19,MATCH("Exportations N-1",'D_Ch4-3'!$V$4:$AD$4,0),FALSE)</f>
        <v>7325.4518989999997</v>
      </c>
      <c r="I63" s="243">
        <f>VLOOKUP($N$59,'D_Ch4-3'!$V$4:$AD$19,MATCH("Importations N-1",'D_Ch4-3'!$V$4:$AD$4,0),FALSE)</f>
        <v>-10540.343586999999</v>
      </c>
      <c r="J63" s="495"/>
      <c r="K63" s="495"/>
    </row>
    <row r="64" spans="1:21">
      <c r="A64" s="416" t="s">
        <v>1086</v>
      </c>
      <c r="B64" s="416" t="s">
        <v>1085</v>
      </c>
      <c r="C64" s="416"/>
      <c r="D64" s="416"/>
      <c r="E64" s="416"/>
      <c r="F64" s="416"/>
      <c r="G64" s="416"/>
      <c r="H64" s="416"/>
      <c r="I64" s="416"/>
      <c r="J64" s="495"/>
      <c r="K64" s="495"/>
    </row>
    <row r="65" spans="1:21">
      <c r="A65" s="416"/>
      <c r="B65" s="416"/>
      <c r="C65" s="416"/>
      <c r="D65" s="416"/>
      <c r="E65" s="416"/>
      <c r="F65" s="416"/>
      <c r="G65" s="416"/>
      <c r="H65" s="416"/>
      <c r="I65" s="416"/>
    </row>
    <row r="66" spans="1:21"/>
    <row r="67" spans="1:21"/>
    <row r="68" spans="1:21"/>
    <row r="69" spans="1:21"/>
    <row r="70" spans="1:21" s="240" customFormat="1">
      <c r="A70" s="504"/>
      <c r="B70" s="504"/>
      <c r="C70" s="504"/>
      <c r="D70" s="504"/>
      <c r="E70" s="504"/>
      <c r="F70" s="504"/>
      <c r="G70" s="504"/>
      <c r="H70" s="504"/>
      <c r="I70" s="504"/>
      <c r="J70" s="504"/>
      <c r="K70" s="504"/>
      <c r="L70" s="504"/>
      <c r="M70" s="504"/>
      <c r="N70" s="504"/>
      <c r="O70" s="504"/>
      <c r="P70" s="504"/>
      <c r="Q70" s="504"/>
      <c r="R70" s="504"/>
      <c r="S70" s="504"/>
      <c r="T70" s="504"/>
    </row>
    <row r="71" spans="1:21" s="240" customFormat="1" ht="13.5" customHeight="1" thickBot="1">
      <c r="A71" s="504"/>
      <c r="B71" s="504"/>
      <c r="C71" s="504"/>
      <c r="D71" s="504"/>
      <c r="E71" s="504"/>
      <c r="F71" s="504"/>
      <c r="G71" s="504"/>
      <c r="H71" s="504"/>
      <c r="I71" s="504"/>
      <c r="J71" s="504"/>
      <c r="K71" s="504"/>
      <c r="L71" s="504"/>
      <c r="M71" s="504"/>
      <c r="N71" s="504"/>
      <c r="O71" s="504"/>
      <c r="P71" s="504"/>
      <c r="Q71" s="504"/>
      <c r="R71" s="504"/>
      <c r="S71" s="504"/>
      <c r="T71" s="504"/>
    </row>
    <row r="72" spans="1:21" ht="7.5" customHeight="1">
      <c r="A72" s="505"/>
      <c r="B72" s="506"/>
      <c r="C72" s="506"/>
      <c r="D72" s="506"/>
      <c r="E72" s="506"/>
      <c r="F72" s="506"/>
      <c r="G72" s="506"/>
      <c r="H72" s="506"/>
      <c r="I72" s="506"/>
      <c r="J72" s="506"/>
      <c r="K72" s="506"/>
      <c r="L72" s="506"/>
      <c r="M72" s="506"/>
      <c r="N72" s="506"/>
      <c r="O72" s="506"/>
      <c r="P72" s="506"/>
      <c r="Q72" s="506"/>
      <c r="R72" s="506"/>
      <c r="S72" s="506"/>
      <c r="T72" s="507"/>
    </row>
    <row r="73" spans="1:21">
      <c r="A73" s="508" t="s">
        <v>1956</v>
      </c>
      <c r="B73" s="509"/>
      <c r="C73" s="509"/>
      <c r="D73" s="509"/>
      <c r="E73" s="509"/>
      <c r="F73" s="509"/>
      <c r="G73" s="510"/>
      <c r="H73" s="511"/>
      <c r="I73" s="511"/>
      <c r="J73" s="511"/>
      <c r="K73" s="511"/>
      <c r="L73" s="511"/>
      <c r="M73" s="511"/>
      <c r="N73" s="511"/>
      <c r="O73" s="511"/>
      <c r="P73" s="511"/>
      <c r="Q73" s="511"/>
      <c r="R73" s="511"/>
      <c r="S73" s="511"/>
      <c r="T73" s="512"/>
    </row>
    <row r="74" spans="1:21">
      <c r="A74" s="513"/>
      <c r="B74" s="511"/>
      <c r="C74" s="241"/>
      <c r="D74" s="241"/>
      <c r="E74" s="511"/>
      <c r="F74" s="511"/>
      <c r="G74" s="514"/>
      <c r="H74" s="511"/>
      <c r="I74" s="1153">
        <f>VLOOKUP($H$59,'D_Ch4-3'!$K$4:$N$19,MATCH("balance commerciale N-1",'D_Ch4-3'!$K$4:$N$4,0),FALSE)</f>
        <v>-587.52286200000003</v>
      </c>
      <c r="J74" s="1153"/>
      <c r="K74" s="1155">
        <f>VLOOKUP($H$59,'D_Ch4-3'!$K$4:$Z$19,MATCH("evol 2015-2014",'D_Ch4-3'!$K$4:$Z$4,0),FALSE)</f>
        <v>-9.8800530000000002</v>
      </c>
      <c r="L74" s="1155"/>
      <c r="M74" s="511"/>
      <c r="N74" s="511"/>
      <c r="O74" s="1154">
        <f>VLOOKUP($N$59,'D_Ch4-3'!$K$4:$N$19,MATCH("balance commerciale N-1",'D_Ch4-3'!$K$4:$N$4,0),FALSE)</f>
        <v>-3214.8916880000002</v>
      </c>
      <c r="P74" s="1154"/>
      <c r="Q74" s="1155">
        <f>VLOOKUP($N$59,'D_Ch4-3'!$K$4:$Z$19,MATCH("evol 2015-2014",'D_Ch4-3'!$K$4:$Z$4,0),FALSE)</f>
        <v>0.20541480771131979</v>
      </c>
      <c r="R74" s="1155"/>
      <c r="S74" s="511"/>
      <c r="T74" s="512"/>
    </row>
    <row r="75" spans="1:21" ht="5.25" customHeight="1" thickBot="1">
      <c r="A75" s="515"/>
      <c r="B75" s="516"/>
      <c r="C75" s="516"/>
      <c r="D75" s="516"/>
      <c r="E75" s="516"/>
      <c r="F75" s="516"/>
      <c r="G75" s="516"/>
      <c r="H75" s="516"/>
      <c r="I75" s="516"/>
      <c r="J75" s="516"/>
      <c r="K75" s="516"/>
      <c r="L75" s="516"/>
      <c r="M75" s="516"/>
      <c r="N75" s="516"/>
      <c r="O75" s="516"/>
      <c r="P75" s="516"/>
      <c r="Q75" s="516"/>
      <c r="R75" s="516"/>
      <c r="S75" s="516"/>
      <c r="T75" s="517"/>
    </row>
    <row r="76" spans="1:21">
      <c r="A76" s="448" t="s">
        <v>1960</v>
      </c>
    </row>
    <row r="77" spans="1:21" ht="10.5" customHeight="1"/>
    <row r="78" spans="1:21" ht="21" customHeight="1">
      <c r="A78" s="1134" t="s">
        <v>1957</v>
      </c>
      <c r="B78" s="1135"/>
      <c r="C78" s="1135"/>
      <c r="D78" s="1135"/>
      <c r="E78" s="1136"/>
      <c r="F78" s="1134" t="s">
        <v>1958</v>
      </c>
      <c r="G78" s="1135"/>
      <c r="H78" s="1136"/>
      <c r="I78" s="518" t="s">
        <v>1131</v>
      </c>
      <c r="K78" s="1147" t="s">
        <v>1957</v>
      </c>
      <c r="L78" s="1148"/>
      <c r="M78" s="1148"/>
      <c r="N78" s="1148"/>
      <c r="O78" s="1149"/>
      <c r="P78" s="1147" t="s">
        <v>1958</v>
      </c>
      <c r="Q78" s="1148"/>
      <c r="R78" s="1149"/>
      <c r="S78" s="519" t="s">
        <v>1131</v>
      </c>
    </row>
    <row r="79" spans="1:21" ht="24" customHeight="1">
      <c r="A79" s="1130" t="str">
        <f>VLOOKUP((CONCATENATE($H$59,1)),'D_Ch4-3'!$D$4:$I$155,MATCH("Lib_CPF4",'D_Ch4-3'!$D$4:$I$4,0),FALSE)</f>
        <v>Vins de raisin</v>
      </c>
      <c r="B79" s="1131"/>
      <c r="C79" s="1131"/>
      <c r="D79" s="1131"/>
      <c r="E79" s="1132"/>
      <c r="F79" s="1150">
        <f>(VLOOKUP((CONCATENATE($H$59,1)),'D_Ch4-3'!$D$4:$I$155,MATCH("Valeur en euros",'D_Ch4-3'!$D$4:$I$4,0),FALSE))/1000</f>
        <v>1851712.14</v>
      </c>
      <c r="G79" s="1151"/>
      <c r="H79" s="1152"/>
      <c r="I79" s="520">
        <f>(VLOOKUP((CONCATENATE($H$59,1)),'D_Ch4-3'!$D$4:$I$155,MATCH("Part ",'D_Ch4-3'!$D$4:$I$4,0),FALSE))</f>
        <v>0.27673359842297429</v>
      </c>
      <c r="J79" s="420"/>
      <c r="K79" s="1130" t="str">
        <f>VLOOKUP((CONCATENATE($N$59,1)),'D_Ch4-3'!$D$4:$I$155,MATCH("Lib_CPF4",'D_Ch4-3'!$D$4:$I$4,0),FALSE)</f>
        <v>Navires et structures flottantes</v>
      </c>
      <c r="L79" s="1131"/>
      <c r="M79" s="1131"/>
      <c r="N79" s="1131"/>
      <c r="O79" s="1132"/>
      <c r="P79" s="1150">
        <f>(VLOOKUP((CONCATENATE($N$59,1)),'D_Ch4-3'!$D$4:$I$155,MATCH("Valeur en euros",'D_Ch4-3'!$D$4:$I$4,0),FALSE))/1000</f>
        <v>1096844.71</v>
      </c>
      <c r="Q79" s="1151"/>
      <c r="R79" s="1152"/>
      <c r="S79" s="520">
        <f>(VLOOKUP((CONCATENATE($N$59,1)),'D_Ch4-3'!$D$4:$I$155,MATCH("Part ",'D_Ch4-3'!$D$4:$I$4,0),FALSE))</f>
        <v>0.14973065486236156</v>
      </c>
      <c r="U79" s="128"/>
    </row>
    <row r="80" spans="1:21" ht="32.25" customHeight="1">
      <c r="A80" s="1130" t="str">
        <f>VLOOKUP((CONCATENATE($H$59,2)),'D_Ch4-3'!$D$4:$I$155,MATCH("Lib_CPF4",'D_Ch4-3'!$D$4:$I$4,0),FALSE)</f>
        <v>Aéronefs et engins spatiaux</v>
      </c>
      <c r="B80" s="1131"/>
      <c r="C80" s="1131"/>
      <c r="D80" s="1131"/>
      <c r="E80" s="1132"/>
      <c r="F80" s="1140">
        <f>(VLOOKUP((CONCATENATE($H$59,2)),'D_Ch4-3'!$D$4:$I$155,MATCH("Valeur en euros",'D_Ch4-3'!$D$4:$I$4,0),FALSE))/1000</f>
        <v>1622205.9639999999</v>
      </c>
      <c r="G80" s="1141"/>
      <c r="H80" s="1142"/>
      <c r="I80" s="521">
        <f>(VLOOKUP((CONCATENATE($H$59,2)),'D_Ch4-3'!$D$4:$I$155,MATCH("Part ",'D_Ch4-3'!$D$4:$I$4,0),FALSE))</f>
        <v>0.24243449297736414</v>
      </c>
      <c r="J80" s="420"/>
      <c r="K80" s="1130" t="str">
        <f>VLOOKUP((CONCATENATE($N$59,2)),'D_Ch4-3'!$D$4:$I$155,MATCH("Lib_CPF4",'D_Ch4-3'!$D$4:$I$4,0),FALSE)</f>
        <v>Produits du raffinage du pétrole</v>
      </c>
      <c r="L80" s="1131"/>
      <c r="M80" s="1131"/>
      <c r="N80" s="1131"/>
      <c r="O80" s="1132"/>
      <c r="P80" s="1140">
        <f>(VLOOKUP((CONCATENATE($N$59,2)),'D_Ch4-3'!$D$4:$I$155,MATCH("Valeur en euros",'D_Ch4-3'!$D$4:$I$4,0),FALSE))/1000</f>
        <v>978350.7</v>
      </c>
      <c r="Q80" s="1141"/>
      <c r="R80" s="1142"/>
      <c r="S80" s="521">
        <f>(VLOOKUP((CONCATENATE($N$59,2)),'D_Ch4-3'!$D$4:$I$155,MATCH("Part ",'D_Ch4-3'!$D$4:$I$4,0),FALSE))</f>
        <v>0.13355499612707239</v>
      </c>
      <c r="U80" s="128"/>
    </row>
    <row r="81" spans="1:21" ht="28.5" customHeight="1">
      <c r="A81" s="1130" t="str">
        <f>VLOOKUP((CONCATENATE($H$59,3)),'D_Ch4-3'!$D$4:$I$155,MATCH("Lib_CPF4",'D_Ch4-3'!$D$4:$I$4,0),FALSE)</f>
        <v>Autres parties et accessoires pour véhicules automobiles</v>
      </c>
      <c r="B81" s="1131"/>
      <c r="C81" s="1131"/>
      <c r="D81" s="1131"/>
      <c r="E81" s="1132"/>
      <c r="F81" s="1140">
        <f>(VLOOKUP((CONCATENATE($H$59,3)),'D_Ch4-3'!$D$4:$I$155,MATCH("Valeur en euros",'D_Ch4-3'!$D$4:$I$4,0),FALSE))/1000</f>
        <v>381745.13199999998</v>
      </c>
      <c r="G81" s="1141"/>
      <c r="H81" s="1142"/>
      <c r="I81" s="521">
        <f>(VLOOKUP((CONCATENATE($H$59,3)),'D_Ch4-3'!$D$4:$I$155,MATCH("Part ",'D_Ch4-3'!$D$4:$I$4,0),FALSE))</f>
        <v>5.7050824356972306E-2</v>
      </c>
      <c r="J81" s="420"/>
      <c r="K81" s="1130" t="str">
        <f>VLOOKUP((CONCATENATE($N$59,3)),'D_Ch4-3'!$D$4:$I$155,MATCH("Lib_CPF4",'D_Ch4-3'!$D$4:$I$4,0),FALSE)</f>
        <v>Aéronefs et engins spatiaux</v>
      </c>
      <c r="L81" s="1131"/>
      <c r="M81" s="1131"/>
      <c r="N81" s="1131"/>
      <c r="O81" s="1132"/>
      <c r="P81" s="1140">
        <f>(VLOOKUP((CONCATENATE($N$59,3)),'D_Ch4-3'!$D$4:$I$155,MATCH("Valeur en euros",'D_Ch4-3'!$D$4:$I$4,0),FALSE))/1000</f>
        <v>817517.16299999994</v>
      </c>
      <c r="Q81" s="1141"/>
      <c r="R81" s="1142"/>
      <c r="S81" s="521">
        <f>(VLOOKUP((CONCATENATE($N$59,3)),'D_Ch4-3'!$D$4:$I$155,MATCH("Part ",'D_Ch4-3'!$D$4:$I$4,0),FALSE))</f>
        <v>0.11159955375744117</v>
      </c>
      <c r="U81" s="128"/>
    </row>
    <row r="82" spans="1:21" ht="26.25" customHeight="1">
      <c r="A82" s="1130" t="str">
        <f>VLOOKUP((CONCATENATE($H$59,4)),'D_Ch4-3'!$D$4:$I$155,MATCH("Lib_CPF4",'D_Ch4-3'!$D$4:$I$4,0),FALSE)</f>
        <v>Préparations pharmaceutiques</v>
      </c>
      <c r="B82" s="1131"/>
      <c r="C82" s="1131"/>
      <c r="D82" s="1131"/>
      <c r="E82" s="1132"/>
      <c r="F82" s="1140">
        <f>(VLOOKUP((CONCATENATE($H$59,4)),'D_Ch4-3'!$D$4:$I$155,MATCH("Valeur en euros",'D_Ch4-3'!$D$4:$I$4,0),FALSE))/1000</f>
        <v>258661.12100000001</v>
      </c>
      <c r="G82" s="1141"/>
      <c r="H82" s="1142"/>
      <c r="I82" s="521">
        <f>(VLOOKUP((CONCATENATE($H$59,4)),'D_Ch4-3'!$D$4:$I$155,MATCH("Part ",'D_Ch4-3'!$D$4:$I$4,0),FALSE))</f>
        <v>3.8656236701267381E-2</v>
      </c>
      <c r="J82" s="420"/>
      <c r="K82" s="1130" t="str">
        <f>VLOOKUP((CONCATENATE($N$59,4)),'D_Ch4-3'!$D$4:$I$155,MATCH("Lib_CPF4",'D_Ch4-3'!$D$4:$I$4,0),FALSE)</f>
        <v>Matériel de levage et de manutention</v>
      </c>
      <c r="L82" s="1131"/>
      <c r="M82" s="1131"/>
      <c r="N82" s="1131"/>
      <c r="O82" s="1132"/>
      <c r="P82" s="1140">
        <f>(VLOOKUP((CONCATENATE($N$59,4)),'D_Ch4-3'!$D$4:$I$155,MATCH("Valeur en euros",'D_Ch4-3'!$D$4:$I$4,0),FALSE))/1000</f>
        <v>731694.49699999997</v>
      </c>
      <c r="Q82" s="1141"/>
      <c r="R82" s="1142"/>
      <c r="S82" s="521">
        <f>(VLOOKUP((CONCATENATE($N$59,4)),'D_Ch4-3'!$D$4:$I$155,MATCH("Part ",'D_Ch4-3'!$D$4:$I$4,0),FALSE))</f>
        <v>9.9883871614785139E-2</v>
      </c>
      <c r="U82" s="128"/>
    </row>
    <row r="83" spans="1:21" ht="30.75" customHeight="1">
      <c r="A83" s="1143" t="str">
        <f>VLOOKUP((CONCATENATE($H$59,5)),'D_Ch4-3'!$D$4:$I$155,MATCH("Lib_CPF4",'D_Ch4-3'!$D$4:$I$4,0),FALSE)</f>
        <v>Instruments et fournitures à  usage médical et dentaire</v>
      </c>
      <c r="B83" s="1144"/>
      <c r="C83" s="1144"/>
      <c r="D83" s="1144"/>
      <c r="E83" s="1145"/>
      <c r="F83" s="1140">
        <f>(VLOOKUP((CONCATENATE($H$59,5)),'D_Ch4-3'!$D$4:$I$155,MATCH("Valeur en euros",'D_Ch4-3'!$D$4:$I$4,0),FALSE))/1000</f>
        <v>232226.21100000001</v>
      </c>
      <c r="G83" s="1141"/>
      <c r="H83" s="1142"/>
      <c r="I83" s="521">
        <f>(VLOOKUP((CONCATENATE($H$59,5)),'D_Ch4-3'!$D$4:$I$155,MATCH("Part ",'D_Ch4-3'!$D$4:$I$4,0),FALSE))</f>
        <v>3.4705607653554023E-2</v>
      </c>
      <c r="J83" s="420"/>
      <c r="K83" s="1143" t="str">
        <f>VLOOKUP((CONCATENATE($N$59,5)),'D_Ch4-3'!$D$4:$I$155,MATCH("Lib_CPF4",'D_Ch4-3'!$D$4:$I$4,0),FALSE)</f>
        <v>Déchets non dangereux | collecte des déchets non dangereux</v>
      </c>
      <c r="L83" s="1144"/>
      <c r="M83" s="1144"/>
      <c r="N83" s="1144"/>
      <c r="O83" s="1145"/>
      <c r="P83" s="1140">
        <f>(VLOOKUP((CONCATENATE($N$59,5)),'D_Ch4-3'!$D$4:$I$155,MATCH("Valeur en euros",'D_Ch4-3'!$D$4:$I$4,0),FALSE))/1000</f>
        <v>224090.82500000001</v>
      </c>
      <c r="Q83" s="1141"/>
      <c r="R83" s="1142"/>
      <c r="S83" s="521">
        <f>(VLOOKUP((CONCATENATE($N$59,5)),'D_Ch4-3'!$D$4:$I$155,MATCH("Part ",'D_Ch4-3'!$D$4:$I$4,0),FALSE))</f>
        <v>3.0590716871759231E-2</v>
      </c>
      <c r="U83" s="128"/>
    </row>
    <row r="84" spans="1:21"/>
    <row r="85" spans="1:21" ht="19.5" customHeight="1">
      <c r="A85" s="1134" t="s">
        <v>1959</v>
      </c>
      <c r="B85" s="1135"/>
      <c r="C85" s="1135"/>
      <c r="D85" s="1135"/>
      <c r="E85" s="1136"/>
      <c r="F85" s="1134" t="s">
        <v>1958</v>
      </c>
      <c r="G85" s="1135"/>
      <c r="H85" s="1136"/>
      <c r="I85" s="518" t="s">
        <v>1131</v>
      </c>
      <c r="J85" s="420"/>
      <c r="K85" s="1147" t="s">
        <v>1959</v>
      </c>
      <c r="L85" s="1148"/>
      <c r="M85" s="1148"/>
      <c r="N85" s="1148"/>
      <c r="O85" s="1149"/>
      <c r="P85" s="1147" t="s">
        <v>1958</v>
      </c>
      <c r="Q85" s="1148"/>
      <c r="R85" s="1149"/>
      <c r="S85" s="522" t="s">
        <v>1131</v>
      </c>
    </row>
    <row r="86" spans="1:21" ht="28.5" customHeight="1">
      <c r="A86" s="1130" t="str">
        <f>VLOOKUP((CONCATENATE($H$59,-1)),'D_Ch4-3'!$D$4:$I$155,MATCH("Lib_CPF4",'D_Ch4-3'!$D$4:$I$4,0),FALSE)</f>
        <v>Produits du raffinage du pétrole</v>
      </c>
      <c r="B86" s="1131"/>
      <c r="C86" s="1131"/>
      <c r="D86" s="1131"/>
      <c r="E86" s="1132"/>
      <c r="F86" s="1150">
        <f>(VLOOKUP((CONCATENATE($H$59,-1)),'D_Ch4-3'!$D$4:$I$155,MATCH("Valeur en euros",'D_Ch4-3'!$D$4:$I$4,0),FALSE))/1000</f>
        <v>1174051.5079999999</v>
      </c>
      <c r="G86" s="1151"/>
      <c r="H86" s="1152"/>
      <c r="I86" s="520">
        <f>(VLOOKUP((CONCATENATE($H$59,-1)),'D_Ch4-3'!$D$4:$I$155,MATCH("Part ",'D_Ch4-3'!$D$4:$I$4,0),FALSE))</f>
        <v>0.16129652302400785</v>
      </c>
      <c r="J86" s="420"/>
      <c r="K86" s="1130" t="str">
        <f>VLOOKUP((CONCATENATE($N$59,-1)),'D_Ch4-3'!$D$4:$I$155,MATCH("Lib_CPF4",'D_Ch4-3'!$D$4:$I$4,0),FALSE)</f>
        <v>Pétrole brut</v>
      </c>
      <c r="L86" s="1131"/>
      <c r="M86" s="1131"/>
      <c r="N86" s="1131"/>
      <c r="O86" s="1132"/>
      <c r="P86" s="1150">
        <f>(VLOOKUP((CONCATENATE($N$59,-1)),'D_Ch4-3'!$D$4:$I$155,MATCH("Valeur en euros",'D_Ch4-3'!$D$4:$I$4,0),FALSE))/1000</f>
        <v>2331181.3650000002</v>
      </c>
      <c r="Q86" s="1151"/>
      <c r="R86" s="1152"/>
      <c r="S86" s="523">
        <f>(VLOOKUP((CONCATENATE($N$59,-1)),'D_Ch4-3'!$D$4:$I$155,MATCH("Part ",'D_Ch4-3'!$D$4:$I$4,0),FALSE))</f>
        <v>0.22116749285812443</v>
      </c>
    </row>
    <row r="87" spans="1:21" ht="28.5" customHeight="1">
      <c r="A87" s="1130" t="str">
        <f>VLOOKUP((CONCATENATE($H$59,-2)),'D_Ch4-3'!$D$4:$I$155,MATCH("Lib_CPF4",'D_Ch4-3'!$D$4:$I$4,0),FALSE)</f>
        <v>Aéronefs et engins spatiaux</v>
      </c>
      <c r="B87" s="1131"/>
      <c r="C87" s="1131"/>
      <c r="D87" s="1131"/>
      <c r="E87" s="1132"/>
      <c r="F87" s="1140">
        <f>(VLOOKUP((CONCATENATE($H$59,-2)),'D_Ch4-3'!$D$4:$I$155,MATCH("Valeur en euros",'D_Ch4-3'!$D$4:$I$4,0),FALSE))/1000</f>
        <v>1034361.5429999999</v>
      </c>
      <c r="G87" s="1141"/>
      <c r="H87" s="1142"/>
      <c r="I87" s="521">
        <f>(VLOOKUP((CONCATENATE($H$59,-2)),'D_Ch4-3'!$D$4:$I$155,MATCH("Part ",'D_Ch4-3'!$D$4:$I$4,0),FALSE))</f>
        <v>0.14210528183713025</v>
      </c>
      <c r="J87" s="420"/>
      <c r="K87" s="1130" t="s">
        <v>645</v>
      </c>
      <c r="L87" s="1131"/>
      <c r="M87" s="1131"/>
      <c r="N87" s="1131"/>
      <c r="O87" s="1132"/>
      <c r="P87" s="1140">
        <f>(VLOOKUP((CONCATENATE($N$59,-2)),'D_Ch4-3'!$D$4:$I$155,MATCH("Valeur en euros",'D_Ch4-3'!$D$4:$I$4,0),FALSE))/1000</f>
        <v>1252695.3940000001</v>
      </c>
      <c r="Q87" s="1141"/>
      <c r="R87" s="1142"/>
      <c r="S87" s="524">
        <f>(VLOOKUP((CONCATENATE($N$59,-2)),'D_Ch4-3'!$D$4:$I$155,MATCH("Part ",'D_Ch4-3'!$D$4:$I$4,0),FALSE))</f>
        <v>0.11884768116525346</v>
      </c>
    </row>
    <row r="88" spans="1:21" ht="27.75" customHeight="1">
      <c r="A88" s="1130" t="str">
        <f>VLOOKUP((CONCATENATE($H$59,-3)),'D_Ch4-3'!$D$4:$I$155,MATCH("Lib_CPF4",'D_Ch4-3'!$D$4:$I$4,0),FALSE)</f>
        <v>Véhicules automobiles</v>
      </c>
      <c r="B88" s="1131"/>
      <c r="C88" s="1131"/>
      <c r="D88" s="1131"/>
      <c r="E88" s="1132"/>
      <c r="F88" s="1140">
        <f>(VLOOKUP((CONCATENATE($H$59,-3)),'D_Ch4-3'!$D$4:$I$155,MATCH("Valeur en euros",'D_Ch4-3'!$D$4:$I$4,0),FALSE))/1000</f>
        <v>369299.04800000001</v>
      </c>
      <c r="G88" s="1141"/>
      <c r="H88" s="1142"/>
      <c r="I88" s="521">
        <f>(VLOOKUP((CONCATENATE($H$59,-3)),'D_Ch4-3'!$D$4:$I$155,MATCH("Part ",'D_Ch4-3'!$D$4:$I$4,0),FALSE))</f>
        <v>5.0735978781670438E-2</v>
      </c>
      <c r="J88" s="420"/>
      <c r="K88" s="1130" t="str">
        <f>VLOOKUP((CONCATENATE($N$59,-3)),'D_Ch4-3'!$D$4:$I$155,MATCH("Lib_CPF4",'D_Ch4-3'!$D$4:$I$4,0),FALSE)</f>
        <v>Huiles et graisses</v>
      </c>
      <c r="L88" s="1131"/>
      <c r="M88" s="1131"/>
      <c r="N88" s="1131"/>
      <c r="O88" s="1132"/>
      <c r="P88" s="1140">
        <f>(VLOOKUP((CONCATENATE($N$59,-3)),'D_Ch4-3'!$D$4:$I$155,MATCH("Valeur en euros",'D_Ch4-3'!$D$4:$I$4,0),FALSE))/1000</f>
        <v>598317.73300000001</v>
      </c>
      <c r="Q88" s="1141"/>
      <c r="R88" s="1142"/>
      <c r="S88" s="524">
        <f>(VLOOKUP((CONCATENATE($N$59,-3)),'D_Ch4-3'!$D$4:$I$155,MATCH("Part ",'D_Ch4-3'!$D$4:$I$4,0),FALSE))</f>
        <v>5.6764537897791019E-2</v>
      </c>
    </row>
    <row r="89" spans="1:21" ht="27.75" customHeight="1">
      <c r="A89" s="1130" t="str">
        <f>VLOOKUP((CONCATENATE($H$59,-4)),'D_Ch4-3'!$D$4:$I$155,MATCH("Lib_CPF4",'D_Ch4-3'!$D$4:$I$4,0),FALSE)</f>
        <v>Vins de raisin</v>
      </c>
      <c r="B89" s="1131"/>
      <c r="C89" s="1131"/>
      <c r="D89" s="1131"/>
      <c r="E89" s="1132"/>
      <c r="F89" s="1140">
        <f>(VLOOKUP((CONCATENATE($H$59,-4)),'D_Ch4-3'!$D$4:$I$155,MATCH("Valeur en euros",'D_Ch4-3'!$D$4:$I$4,0),FALSE))/1000</f>
        <v>229632.15900000001</v>
      </c>
      <c r="G89" s="1141"/>
      <c r="H89" s="1142"/>
      <c r="I89" s="521">
        <f>(VLOOKUP((CONCATENATE($H$59,-4)),'D_Ch4-3'!$D$4:$I$155,MATCH("Part ",'D_Ch4-3'!$D$4:$I$4,0),FALSE))</f>
        <v>3.1547907880372254E-2</v>
      </c>
      <c r="J89" s="420"/>
      <c r="K89" s="1130" t="str">
        <f>VLOOKUP((CONCATENATE($N$59,-4)),'D_Ch4-3'!$D$4:$I$155,MATCH("Lib_CPF4",'D_Ch4-3'!$D$4:$I$4,0),FALSE)</f>
        <v>Véhicules automobiles</v>
      </c>
      <c r="L89" s="1131"/>
      <c r="M89" s="1131"/>
      <c r="N89" s="1131"/>
      <c r="O89" s="1132"/>
      <c r="P89" s="1140">
        <f>(VLOOKUP((CONCATENATE($N$59,-4)),'D_Ch4-3'!$D$4:$I$155,MATCH("Valeur en euros",'D_Ch4-3'!$D$4:$I$4,0),FALSE))/1000</f>
        <v>454339.71600000001</v>
      </c>
      <c r="Q89" s="1141"/>
      <c r="R89" s="1142"/>
      <c r="S89" s="524">
        <f>(VLOOKUP((CONCATENATE($N$59,-4)),'D_Ch4-3'!$D$4:$I$155,MATCH("Part ",'D_Ch4-3'!$D$4:$I$4,0),FALSE))</f>
        <v>4.3104829766684533E-2</v>
      </c>
    </row>
    <row r="90" spans="1:21" ht="25.5" customHeight="1">
      <c r="A90" s="1143" t="str">
        <f>VLOOKUP((CONCATENATE($H$59,-5)),'D_Ch4-3'!$D$4:$I$155,MATCH("Lib_CPF4",'D_Ch4-3'!$D$4:$I$4,0),FALSE)</f>
        <v>Préparations pharmaceutiques</v>
      </c>
      <c r="B90" s="1144"/>
      <c r="C90" s="1144"/>
      <c r="D90" s="1144"/>
      <c r="E90" s="1145"/>
      <c r="F90" s="1140">
        <f>(VLOOKUP((CONCATENATE($H$59,-5)),'D_Ch4-3'!$D$4:$I$155,MATCH("Valeur en euros",'D_Ch4-3'!$D$4:$I$4,0),FALSE))/1000</f>
        <v>215546.12899999999</v>
      </c>
      <c r="G90" s="1141"/>
      <c r="H90" s="1142"/>
      <c r="I90" s="521">
        <f>(VLOOKUP((CONCATENATE($H$59,-5)),'D_Ch4-3'!$D$4:$I$155,MATCH("Part ",'D_Ch4-3'!$D$4:$I$4,0),FALSE))</f>
        <v>2.9612705168455239E-2</v>
      </c>
      <c r="J90" s="420"/>
      <c r="K90" s="1143" t="str">
        <f>VLOOKUP((CONCATENATE($N$59,-5)),'D_Ch4-3'!$D$4:$I$155,MATCH("Lib_CPF4",'D_Ch4-3'!$D$4:$I$4,0),FALSE)</f>
        <v>Gaz naturel, liquéfié ou gazeux</v>
      </c>
      <c r="L90" s="1144"/>
      <c r="M90" s="1144"/>
      <c r="N90" s="1144"/>
      <c r="O90" s="1145"/>
      <c r="P90" s="1140">
        <f>(VLOOKUP((CONCATENATE($N$59,-5)),'D_Ch4-3'!$D$4:$I$155,MATCH("Valeur en euros",'D_Ch4-3'!$D$4:$I$4,0),FALSE))/1000</f>
        <v>333066.44900000002</v>
      </c>
      <c r="Q90" s="1141"/>
      <c r="R90" s="1142"/>
      <c r="S90" s="524">
        <f>(VLOOKUP((CONCATENATE($N$59,-5)),'D_Ch4-3'!$D$4:$I$155,MATCH("Part ",'D_Ch4-3'!$D$4:$I$4,0),FALSE))</f>
        <v>3.1599202269913633E-2</v>
      </c>
    </row>
    <row r="91" spans="1:21" ht="13.5" customHeight="1">
      <c r="A91" s="420"/>
      <c r="B91" s="420"/>
      <c r="C91" s="420"/>
      <c r="D91" s="420"/>
      <c r="E91" s="420"/>
      <c r="F91" s="420"/>
      <c r="G91" s="420"/>
      <c r="H91" s="420"/>
      <c r="I91" s="420"/>
      <c r="J91" s="420"/>
      <c r="K91" s="420"/>
      <c r="L91" s="420"/>
      <c r="M91" s="420"/>
      <c r="N91" s="420"/>
      <c r="O91" s="420"/>
      <c r="P91" s="420"/>
      <c r="Q91" s="420"/>
      <c r="R91" s="420"/>
      <c r="S91" s="420"/>
    </row>
    <row r="92" spans="1:21" ht="21" customHeight="1">
      <c r="A92" s="1134" t="s">
        <v>1305</v>
      </c>
      <c r="B92" s="1135"/>
      <c r="C92" s="1135"/>
      <c r="D92" s="1135"/>
      <c r="E92" s="1136"/>
      <c r="F92" s="1134" t="s">
        <v>1958</v>
      </c>
      <c r="G92" s="1135"/>
      <c r="H92" s="1136"/>
      <c r="I92" s="518" t="s">
        <v>1131</v>
      </c>
      <c r="K92" s="1147" t="s">
        <v>1305</v>
      </c>
      <c r="L92" s="1148"/>
      <c r="M92" s="1148"/>
      <c r="N92" s="1148"/>
      <c r="O92" s="1149"/>
      <c r="P92" s="1147" t="s">
        <v>1958</v>
      </c>
      <c r="Q92" s="1148"/>
      <c r="R92" s="1149"/>
      <c r="S92" s="522" t="s">
        <v>1131</v>
      </c>
    </row>
    <row r="93" spans="1:21">
      <c r="A93" s="1143" t="str">
        <f>VLOOKUP((CONCATENATE($H$59,1)),'D_Ch4-3'!$C$160:$G$205,MATCH("Lib_pays",'D_Ch4-3'!$C$160:$G$160,0),FALSE)</f>
        <v>Etats-Unis</v>
      </c>
      <c r="B93" s="1144"/>
      <c r="C93" s="1144"/>
      <c r="D93" s="1144"/>
      <c r="E93" s="1145"/>
      <c r="F93" s="1150">
        <f>(VLOOKUP((CONCATENATE($H$59,1)),'D_Ch4-3'!$C$160:$G$213,MATCH("Pays_Valeur",'D_Ch4-3'!$C$160:$G$160,0),FALSE))/1000</f>
        <v>3126459.8459999999</v>
      </c>
      <c r="G93" s="1151"/>
      <c r="H93" s="1152"/>
      <c r="I93" s="525">
        <f>(VLOOKUP((CONCATENATE($H$59,1)),'D_Ch4-3'!$C$160:$G$213,MATCH("Pays_Part",'D_Ch4-3'!$C$160:$G$160,0),FALSE))</f>
        <v>0.26386062297239815</v>
      </c>
      <c r="K93" s="1143" t="str">
        <f>VLOOKUP((CONCATENATE($N$59,1)),'D_Ch4-3'!$C$160:$G$205,MATCH("Lib_pays",'D_Ch4-3'!$C$160:$G$160,0),FALSE)</f>
        <v>Allemagne</v>
      </c>
      <c r="L93" s="1144"/>
      <c r="M93" s="1144"/>
      <c r="N93" s="1144"/>
      <c r="O93" s="1145"/>
      <c r="P93" s="1150">
        <f>(VLOOKUP((CONCATENATE($N$59,1)),'D_Ch4-3'!$C$160:$G$213,MATCH("Pays_Valeur",'D_Ch4-3'!$C$160:$G$160,0),FALSE))/1000</f>
        <v>2456217.6000000001</v>
      </c>
      <c r="Q93" s="1151"/>
      <c r="R93" s="1152"/>
      <c r="S93" s="525">
        <f>(VLOOKUP((CONCATENATE($N$59,1)),'D_Ch4-3'!$C$160:$G$213,MATCH("Pays_Part",'D_Ch4-3'!$C$160:$G$160,0),FALSE))</f>
        <v>0.16447930297530727</v>
      </c>
    </row>
    <row r="94" spans="1:21" ht="15" customHeight="1">
      <c r="A94" s="1143" t="str">
        <f>VLOOKUP((CONCATENATE($H$59,2)),'D_Ch4-3'!$C$160:$G$205,MATCH("Lib_pays",'D_Ch4-3'!$C$160:$G$160,0),FALSE)</f>
        <v>Allemagne</v>
      </c>
      <c r="B94" s="1144"/>
      <c r="C94" s="1144"/>
      <c r="D94" s="1144"/>
      <c r="E94" s="1145"/>
      <c r="F94" s="1140">
        <f>(VLOOKUP((CONCATENATE($H$59,2)),'D_Ch4-3'!$C$160:$G$213,MATCH("Pays_Valeur",'D_Ch4-3'!$C$160:$G$160,0),FALSE))/1000</f>
        <v>1339373.848</v>
      </c>
      <c r="G94" s="1141"/>
      <c r="H94" s="1142"/>
      <c r="I94" s="526">
        <f>(VLOOKUP((CONCATENATE($H$59,2)),'D_Ch4-3'!$C$160:$G$213,MATCH("Pays_Part",'D_Ch4-3'!$C$160:$G$160,0),FALSE))</f>
        <v>0.11980626268340494</v>
      </c>
      <c r="K94" s="1137" t="str">
        <f>VLOOKUP((CONCATENATE($N$59,2)),'D_Ch4-3'!$C$160:$G$205,MATCH("Lib_pays",'D_Ch4-3'!$C$160:$G$160,0),FALSE)</f>
        <v>Etats-Unis</v>
      </c>
      <c r="L94" s="1138"/>
      <c r="M94" s="1138"/>
      <c r="N94" s="1138"/>
      <c r="O94" s="1139"/>
      <c r="P94" s="1140">
        <f>(VLOOKUP((CONCATENATE($N$59,2)),'D_Ch4-3'!$C$160:$G$213,MATCH("Pays_Valeur",'D_Ch4-3'!$C$160:$G$160,0),FALSE))/1000</f>
        <v>2143841.423</v>
      </c>
      <c r="Q94" s="1141"/>
      <c r="R94" s="1142"/>
      <c r="S94" s="526">
        <f>(VLOOKUP((CONCATENATE($N$59,2)),'D_Ch4-3'!$C$160:$G$213,MATCH("Pays_Part",'D_Ch4-3'!$C$160:$G$160,0),FALSE))</f>
        <v>7.5650781143121973E-2</v>
      </c>
    </row>
    <row r="95" spans="1:21" ht="15" customHeight="1">
      <c r="A95" s="1143" t="str">
        <f>VLOOKUP((CONCATENATE($H$59,3)),'D_Ch4-3'!$C$160:$G$205,MATCH("Lib_pays",'D_Ch4-3'!$C$160:$G$160,0),FALSE)</f>
        <v>Espagne</v>
      </c>
      <c r="B95" s="1144"/>
      <c r="C95" s="1144"/>
      <c r="D95" s="1144"/>
      <c r="E95" s="1145"/>
      <c r="F95" s="1140">
        <f>(VLOOKUP((CONCATENATE($H$59,3)),'D_Ch4-3'!$C$160:$G$213,MATCH("Pays_Valeur",'D_Ch4-3'!$C$160:$G$160,0),FALSE))/1000</f>
        <v>1251708.0460000001</v>
      </c>
      <c r="G95" s="1141"/>
      <c r="H95" s="1142"/>
      <c r="I95" s="526">
        <f>(VLOOKUP((CONCATENATE($H$59,3)),'D_Ch4-3'!$C$160:$G$213,MATCH("Pays_Part",'D_Ch4-3'!$C$160:$G$160,0),FALSE))</f>
        <v>0.11720185121766859</v>
      </c>
      <c r="K95" s="1143" t="str">
        <f>VLOOKUP((CONCATENATE($N$59,3)),'D_Ch4-3'!$C$160:$G$205,MATCH("Lib_pays",'D_Ch4-3'!$C$160:$G$160,0),FALSE)</f>
        <v>Royaume-Uni</v>
      </c>
      <c r="L95" s="1144"/>
      <c r="M95" s="1144"/>
      <c r="N95" s="1144"/>
      <c r="O95" s="1145"/>
      <c r="P95" s="1140">
        <f>(VLOOKUP((CONCATENATE($N$59,3)),'D_Ch4-3'!$C$160:$G$213,MATCH("Pays_Valeur",'D_Ch4-3'!$C$160:$G$160,0),FALSE))/1000</f>
        <v>1095206.6270000001</v>
      </c>
      <c r="Q95" s="1141"/>
      <c r="R95" s="1142"/>
      <c r="S95" s="526">
        <f>(VLOOKUP((CONCATENATE($N$59,3)),'D_Ch4-3'!$C$160:$G$213,MATCH("Pays_Part",'D_Ch4-3'!$C$160:$G$160,0),FALSE))</f>
        <v>7.2863537949043516E-2</v>
      </c>
    </row>
    <row r="96" spans="1:21" s="208" customFormat="1" ht="15" customHeight="1">
      <c r="A96" s="338"/>
      <c r="B96" s="450"/>
      <c r="C96" s="451"/>
      <c r="D96" s="451"/>
      <c r="E96" s="451"/>
      <c r="F96" s="977" t="s">
        <v>1369</v>
      </c>
      <c r="G96" s="977"/>
      <c r="H96" s="977"/>
      <c r="I96" s="977"/>
      <c r="J96" s="977"/>
      <c r="K96" s="977"/>
      <c r="L96" s="977"/>
      <c r="M96" s="977"/>
      <c r="N96" s="977"/>
      <c r="O96" s="977"/>
      <c r="P96" s="977"/>
      <c r="Q96" s="977"/>
      <c r="R96" s="977"/>
      <c r="S96" s="977"/>
      <c r="T96" s="977"/>
      <c r="U96" s="622"/>
    </row>
    <row r="97" spans="1:21" s="208" customFormat="1" ht="12.75" customHeight="1">
      <c r="A97" s="452"/>
      <c r="B97" s="451"/>
      <c r="C97" s="451"/>
      <c r="D97" s="451"/>
      <c r="E97" s="451"/>
      <c r="F97" s="977"/>
      <c r="G97" s="977"/>
      <c r="H97" s="977"/>
      <c r="I97" s="977"/>
      <c r="J97" s="977"/>
      <c r="K97" s="977"/>
      <c r="L97" s="977"/>
      <c r="M97" s="977"/>
      <c r="N97" s="977"/>
      <c r="O97" s="977"/>
      <c r="P97" s="977"/>
      <c r="Q97" s="977"/>
      <c r="R97" s="977"/>
      <c r="S97" s="977"/>
      <c r="T97" s="977"/>
      <c r="U97" s="622"/>
    </row>
    <row r="98" spans="1:21" s="208" customFormat="1" ht="15" customHeight="1">
      <c r="A98" s="453"/>
      <c r="B98" s="451"/>
      <c r="C98" s="451"/>
      <c r="D98" s="451"/>
      <c r="E98" s="451"/>
      <c r="F98" s="977"/>
      <c r="G98" s="977"/>
      <c r="H98" s="977"/>
      <c r="I98" s="977"/>
      <c r="J98" s="977"/>
      <c r="K98" s="977"/>
      <c r="L98" s="977"/>
      <c r="M98" s="977"/>
      <c r="N98" s="977"/>
      <c r="O98" s="977"/>
      <c r="P98" s="977"/>
      <c r="Q98" s="977"/>
      <c r="R98" s="977"/>
      <c r="S98" s="977"/>
      <c r="T98" s="977"/>
      <c r="U98" s="622"/>
    </row>
    <row r="99" spans="1:21" ht="12.75" customHeight="1">
      <c r="A99"/>
      <c r="B99"/>
      <c r="C99"/>
      <c r="D99"/>
      <c r="E99"/>
      <c r="F99" s="977"/>
      <c r="G99" s="977"/>
      <c r="H99" s="977"/>
      <c r="I99" s="977"/>
      <c r="J99" s="977"/>
      <c r="K99" s="977"/>
      <c r="L99" s="977"/>
      <c r="M99" s="977"/>
      <c r="N99" s="977"/>
      <c r="O99" s="977"/>
      <c r="P99" s="977"/>
      <c r="Q99" s="977"/>
      <c r="R99" s="977"/>
      <c r="S99" s="977"/>
      <c r="T99" s="977"/>
      <c r="U99" s="173"/>
    </row>
    <row r="100" spans="1:21" ht="5.25" customHeight="1">
      <c r="A100"/>
      <c r="B100"/>
      <c r="C100"/>
      <c r="D100"/>
      <c r="E100"/>
      <c r="F100"/>
      <c r="G100"/>
      <c r="H100"/>
      <c r="I100"/>
      <c r="J100"/>
      <c r="K100"/>
      <c r="L100"/>
      <c r="M100"/>
      <c r="N100"/>
      <c r="O100"/>
      <c r="P100"/>
      <c r="Q100"/>
      <c r="R100"/>
      <c r="S100"/>
      <c r="T100"/>
      <c r="U100" s="173"/>
    </row>
    <row r="101" spans="1:21" s="208" customFormat="1" ht="15" customHeight="1">
      <c r="A101" s="875" t="s">
        <v>1053</v>
      </c>
      <c r="B101" s="875"/>
      <c r="C101" s="875"/>
      <c r="D101" s="875"/>
      <c r="E101" s="875"/>
      <c r="F101" s="875"/>
      <c r="G101" s="875"/>
      <c r="H101" s="875"/>
      <c r="I101" s="875"/>
      <c r="J101" s="875"/>
      <c r="K101" s="875"/>
      <c r="L101" s="875"/>
      <c r="M101" s="875"/>
      <c r="N101" s="875"/>
      <c r="O101" s="875"/>
      <c r="P101" s="875"/>
      <c r="Q101" s="875"/>
      <c r="R101" s="875"/>
      <c r="S101" s="875"/>
      <c r="T101" s="875"/>
      <c r="U101" s="860"/>
    </row>
    <row r="102" spans="1:21" s="208" customFormat="1" ht="15" customHeight="1">
      <c r="A102" s="875"/>
      <c r="B102" s="875"/>
      <c r="C102" s="875"/>
      <c r="D102" s="875"/>
      <c r="E102" s="875"/>
      <c r="F102" s="875"/>
      <c r="G102" s="875"/>
      <c r="H102" s="875"/>
      <c r="I102" s="875"/>
      <c r="J102" s="875"/>
      <c r="K102" s="875"/>
      <c r="L102" s="875"/>
      <c r="M102" s="875"/>
      <c r="N102" s="875"/>
      <c r="O102" s="875"/>
      <c r="P102" s="875"/>
      <c r="Q102" s="875"/>
      <c r="R102" s="875"/>
      <c r="S102" s="875"/>
      <c r="T102" s="875"/>
      <c r="U102" s="860"/>
    </row>
    <row r="103" spans="1:21" ht="8.25" customHeight="1"/>
    <row r="104" spans="1:21">
      <c r="A104" s="448" t="s">
        <v>1727</v>
      </c>
      <c r="G104" s="436"/>
    </row>
    <row r="105" spans="1:21" ht="6" customHeight="1"/>
    <row r="106" spans="1:21">
      <c r="A106" s="483" t="s">
        <v>1753</v>
      </c>
      <c r="Q106" s="487"/>
      <c r="R106" s="487"/>
    </row>
    <row r="107" spans="1:21"/>
    <row r="108" spans="1:21"/>
    <row r="109" spans="1:21"/>
    <row r="110" spans="1:21"/>
    <row r="111" spans="1:21"/>
    <row r="112" spans="1:21"/>
    <row r="113" spans="1:20"/>
    <row r="114" spans="1:20"/>
    <row r="115" spans="1:20"/>
    <row r="116" spans="1:20"/>
    <row r="117" spans="1:20"/>
    <row r="118" spans="1:20"/>
    <row r="119" spans="1:20"/>
    <row r="120" spans="1:20"/>
    <row r="121" spans="1:20" ht="15.75" thickBot="1">
      <c r="A121" s="483" t="s">
        <v>1514</v>
      </c>
    </row>
    <row r="122" spans="1:20" ht="16.5" thickTop="1" thickBot="1">
      <c r="A122" s="889" t="s">
        <v>1407</v>
      </c>
      <c r="B122" s="890"/>
      <c r="C122" s="891"/>
      <c r="I122" s="487"/>
      <c r="J122" s="487"/>
      <c r="K122" s="487"/>
    </row>
    <row r="123" spans="1:20" ht="9" customHeight="1" thickTop="1"/>
    <row r="124" spans="1:20" s="228" customFormat="1" ht="28.5" customHeight="1" thickBot="1">
      <c r="A124" s="1133"/>
      <c r="B124" s="1133"/>
      <c r="C124" s="1133"/>
      <c r="D124" s="1133"/>
      <c r="E124" s="1133"/>
      <c r="F124" s="882" t="s">
        <v>1607</v>
      </c>
      <c r="G124" s="883"/>
      <c r="H124" s="884"/>
      <c r="I124" s="882" t="s">
        <v>1725</v>
      </c>
      <c r="J124" s="883"/>
      <c r="K124" s="884"/>
      <c r="L124" s="882" t="s">
        <v>1408</v>
      </c>
      <c r="M124" s="883"/>
      <c r="N124" s="884"/>
      <c r="O124" s="882" t="s">
        <v>1725</v>
      </c>
      <c r="P124" s="883"/>
      <c r="Q124" s="884"/>
      <c r="R124" s="420"/>
      <c r="S124" s="420"/>
      <c r="T124" s="420"/>
    </row>
    <row r="125" spans="1:20" s="208" customFormat="1" ht="14.25" thickTop="1" thickBot="1">
      <c r="A125" s="1121" t="s">
        <v>1416</v>
      </c>
      <c r="B125" s="1122"/>
      <c r="C125" s="1122"/>
      <c r="D125" s="1122"/>
      <c r="E125" s="1123"/>
      <c r="F125" s="1058">
        <f>VLOOKUP($A$125,'D_Ch4-2'!$A$6:$L$18,MATCH("Nb Passagers",'D_Ch4-2'!$A$6:$N$6,0),FALSE)</f>
        <v>5323294</v>
      </c>
      <c r="G125" s="1058">
        <f>VLOOKUP($N$59,'D_Ch4-3'!$K$4:$N$18,MATCH("balance commerciale N-1",'D_Ch4-3'!$K$4:$N$4,0),FALSE)</f>
        <v>-3214.8916880000002</v>
      </c>
      <c r="H125" s="1059">
        <f>VLOOKUP($N$59,'D_Ch4-3'!$K$4:$N$18,MATCH("balance commerciale N-1",'D_Ch4-3'!$K$4:$N$4,0),FALSE)</f>
        <v>-3214.8916880000002</v>
      </c>
      <c r="I125" s="1127">
        <f>VLOOKUP($A$125,'D_Ch4-2'!$A$6:$L$18,MATCH("LR evolution",'D_Ch4-2'!$A$6:$N$6,0),FALSE)</f>
        <v>7.5999999999999998E-2</v>
      </c>
      <c r="J125" s="1128">
        <f>VLOOKUP($N$59,'D_Ch4-3'!$K$4:$N$18,MATCH("balance commerciale N-1",'D_Ch4-3'!$K$4:$N$4,0),FALSE)</f>
        <v>-3214.8916880000002</v>
      </c>
      <c r="K125" s="1129">
        <f>VLOOKUP($N$59,'D_Ch4-3'!$K$4:$N$18,MATCH("balance commerciale N-1",'D_Ch4-3'!$K$4:$N$4,0),FALSE)</f>
        <v>-3214.8916880000002</v>
      </c>
      <c r="L125" s="1046">
        <f>VLOOKUP($A$125,'D_Ch4-2'!$A$6:$L$18,MATCH("low cost",'D_Ch4-2'!$A$6:$N$6,0),FALSE)</f>
        <v>2211521</v>
      </c>
      <c r="M125" s="1058">
        <f>VLOOKUP($N$59,'D_Ch4-3'!$K$4:$N$18,MATCH("balance commerciale N-1",'D_Ch4-3'!$K$4:$N$4,0),FALSE)</f>
        <v>-3214.8916880000002</v>
      </c>
      <c r="N125" s="1059">
        <f>VLOOKUP($N$59,'D_Ch4-3'!$K$4:$N$18,MATCH("balance commerciale N-1",'D_Ch4-3'!$K$4:$N$4,0),FALSE)</f>
        <v>-3214.8916880000002</v>
      </c>
      <c r="O125" s="1127">
        <f>VLOOKUP($A$125,'D_Ch4-2'!$A$6:$L$18,MATCH("LC evolution",'D_Ch4-2'!$A$6:$N$6,0),FALSE)</f>
        <v>0.121</v>
      </c>
      <c r="P125" s="1128">
        <f>VLOOKUP($N$59,'D_Ch4-3'!$K$4:$N$18,MATCH("balance commerciale N-1",'D_Ch4-3'!$K$4:$N$4,0),FALSE)</f>
        <v>-3214.8916880000002</v>
      </c>
      <c r="Q125" s="1129">
        <f>VLOOKUP($N$59,'D_Ch4-3'!$K$4:$N$18,MATCH("balance commerciale N-1",'D_Ch4-3'!$K$4:$N$4,0),FALSE)</f>
        <v>-3214.8916880000002</v>
      </c>
      <c r="R125" s="341"/>
      <c r="S125" s="341"/>
      <c r="T125" s="341"/>
    </row>
    <row r="126" spans="1:20" s="208" customFormat="1" ht="14.25" thickTop="1" thickBot="1">
      <c r="A126" s="1124" t="s">
        <v>1417</v>
      </c>
      <c r="B126" s="1125"/>
      <c r="C126" s="1125"/>
      <c r="D126" s="1125"/>
      <c r="E126" s="1126"/>
      <c r="F126" s="1058">
        <f>VLOOKUP($A$126,'D_Ch4-2'!$A$6:$L$18,MATCH("Nb Passagers",'D_Ch4-2'!$A$6:$N$6,0),FALSE)</f>
        <v>4394996</v>
      </c>
      <c r="G126" s="1058">
        <f>VLOOKUP($N$59,'D_Ch4-3'!$K$4:$N$18,MATCH("balance commerciale N-1",'D_Ch4-3'!$K$4:$N$4,0),FALSE)</f>
        <v>-3214.8916880000002</v>
      </c>
      <c r="H126" s="1059">
        <f>VLOOKUP($N$59,'D_Ch4-3'!$K$4:$N$18,MATCH("balance commerciale N-1",'D_Ch4-3'!$K$4:$N$4,0),FALSE)</f>
        <v>-3214.8916880000002</v>
      </c>
      <c r="I126" s="1127">
        <f>VLOOKUP($A$126,'D_Ch4-2'!$A$6:$L$18,MATCH("LR evolution",'D_Ch4-2'!$A$6:$N$6,0),FALSE)</f>
        <v>5.7000000000000002E-2</v>
      </c>
      <c r="J126" s="1128">
        <f>VLOOKUP($N$59,'D_Ch4-3'!$K$4:$N$18,MATCH("balance commerciale N-1",'D_Ch4-3'!$K$4:$N$4,0),FALSE)</f>
        <v>-3214.8916880000002</v>
      </c>
      <c r="K126" s="1129">
        <f>VLOOKUP($N$59,'D_Ch4-3'!$K$4:$N$18,MATCH("balance commerciale N-1",'D_Ch4-3'!$K$4:$N$4,0),FALSE)</f>
        <v>-3214.8916880000002</v>
      </c>
      <c r="L126" s="1046">
        <f>VLOOKUP($A$126,'D_Ch4-2'!$A$6:$L$18,MATCH("low cost",'D_Ch4-2'!$A$6:$N$6,0),FALSE)</f>
        <v>2079182</v>
      </c>
      <c r="M126" s="1058">
        <f>VLOOKUP($N$59,'D_Ch4-3'!$K$4:$N$18,MATCH("balance commerciale N-1",'D_Ch4-3'!$K$4:$N$4,0),FALSE)</f>
        <v>-3214.8916880000002</v>
      </c>
      <c r="N126" s="1059">
        <f>VLOOKUP($N$59,'D_Ch4-3'!$K$4:$N$18,MATCH("balance commerciale N-1",'D_Ch4-3'!$K$4:$N$4,0),FALSE)</f>
        <v>-3214.8916880000002</v>
      </c>
      <c r="O126" s="1127">
        <f>VLOOKUP($A$126,'D_Ch4-2'!$A$6:$L$18,MATCH("LC evolution",'D_Ch4-2'!$A$6:$N$6,0),FALSE)</f>
        <v>0.154</v>
      </c>
      <c r="P126" s="1128">
        <f>VLOOKUP($N$59,'D_Ch4-3'!$K$4:$N$18,MATCH("balance commerciale N-1",'D_Ch4-3'!$K$4:$N$4,0),FALSE)</f>
        <v>-3214.8916880000002</v>
      </c>
      <c r="Q126" s="1129">
        <f>VLOOKUP($N$59,'D_Ch4-3'!$K$4:$N$18,MATCH("balance commerciale N-1",'D_Ch4-3'!$K$4:$N$4,0),FALSE)</f>
        <v>-3214.8916880000002</v>
      </c>
      <c r="R126" s="341"/>
      <c r="S126" s="341"/>
      <c r="T126" s="341"/>
    </row>
    <row r="127" spans="1:20" s="247" customFormat="1" ht="13.5" customHeight="1" thickTop="1">
      <c r="A127" s="339"/>
      <c r="B127" s="339"/>
      <c r="C127" s="339"/>
      <c r="D127" s="339"/>
      <c r="E127" s="339"/>
      <c r="F127" s="339"/>
      <c r="G127" s="339"/>
      <c r="H127" s="339"/>
      <c r="I127" s="339"/>
      <c r="J127" s="339"/>
      <c r="K127" s="339"/>
      <c r="L127" s="339"/>
      <c r="M127" s="339"/>
      <c r="N127" s="339"/>
      <c r="O127" s="339"/>
      <c r="P127" s="339"/>
      <c r="Q127" s="339"/>
      <c r="R127" s="339"/>
      <c r="S127" s="339"/>
      <c r="T127" s="339"/>
    </row>
    <row r="128" spans="1:20" s="247" customFormat="1">
      <c r="A128" s="448" t="s">
        <v>1731</v>
      </c>
      <c r="B128" s="324"/>
      <c r="C128" s="324"/>
      <c r="D128" s="324"/>
      <c r="E128" s="324"/>
      <c r="F128" s="436"/>
      <c r="G128" s="339"/>
      <c r="H128" s="339"/>
      <c r="I128" s="339"/>
      <c r="J128" s="339"/>
      <c r="K128" s="339"/>
      <c r="L128" s="339"/>
      <c r="M128" s="339"/>
      <c r="N128" s="339"/>
      <c r="O128" s="339"/>
      <c r="P128" s="339"/>
      <c r="Q128" s="339"/>
      <c r="R128" s="339"/>
      <c r="S128" s="339"/>
      <c r="T128" s="339"/>
    </row>
    <row r="129" spans="1:19" ht="25.5" customHeight="1" thickBot="1">
      <c r="F129" s="527"/>
      <c r="G129" s="527"/>
      <c r="H129" s="527"/>
      <c r="I129" s="527"/>
      <c r="J129" s="527"/>
      <c r="K129" s="882" t="s">
        <v>1424</v>
      </c>
      <c r="L129" s="883"/>
      <c r="M129" s="884"/>
      <c r="N129" s="882" t="s">
        <v>1725</v>
      </c>
      <c r="O129" s="883"/>
      <c r="P129" s="884"/>
    </row>
    <row r="130" spans="1:19" ht="16.5" thickTop="1" thickBot="1">
      <c r="G130" s="1121" t="s">
        <v>2</v>
      </c>
      <c r="H130" s="1122"/>
      <c r="I130" s="1122"/>
      <c r="J130" s="1123"/>
      <c r="K130" s="1116">
        <f>VLOOKUP($G$130,'D_Ch4-2'!$A$49:$D$61,MATCH("trafic N-1",'D_Ch4-2'!$A$49:$D$49,0),FALSE)</f>
        <v>8385070</v>
      </c>
      <c r="L130" s="1116">
        <f>VLOOKUP($N$59,'D_Ch4-3'!$K$4:$N$18,MATCH("balance commerciale N-1",'D_Ch4-3'!$K$4:$N$4,0),FALSE)</f>
        <v>-3214.8916880000002</v>
      </c>
      <c r="M130" s="1117">
        <f>VLOOKUP($N$59,'D_Ch4-3'!$K$4:$N$18,MATCH("balance commerciale N-1",'D_Ch4-3'!$K$4:$N$4,0),FALSE)</f>
        <v>-3214.8916880000002</v>
      </c>
      <c r="N130" s="1118">
        <f>VLOOKUP($G$130,'D_Ch4-2'!$A$49:$D$61,MATCH("Port Evolution",'D_Ch4-2'!$A$49:$D$49,0),FALSE)</f>
        <v>-1.6758931471542532E-2</v>
      </c>
      <c r="O130" s="1119">
        <f>VLOOKUP($N$59,'D_Ch4-3'!$K$4:$N$18,MATCH("balance commerciale N-1",'D_Ch4-3'!$K$4:$N$4,0),FALSE)</f>
        <v>-3214.8916880000002</v>
      </c>
      <c r="P130" s="1120">
        <f>VLOOKUP($N$59,'D_Ch4-3'!$K$4:$N$18,MATCH("balance commerciale N-1",'D_Ch4-3'!$K$4:$N$4,0),FALSE)</f>
        <v>-3214.8916880000002</v>
      </c>
      <c r="Q130" s="528"/>
      <c r="R130" s="696"/>
      <c r="S130" s="487"/>
    </row>
    <row r="131" spans="1:19" ht="16.5" thickTop="1" thickBot="1">
      <c r="G131" s="1124" t="s">
        <v>576</v>
      </c>
      <c r="H131" s="1125"/>
      <c r="I131" s="1125"/>
      <c r="J131" s="1126"/>
      <c r="K131" s="1116">
        <f>VLOOKUP($G$131,'D_Ch4-2'!$A$49:$D$61,MATCH("trafic N-1",'D_Ch4-2'!$A$49:$D$49,0),FALSE)</f>
        <v>2323580</v>
      </c>
      <c r="L131" s="1116">
        <f>VLOOKUP($N$59,'D_Ch4-3'!$K$4:$N$18,MATCH("balance commerciale N-1",'D_Ch4-3'!$K$4:$N$4,0),FALSE)</f>
        <v>-3214.8916880000002</v>
      </c>
      <c r="M131" s="1117">
        <f>VLOOKUP($N$59,'D_Ch4-3'!$K$4:$N$18,MATCH("balance commerciale N-1",'D_Ch4-3'!$K$4:$N$4,0),FALSE)</f>
        <v>-3214.8916880000002</v>
      </c>
      <c r="N131" s="1118">
        <f>VLOOKUP($G$131,'D_Ch4-2'!$A$49:$D$61,MATCH("Port Evolution",'D_Ch4-2'!$A$49:$D$49,0),FALSE)</f>
        <v>-0.10715088534459868</v>
      </c>
      <c r="O131" s="1119">
        <f>VLOOKUP($N$59,'D_Ch4-3'!$K$4:$N$18,MATCH("balance commerciale N-1",'D_Ch4-3'!$K$4:$N$4,0),FALSE)</f>
        <v>-3214.8916880000002</v>
      </c>
      <c r="P131" s="1120">
        <f>VLOOKUP($N$59,'D_Ch4-3'!$K$4:$N$18,MATCH("balance commerciale N-1",'D_Ch4-3'!$K$4:$N$4,0),FALSE)</f>
        <v>-3214.8916880000002</v>
      </c>
      <c r="Q131" s="478"/>
      <c r="R131" s="478"/>
    </row>
    <row r="132" spans="1:19" ht="15.75" thickTop="1">
      <c r="A132" s="460" t="s">
        <v>1724</v>
      </c>
      <c r="B132" s="460"/>
      <c r="M132" s="529"/>
      <c r="N132" s="529"/>
      <c r="O132" s="529"/>
      <c r="P132" s="478"/>
      <c r="Q132" s="478"/>
      <c r="R132" s="478"/>
    </row>
    <row r="133" spans="1:19"/>
    <row r="134" spans="1:19"/>
    <row r="135" spans="1:19"/>
    <row r="136" spans="1:19"/>
    <row r="137" spans="1:19"/>
    <row r="138" spans="1:19"/>
    <row r="139" spans="1:19"/>
    <row r="140" spans="1:19"/>
    <row r="141" spans="1:19"/>
    <row r="142" spans="1:19"/>
    <row r="143" spans="1:19"/>
    <row r="144" spans="1:19"/>
    <row r="145"/>
    <row r="146"/>
    <row r="147"/>
    <row r="148"/>
  </sheetData>
  <sheetProtection sheet="1" objects="1" scenarios="1" autoFilter="0"/>
  <mergeCells count="119">
    <mergeCell ref="P78:R78"/>
    <mergeCell ref="P79:R79"/>
    <mergeCell ref="P80:R80"/>
    <mergeCell ref="F79:H79"/>
    <mergeCell ref="F78:H78"/>
    <mergeCell ref="A78:E78"/>
    <mergeCell ref="H59:K59"/>
    <mergeCell ref="F80:H80"/>
    <mergeCell ref="F81:H81"/>
    <mergeCell ref="F1:T4"/>
    <mergeCell ref="A6:T7"/>
    <mergeCell ref="A93:E93"/>
    <mergeCell ref="F93:H93"/>
    <mergeCell ref="K93:O93"/>
    <mergeCell ref="P93:R93"/>
    <mergeCell ref="E41:F41"/>
    <mergeCell ref="E29:F29"/>
    <mergeCell ref="E35:F35"/>
    <mergeCell ref="E36:F36"/>
    <mergeCell ref="E37:F37"/>
    <mergeCell ref="E38:F38"/>
    <mergeCell ref="E39:F39"/>
    <mergeCell ref="E40:F40"/>
    <mergeCell ref="F52:T55"/>
    <mergeCell ref="N59:Q59"/>
    <mergeCell ref="O74:P74"/>
    <mergeCell ref="K74:L74"/>
    <mergeCell ref="Q74:R74"/>
    <mergeCell ref="E30:F30"/>
    <mergeCell ref="E31:F31"/>
    <mergeCell ref="E32:F32"/>
    <mergeCell ref="E34:F34"/>
    <mergeCell ref="A79:E79"/>
    <mergeCell ref="D9:H9"/>
    <mergeCell ref="N9:R9"/>
    <mergeCell ref="A92:E92"/>
    <mergeCell ref="F92:H92"/>
    <mergeCell ref="K92:O92"/>
    <mergeCell ref="P92:R92"/>
    <mergeCell ref="A89:E89"/>
    <mergeCell ref="F89:H89"/>
    <mergeCell ref="K89:O89"/>
    <mergeCell ref="P89:R89"/>
    <mergeCell ref="A90:E90"/>
    <mergeCell ref="F90:H90"/>
    <mergeCell ref="K90:O90"/>
    <mergeCell ref="P90:R90"/>
    <mergeCell ref="A87:E87"/>
    <mergeCell ref="F87:H87"/>
    <mergeCell ref="K87:O87"/>
    <mergeCell ref="P87:R87"/>
    <mergeCell ref="A88:E88"/>
    <mergeCell ref="F88:H88"/>
    <mergeCell ref="K88:O88"/>
    <mergeCell ref="P88:R88"/>
    <mergeCell ref="A57:T58"/>
    <mergeCell ref="I74:J74"/>
    <mergeCell ref="E28:F28"/>
    <mergeCell ref="J27:R28"/>
    <mergeCell ref="F85:H85"/>
    <mergeCell ref="K85:O85"/>
    <mergeCell ref="P85:R85"/>
    <mergeCell ref="F83:H83"/>
    <mergeCell ref="A86:E86"/>
    <mergeCell ref="F86:H86"/>
    <mergeCell ref="K86:O86"/>
    <mergeCell ref="P86:R86"/>
    <mergeCell ref="K78:O78"/>
    <mergeCell ref="K79:O79"/>
    <mergeCell ref="K80:O80"/>
    <mergeCell ref="K81:O81"/>
    <mergeCell ref="K82:O82"/>
    <mergeCell ref="K83:O83"/>
    <mergeCell ref="E33:F33"/>
    <mergeCell ref="A80:E80"/>
    <mergeCell ref="A81:E81"/>
    <mergeCell ref="E42:F42"/>
    <mergeCell ref="E43:F43"/>
    <mergeCell ref="P81:R81"/>
    <mergeCell ref="P82:R82"/>
    <mergeCell ref="P83:R83"/>
    <mergeCell ref="A82:E82"/>
    <mergeCell ref="A125:E125"/>
    <mergeCell ref="F125:H125"/>
    <mergeCell ref="F126:H126"/>
    <mergeCell ref="I125:K125"/>
    <mergeCell ref="I126:K126"/>
    <mergeCell ref="A126:E126"/>
    <mergeCell ref="A124:E124"/>
    <mergeCell ref="F124:H124"/>
    <mergeCell ref="A85:E85"/>
    <mergeCell ref="F96:T99"/>
    <mergeCell ref="A101:T102"/>
    <mergeCell ref="A122:C122"/>
    <mergeCell ref="K94:O94"/>
    <mergeCell ref="P94:R94"/>
    <mergeCell ref="K95:O95"/>
    <mergeCell ref="P95:R95"/>
    <mergeCell ref="A94:E94"/>
    <mergeCell ref="F94:H94"/>
    <mergeCell ref="A95:E95"/>
    <mergeCell ref="F95:H95"/>
    <mergeCell ref="F82:H82"/>
    <mergeCell ref="A83:E83"/>
    <mergeCell ref="L124:N124"/>
    <mergeCell ref="I124:K124"/>
    <mergeCell ref="K130:M130"/>
    <mergeCell ref="N130:P130"/>
    <mergeCell ref="K131:M131"/>
    <mergeCell ref="N131:P131"/>
    <mergeCell ref="G130:J130"/>
    <mergeCell ref="G131:J131"/>
    <mergeCell ref="K129:M129"/>
    <mergeCell ref="N129:P129"/>
    <mergeCell ref="L125:N125"/>
    <mergeCell ref="L126:N126"/>
    <mergeCell ref="O125:Q125"/>
    <mergeCell ref="O126:Q126"/>
    <mergeCell ref="O124:Q124"/>
  </mergeCells>
  <conditionalFormatting sqref="G74">
    <cfRule type="iconSet" priority="8">
      <iconSet iconSet="5ArrowsGray">
        <cfvo type="percent" val="0"/>
        <cfvo type="num" val="-1000"/>
        <cfvo type="num" val="-200"/>
        <cfvo type="num" val="200"/>
        <cfvo type="num" val="1000"/>
      </iconSet>
    </cfRule>
  </conditionalFormatting>
  <conditionalFormatting sqref="K74:L74">
    <cfRule type="iconSet" priority="3">
      <iconSet iconSet="4ArrowsGray">
        <cfvo type="percent" val="0"/>
        <cfvo type="num" val="-0.05"/>
        <cfvo type="num" val="0.05"/>
        <cfvo type="num" val="0.1"/>
      </iconSet>
    </cfRule>
  </conditionalFormatting>
  <conditionalFormatting sqref="Q74:R74">
    <cfRule type="iconSet" priority="1">
      <iconSet iconSet="4ArrowsGray">
        <cfvo type="percent" val="0"/>
        <cfvo type="num" val="-0.05"/>
        <cfvo type="num" val="0.05"/>
        <cfvo type="num" val="0.1"/>
      </iconSet>
    </cfRule>
  </conditionalFormatting>
  <hyperlinks>
    <hyperlink ref="A8" location="Glossaire!A161" display="Ratio régional de spécialisation de la valeur ajoutée par rapport à la France métropolitaine en 2013"/>
    <hyperlink ref="A8:J8" location="Glossaire!A156" display="Ratio régional de spécialisation de la valeur ajoutée en 2013"/>
    <hyperlink ref="A60:J60" location="Glossaire!A199" display="Balance commerciale exprimée en million d'euros"/>
    <hyperlink ref="A104" location="Glossaire!A205" display="Activité aéroportuaire en 2014"/>
    <hyperlink ref="A128" location="Glossaire!A197" display="Activités portuaires en 2015"/>
    <hyperlink ref="A104:E104" location="Glossaire!A205" display="Activité aéroportuaire en 2014"/>
    <hyperlink ref="A128:C128" location="Glossaire!A211" display="Activtés portuaires "/>
    <hyperlink ref="A8:R8" location="Glossaire!A161" display="Ratio régional de spécialisation de la valeur ajoutée par rapport à la France métropolitaine en 2014"/>
    <hyperlink ref="A60:I60" location="Glossaire!A231" display="Balance commerciale exprimée en millions d'euros"/>
    <hyperlink ref="A104:F104" location="Glossaire!A195" display="Activités aéroportuaires en 2015"/>
    <hyperlink ref="A132:B132" location="Glossaire!A197" display="Trafic 2014"/>
    <hyperlink ref="A128:E128" location="Glossaire!A197" display="Activités portuaires en 2015"/>
    <hyperlink ref="A8:Q8" location="Glossaire!A203" display="Spécialisation régionale de la valeur ajoutée par rapport à la France métropolitaine en 2014"/>
    <hyperlink ref="A104:G104" location="Glossaire!A237" display="Activités aéroportuaires en 2015"/>
    <hyperlink ref="A128:F128" location="Glossaire!A243" display="Activités portuaires en 2015"/>
    <hyperlink ref="A26:L26" location="Glossaire!A222" display="PIB par habitant en $ des Aires Urbaines Fonctionnelles en 2012"/>
  </hyperlink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mars 2017</oddHeader>
    <oddFooter>&amp;C&amp;"-,Italique"&amp;8&amp;A&amp;R&amp;8Page &amp;P</oddFooter>
  </headerFooter>
  <rowBreaks count="2" manualBreakCount="2">
    <brk id="51" max="16383" man="1"/>
    <brk id="95"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'D_Ch4-2'!$A$7:$A$18</xm:f>
          </x14:formula1>
          <xm:sqref>A125:A126</xm:sqref>
        </x14:dataValidation>
        <x14:dataValidation type="list" allowBlank="1" showInputMessage="1" showErrorMessage="1">
          <x14:formula1>
            <xm:f>'D_Ch4-2'!$A$50:$A$61</xm:f>
          </x14:formula1>
          <xm:sqref>G130:J131</xm:sqref>
        </x14:dataValidation>
        <x14:dataValidation type="list" allowBlank="1" showInputMessage="1" showErrorMessage="1">
          <x14:formula1>
            <xm:f>'D_Ch4-3'!$K$5:$K$19</xm:f>
          </x14:formula1>
          <xm:sqref>H59:K59 N59:Q59</xm:sqref>
        </x14:dataValidation>
        <x14:dataValidation type="list" allowBlank="1" showInputMessage="1" showErrorMessage="1">
          <x14:formula1>
            <xm:f>'D_Ch4-1'!$A$7:$A$15</xm:f>
          </x14:formula1>
          <xm:sqref>D9:H9 N9:R9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1"/>
  <sheetViews>
    <sheetView showGridLines="0" view="pageLayout" zoomScaleNormal="100" workbookViewId="0">
      <selection activeCell="A6" sqref="A6:T7"/>
    </sheetView>
  </sheetViews>
  <sheetFormatPr baseColWidth="10" defaultColWidth="0" defaultRowHeight="15" zeroHeight="1"/>
  <cols>
    <col min="1" max="20" width="4.7109375" style="339" customWidth="1"/>
    <col min="21" max="21" width="1.42578125" style="247" customWidth="1"/>
    <col min="22" max="16384" width="11.42578125" style="247" hidden="1"/>
  </cols>
  <sheetData>
    <row r="1" spans="1:21" s="208" customFormat="1" ht="15" customHeight="1">
      <c r="A1" s="205"/>
      <c r="B1" s="206"/>
      <c r="C1" s="207"/>
      <c r="D1" s="207"/>
      <c r="E1" s="207"/>
      <c r="F1" s="985" t="s">
        <v>1369</v>
      </c>
      <c r="G1" s="977"/>
      <c r="H1" s="977"/>
      <c r="I1" s="977"/>
      <c r="J1" s="977"/>
      <c r="K1" s="977"/>
      <c r="L1" s="977"/>
      <c r="M1" s="977"/>
      <c r="N1" s="977"/>
      <c r="O1" s="977"/>
      <c r="P1" s="977"/>
      <c r="Q1" s="977"/>
      <c r="R1" s="977"/>
      <c r="S1" s="977"/>
      <c r="T1" s="977"/>
      <c r="U1" s="622"/>
    </row>
    <row r="2" spans="1:21" s="208" customFormat="1" ht="12.75" customHeight="1">
      <c r="A2" s="209"/>
      <c r="B2" s="207"/>
      <c r="C2" s="207"/>
      <c r="D2" s="207"/>
      <c r="E2" s="207"/>
      <c r="F2" s="985"/>
      <c r="G2" s="977"/>
      <c r="H2" s="977"/>
      <c r="I2" s="977"/>
      <c r="J2" s="977"/>
      <c r="K2" s="977"/>
      <c r="L2" s="977"/>
      <c r="M2" s="977"/>
      <c r="N2" s="977"/>
      <c r="O2" s="977"/>
      <c r="P2" s="977"/>
      <c r="Q2" s="977"/>
      <c r="R2" s="977"/>
      <c r="S2" s="977"/>
      <c r="T2" s="977"/>
      <c r="U2" s="622"/>
    </row>
    <row r="3" spans="1:21" s="208" customFormat="1" ht="15" customHeight="1">
      <c r="A3" s="210"/>
      <c r="B3" s="207"/>
      <c r="C3" s="207"/>
      <c r="D3" s="207"/>
      <c r="E3" s="207"/>
      <c r="F3" s="985"/>
      <c r="G3" s="977"/>
      <c r="H3" s="977"/>
      <c r="I3" s="977"/>
      <c r="J3" s="977"/>
      <c r="K3" s="977"/>
      <c r="L3" s="977"/>
      <c r="M3" s="977"/>
      <c r="N3" s="977"/>
      <c r="O3" s="977"/>
      <c r="P3" s="977"/>
      <c r="Q3" s="977"/>
      <c r="R3" s="977"/>
      <c r="S3" s="977"/>
      <c r="T3" s="977"/>
      <c r="U3" s="622"/>
    </row>
    <row r="4" spans="1:21" customFormat="1" ht="12.75" customHeight="1">
      <c r="F4" s="985"/>
      <c r="G4" s="977"/>
      <c r="H4" s="977"/>
      <c r="I4" s="977"/>
      <c r="J4" s="977"/>
      <c r="K4" s="977"/>
      <c r="L4" s="977"/>
      <c r="M4" s="977"/>
      <c r="N4" s="977"/>
      <c r="O4" s="977"/>
      <c r="P4" s="977"/>
      <c r="Q4" s="977"/>
      <c r="R4" s="977"/>
      <c r="S4" s="977"/>
      <c r="T4" s="977"/>
    </row>
    <row r="5" spans="1:21" customFormat="1" ht="5.25" customHeight="1"/>
    <row r="6" spans="1:21" s="208" customFormat="1" ht="15" customHeight="1">
      <c r="A6" s="875" t="s">
        <v>1964</v>
      </c>
      <c r="B6" s="875"/>
      <c r="C6" s="875"/>
      <c r="D6" s="875"/>
      <c r="E6" s="875"/>
      <c r="F6" s="875"/>
      <c r="G6" s="875"/>
      <c r="H6" s="875"/>
      <c r="I6" s="875"/>
      <c r="J6" s="875"/>
      <c r="K6" s="875"/>
      <c r="L6" s="875"/>
      <c r="M6" s="875"/>
      <c r="N6" s="875"/>
      <c r="O6" s="875"/>
      <c r="P6" s="875"/>
      <c r="Q6" s="875"/>
      <c r="R6" s="875"/>
      <c r="S6" s="875"/>
      <c r="T6" s="875"/>
      <c r="U6" s="860"/>
    </row>
    <row r="7" spans="1:21" s="208" customFormat="1" ht="15" customHeight="1">
      <c r="A7" s="875"/>
      <c r="B7" s="875"/>
      <c r="C7" s="875"/>
      <c r="D7" s="875"/>
      <c r="E7" s="875"/>
      <c r="F7" s="875"/>
      <c r="G7" s="875"/>
      <c r="H7" s="875"/>
      <c r="I7" s="875"/>
      <c r="J7" s="875"/>
      <c r="K7" s="875"/>
      <c r="L7" s="875"/>
      <c r="M7" s="875"/>
      <c r="N7" s="875"/>
      <c r="O7" s="875"/>
      <c r="P7" s="875"/>
      <c r="Q7" s="875"/>
      <c r="R7" s="875"/>
      <c r="S7" s="875"/>
      <c r="T7" s="875"/>
      <c r="U7" s="860"/>
    </row>
    <row r="8" spans="1:21" s="225" customFormat="1" ht="7.5" customHeight="1" thickBot="1">
      <c r="A8" s="432"/>
      <c r="B8" s="432"/>
      <c r="C8" s="432"/>
      <c r="D8" s="432"/>
      <c r="E8" s="432"/>
      <c r="F8" s="432"/>
      <c r="G8" s="432"/>
      <c r="H8" s="432"/>
      <c r="I8" s="432"/>
      <c r="J8" s="432"/>
      <c r="K8" s="432"/>
      <c r="L8" s="432"/>
      <c r="M8" s="432"/>
      <c r="N8" s="432"/>
      <c r="O8" s="432"/>
      <c r="P8" s="432"/>
      <c r="Q8" s="432"/>
      <c r="R8" s="432"/>
      <c r="S8" s="432"/>
      <c r="T8" s="432"/>
    </row>
    <row r="9" spans="1:21" ht="16.5" thickTop="1" thickBot="1">
      <c r="A9" s="889" t="s">
        <v>1407</v>
      </c>
      <c r="B9" s="890"/>
      <c r="C9" s="891"/>
      <c r="H9" s="876" t="s">
        <v>2</v>
      </c>
      <c r="I9" s="877"/>
      <c r="J9" s="877"/>
      <c r="K9" s="877"/>
      <c r="L9" s="877"/>
      <c r="M9" s="878"/>
      <c r="N9" s="809"/>
      <c r="O9" s="1202" t="s">
        <v>737</v>
      </c>
      <c r="P9" s="1203"/>
      <c r="Q9" s="1203"/>
      <c r="R9" s="1203"/>
      <c r="S9" s="1204"/>
    </row>
    <row r="10" spans="1:21" s="269" customFormat="1" ht="7.5" customHeight="1" thickTop="1">
      <c r="A10" s="560"/>
      <c r="B10" s="560"/>
      <c r="C10" s="560"/>
      <c r="D10" s="561"/>
      <c r="E10" s="561"/>
      <c r="F10" s="561"/>
      <c r="G10" s="561"/>
      <c r="H10"/>
      <c r="I10"/>
      <c r="J10"/>
      <c r="K10"/>
      <c r="L10"/>
      <c r="M10"/>
      <c r="N10" s="561"/>
      <c r="O10"/>
      <c r="P10"/>
      <c r="Q10"/>
      <c r="R10"/>
      <c r="S10"/>
      <c r="T10" s="561"/>
    </row>
    <row r="11" spans="1:21">
      <c r="A11" s="460" t="s">
        <v>1516</v>
      </c>
      <c r="B11" s="460"/>
      <c r="C11" s="460"/>
      <c r="D11" s="460"/>
      <c r="E11" s="436"/>
    </row>
    <row r="12" spans="1:21" s="248" customFormat="1" ht="7.5" customHeight="1">
      <c r="A12" s="339"/>
      <c r="B12" s="339"/>
      <c r="C12" s="339"/>
      <c r="D12" s="339"/>
      <c r="E12" s="339"/>
      <c r="F12" s="339"/>
      <c r="G12" s="339"/>
      <c r="H12" s="339"/>
      <c r="I12" s="339"/>
      <c r="J12" s="339"/>
      <c r="K12" s="339"/>
      <c r="L12" s="339"/>
      <c r="M12" s="339"/>
      <c r="N12" s="339"/>
      <c r="O12" s="339"/>
      <c r="P12" s="339"/>
      <c r="Q12" s="339"/>
      <c r="R12" s="339"/>
      <c r="S12" s="339"/>
      <c r="T12" s="562"/>
    </row>
    <row r="13" spans="1:21" ht="38.25" customHeight="1">
      <c r="A13" s="1211" t="s">
        <v>1863</v>
      </c>
      <c r="B13" s="1212"/>
      <c r="C13" s="1212"/>
      <c r="D13" s="1212"/>
      <c r="E13" s="1212"/>
      <c r="F13" s="1212"/>
      <c r="G13" s="1213"/>
      <c r="H13" s="1214" t="s">
        <v>1599</v>
      </c>
      <c r="I13" s="1215"/>
      <c r="J13" s="1216"/>
      <c r="K13" s="1214" t="s">
        <v>1754</v>
      </c>
      <c r="L13" s="1215"/>
      <c r="M13" s="1216"/>
      <c r="N13" s="1214" t="s">
        <v>1542</v>
      </c>
      <c r="O13" s="1215"/>
      <c r="P13" s="1216"/>
      <c r="Q13" s="1214" t="s">
        <v>1529</v>
      </c>
      <c r="R13" s="1215"/>
      <c r="S13" s="1216"/>
      <c r="T13" s="420"/>
    </row>
    <row r="14" spans="1:21">
      <c r="A14" s="563" t="str">
        <f>H9</f>
        <v>Bordeaux</v>
      </c>
      <c r="B14" s="564"/>
      <c r="C14" s="564"/>
      <c r="D14" s="564"/>
      <c r="E14" s="564"/>
      <c r="F14" s="564"/>
      <c r="G14" s="565"/>
      <c r="H14" s="1167">
        <f>VLOOKUP($H$9,'D_Ch6-1'!$B$33:$H$62,MATCH("Inscript N-1",'D_Ch6-1'!$B$33:$H$33,0),FALSE)</f>
        <v>121428</v>
      </c>
      <c r="I14" s="1192"/>
      <c r="J14" s="1165"/>
      <c r="K14" s="1205">
        <f>VLOOKUP($H$9,'D_Ch6-1'!$B$33:$H$62,MATCH("Etudiant/hab",'D_Ch6-1'!$B$33:$H$33,0),FALSE)</f>
        <v>3.6609003195464181E-2</v>
      </c>
      <c r="L14" s="1206"/>
      <c r="M14" s="1207"/>
      <c r="N14" s="1208">
        <f>VLOOKUP($H$9,'D_Ch6-1'!$B$33:$H$62,MATCH("Rang N-1",'D_Ch6-1'!$B$33:$H$33,0),FALSE)</f>
        <v>8</v>
      </c>
      <c r="O14" s="1209"/>
      <c r="P14" s="1210"/>
      <c r="Q14" s="1205">
        <f>VLOOKUP($H$9,'D_Ch6-1'!$B$33:$H$62,MATCH("Evolution",'D_Ch6-1'!$B$33:$H$33,0),FALSE)</f>
        <v>2.9303811953785251E-2</v>
      </c>
      <c r="R14" s="1206"/>
      <c r="S14" s="1207"/>
      <c r="T14" s="420"/>
    </row>
    <row r="15" spans="1:21">
      <c r="A15" s="566" t="str">
        <f>O9</f>
        <v>Nantes</v>
      </c>
      <c r="B15" s="567"/>
      <c r="C15" s="567"/>
      <c r="D15" s="567"/>
      <c r="E15" s="567"/>
      <c r="F15" s="567"/>
      <c r="G15" s="568"/>
      <c r="H15" s="1167">
        <f>VLOOKUP($O$9,'D_Ch6-1'!$B$33:$H$62,MATCH("Inscript N-1",'D_Ch6-1'!$B$33:$H$33,0),FALSE)</f>
        <v>127159</v>
      </c>
      <c r="I15" s="1192"/>
      <c r="J15" s="1165"/>
      <c r="K15" s="1205">
        <f>VLOOKUP($O$9,'D_Ch6-1'!$B$33:$H$62,MATCH("Etudiant/hab",'D_Ch6-1'!$B$33:$H$33,0),FALSE)</f>
        <v>3.4734810366548553E-2</v>
      </c>
      <c r="L15" s="1206"/>
      <c r="M15" s="1207"/>
      <c r="N15" s="1208">
        <f>VLOOKUP($O$9,'D_Ch6-1'!$B$33:$H$62,MATCH("Rang N-1",'D_Ch6-1'!$B$33:$H$33,0),FALSE)</f>
        <v>9</v>
      </c>
      <c r="O15" s="1209"/>
      <c r="P15" s="1210"/>
      <c r="Q15" s="1205">
        <f>VLOOKUP($O$9,'D_Ch6-1'!$B$33:$H$62,MATCH("Evolution",'D_Ch6-1'!$B$33:$H$33,0),FALSE)</f>
        <v>2.7041216047039438E-2</v>
      </c>
      <c r="R15" s="1206"/>
      <c r="S15" s="1207"/>
      <c r="T15" s="420"/>
    </row>
    <row r="16" spans="1:21"/>
    <row r="17" spans="1:17">
      <c r="A17" s="460" t="s">
        <v>2032</v>
      </c>
      <c r="B17" s="460"/>
      <c r="C17" s="460"/>
      <c r="D17" s="460"/>
      <c r="E17" s="436"/>
      <c r="F17" s="460"/>
      <c r="G17" s="460"/>
      <c r="H17" s="460"/>
      <c r="I17" s="460"/>
      <c r="J17" s="436"/>
      <c r="K17" s="460"/>
      <c r="L17" s="460"/>
      <c r="M17" s="460"/>
      <c r="N17" s="460"/>
      <c r="O17" s="436"/>
      <c r="P17" s="436"/>
    </row>
    <row r="18" spans="1:17">
      <c r="A18" s="569" t="s">
        <v>1942</v>
      </c>
      <c r="Q18" s="561"/>
    </row>
    <row r="19" spans="1:17"/>
    <row r="20" spans="1:17"/>
    <row r="21" spans="1:17"/>
    <row r="22" spans="1:17"/>
    <row r="23" spans="1:17"/>
    <row r="24" spans="1:17"/>
    <row r="25" spans="1:17"/>
    <row r="26" spans="1:17"/>
    <row r="27" spans="1:17"/>
    <row r="28" spans="1:17"/>
    <row r="29" spans="1:17"/>
    <row r="30" spans="1:17"/>
    <row r="31" spans="1:17"/>
    <row r="32" spans="1:17"/>
    <row r="33" spans="1:27">
      <c r="A33" s="460" t="s">
        <v>1584</v>
      </c>
      <c r="B33" s="436"/>
      <c r="C33" s="460"/>
      <c r="D33" s="436"/>
      <c r="E33" s="436"/>
      <c r="F33" s="460"/>
      <c r="G33" s="436"/>
      <c r="H33" s="460"/>
      <c r="I33" s="436"/>
      <c r="J33" s="436"/>
      <c r="K33" s="460"/>
      <c r="L33" s="436"/>
    </row>
    <row r="34" spans="1:27" s="269" customFormat="1" ht="15.75" thickBot="1">
      <c r="A34" s="435"/>
      <c r="B34" s="339"/>
      <c r="C34" s="339"/>
      <c r="D34" s="339"/>
      <c r="E34" s="339"/>
      <c r="F34" s="339"/>
      <c r="G34" s="339"/>
      <c r="H34" s="339"/>
      <c r="I34" s="339"/>
      <c r="J34" s="339"/>
      <c r="K34" s="339"/>
      <c r="L34" s="339"/>
      <c r="M34" s="339"/>
      <c r="N34" s="339"/>
      <c r="O34" s="339"/>
      <c r="P34" s="339"/>
      <c r="Q34" s="339"/>
      <c r="R34" s="339"/>
      <c r="S34" s="339"/>
      <c r="T34" s="561"/>
    </row>
    <row r="35" spans="1:27" s="256" customFormat="1" ht="16.5" thickTop="1" thickBot="1">
      <c r="A35" s="339"/>
      <c r="B35" s="339"/>
      <c r="C35" s="339"/>
      <c r="D35" s="339"/>
      <c r="E35" s="339"/>
      <c r="F35" s="339"/>
      <c r="G35" s="339"/>
      <c r="H35" s="876" t="s">
        <v>1838</v>
      </c>
      <c r="I35" s="877"/>
      <c r="J35" s="877"/>
      <c r="K35" s="877"/>
      <c r="L35" s="877"/>
      <c r="M35" s="878"/>
      <c r="N35" s="809"/>
      <c r="O35" s="1202" t="s">
        <v>790</v>
      </c>
      <c r="P35" s="1203"/>
      <c r="Q35" s="1203"/>
      <c r="R35" s="1203"/>
      <c r="S35" s="1204"/>
      <c r="T35" s="570"/>
    </row>
    <row r="36" spans="1:27" s="228" customFormat="1" ht="15.75" thickTop="1">
      <c r="A36" s="561"/>
      <c r="B36" s="561"/>
      <c r="C36" s="561"/>
      <c r="D36" s="561"/>
      <c r="E36" s="561"/>
      <c r="F36" s="561"/>
      <c r="G36" s="561"/>
      <c r="H36"/>
      <c r="I36"/>
      <c r="J36"/>
      <c r="K36"/>
      <c r="L36"/>
      <c r="M36"/>
      <c r="N36" s="561"/>
      <c r="O36"/>
      <c r="P36"/>
      <c r="Q36"/>
      <c r="R36"/>
      <c r="S36"/>
      <c r="T36" s="420"/>
    </row>
    <row r="37" spans="1:27" s="228" customFormat="1" ht="33" customHeight="1">
      <c r="A37" s="570"/>
      <c r="B37" s="570"/>
      <c r="C37" s="570"/>
      <c r="D37" s="570"/>
      <c r="E37" s="570"/>
      <c r="F37" s="1193" t="s">
        <v>1915</v>
      </c>
      <c r="G37" s="1194"/>
      <c r="H37" s="1194"/>
      <c r="I37" s="1195"/>
      <c r="J37" s="1193" t="s">
        <v>1583</v>
      </c>
      <c r="K37" s="1194"/>
      <c r="L37" s="1195"/>
      <c r="M37" s="1193" t="s">
        <v>1617</v>
      </c>
      <c r="N37" s="1194"/>
      <c r="O37" s="1195"/>
      <c r="P37" s="1193" t="s">
        <v>1933</v>
      </c>
      <c r="Q37" s="1195"/>
      <c r="R37" s="1193" t="s">
        <v>1182</v>
      </c>
      <c r="S37" s="1195"/>
      <c r="T37" s="420"/>
    </row>
    <row r="38" spans="1:27" s="228" customFormat="1" ht="15" customHeight="1">
      <c r="A38" s="1183" t="str">
        <f>$H$35</f>
        <v>Nouvelle-Aquitaine</v>
      </c>
      <c r="B38" s="1184"/>
      <c r="C38" s="1184"/>
      <c r="D38" s="1184"/>
      <c r="E38" s="1185"/>
      <c r="F38" s="1167">
        <f>VLOOKUP($H$35,'D_Ch6-2'!$A$9:$L$23,MATCH("nombre de chercheurs N-1",'D_Ch6-2'!$A$9:$L$9,0),FALSE)</f>
        <v>12273.313250000001</v>
      </c>
      <c r="G38" s="1192"/>
      <c r="H38" s="1192"/>
      <c r="I38" s="1165"/>
      <c r="J38" s="1162">
        <f>VLOOKUP($H$35,'D_Ch6-2'!$A$9:$L$23,MATCH("Part dans la pop active",'D_Ch6-2'!$A$9:$L$9,0),FALSE)</f>
        <v>4.6391796708559431E-3</v>
      </c>
      <c r="K38" s="1163"/>
      <c r="L38" s="1166"/>
      <c r="M38" s="1199">
        <f>VLOOKUP($H$35,'D_Ch6-2'!$A$9:$L$23,MATCH("Rang",'D_Ch6-2'!$A$9:$L$9,0),FALSE)</f>
        <v>9</v>
      </c>
      <c r="N38" s="1200"/>
      <c r="O38" s="1201"/>
      <c r="P38" s="1162">
        <f>(VLOOKUP($H$35,'D_Ch6-2'!$A$9:$L$23,MATCH("Evol N-2_N-1",'D_Ch6-2'!$A$9:$L$9,0),FALSE))</f>
        <v>3.0307082269159107E-2</v>
      </c>
      <c r="Q38" s="1166">
        <f>VLOOKUP($H$35,'D_Ch6-2'!$A$9:$L$20,MATCH("Rang",'D_Ch6-2'!$A$9:$L$9,0),FALSE)</f>
        <v>9</v>
      </c>
      <c r="R38" s="1162">
        <f>VLOOKUP($H$35,'D_Ch6-2'!$A$9:$L$23,MATCH("Part Chercheur privé ",'D_Ch6-2'!$A$9:$L$9,0),FALSE)/100</f>
        <v>5.3045721781769077E-3</v>
      </c>
      <c r="S38" s="1166">
        <f>VLOOKUP($H$35,'D_Ch6-2'!$A$9:$L$20,MATCH("Rang",'D_Ch6-2'!$A$9:$L$9,0),FALSE)</f>
        <v>9</v>
      </c>
      <c r="T38" s="420"/>
    </row>
    <row r="39" spans="1:27">
      <c r="A39" s="1186" t="str">
        <f>$O$35</f>
        <v>Pays de la Loire</v>
      </c>
      <c r="B39" s="1187"/>
      <c r="C39" s="1187"/>
      <c r="D39" s="1187"/>
      <c r="E39" s="1188"/>
      <c r="F39" s="1167">
        <f>VLOOKUP($O$35,'D_Ch6-2'!$A$9:$L$23,MATCH("nombre de chercheurs N-1",'D_Ch6-2'!$A$9:$L$9,0),FALSE)</f>
        <v>8084.4971099999993</v>
      </c>
      <c r="G39" s="1192"/>
      <c r="H39" s="1192"/>
      <c r="I39" s="1165"/>
      <c r="J39" s="1162">
        <f>VLOOKUP($O$35,'D_Ch6-2'!$A$9:$L$23,MATCH("Part dans la pop active",'D_Ch6-2'!$A$9:$L$9,0),FALSE)</f>
        <v>4.7396154716665721E-3</v>
      </c>
      <c r="K39" s="1163"/>
      <c r="L39" s="1166"/>
      <c r="M39" s="1199">
        <f>VLOOKUP($O$35,'D_Ch6-2'!$A$9:$L$23,MATCH("Rang",'D_Ch6-2'!$A$9:$L$9,0),FALSE)</f>
        <v>7</v>
      </c>
      <c r="N39" s="1200"/>
      <c r="O39" s="1201"/>
      <c r="P39" s="1162">
        <f>(VLOOKUP($O$35,'D_Ch6-2'!$A$9:$L$23,MATCH("Evol N-2_N-1",'D_Ch6-2'!$A$9:$L$9,0),FALSE))</f>
        <v>7.9397943861927636E-3</v>
      </c>
      <c r="Q39" s="1166">
        <f>VLOOKUP($H$35,'D_Ch6-2'!$A$9:$L$20,MATCH("Rang",'D_Ch6-2'!$A$9:$L$9,0),FALSE)</f>
        <v>9</v>
      </c>
      <c r="R39" s="1162">
        <f>VLOOKUP($O$35,'D_Ch6-2'!$A$9:$L$23,MATCH("Part Chercheur privé ",'D_Ch6-2'!$A$9:$L$9,0),FALSE)/100</f>
        <v>6.070999016041456E-3</v>
      </c>
      <c r="S39" s="1166">
        <f>VLOOKUP($H$35,'D_Ch6-2'!$A$9:$L$20,MATCH("Rang",'D_Ch6-2'!$A$9:$L$9,0),FALSE)</f>
        <v>9</v>
      </c>
      <c r="X39" s="460"/>
      <c r="Y39" s="436"/>
      <c r="Z39" s="436"/>
      <c r="AA39" s="436"/>
    </row>
    <row r="40" spans="1:27" ht="7.5" customHeight="1" thickBot="1"/>
    <row r="41" spans="1:27" ht="16.5" thickTop="1" thickBot="1">
      <c r="A41" s="460" t="s">
        <v>1519</v>
      </c>
      <c r="B41" s="436"/>
      <c r="C41" s="460" t="s">
        <v>1518</v>
      </c>
      <c r="D41" s="436"/>
      <c r="E41" s="436"/>
      <c r="H41" s="876" t="s">
        <v>74</v>
      </c>
      <c r="I41" s="877"/>
      <c r="J41" s="877"/>
      <c r="K41" s="877"/>
      <c r="L41" s="877"/>
      <c r="M41" s="878"/>
      <c r="N41" s="809"/>
      <c r="O41" s="1202" t="s">
        <v>790</v>
      </c>
      <c r="P41" s="1203"/>
      <c r="Q41" s="1203"/>
      <c r="R41" s="1203"/>
      <c r="S41" s="1204"/>
    </row>
    <row r="42" spans="1:27" ht="6.75" customHeight="1" thickTop="1">
      <c r="D42" s="436"/>
      <c r="I42" s="571"/>
      <c r="J42" s="571"/>
      <c r="K42" s="571"/>
      <c r="L42" s="571"/>
      <c r="P42" s="324"/>
      <c r="Q42" s="324"/>
      <c r="R42" s="324"/>
      <c r="S42" s="324"/>
      <c r="T42" s="324"/>
    </row>
    <row r="43" spans="1:27" ht="36" customHeight="1">
      <c r="A43" s="570"/>
      <c r="B43" s="570"/>
      <c r="C43" s="570"/>
      <c r="D43" s="850"/>
      <c r="E43" s="570"/>
      <c r="F43" s="1193" t="s">
        <v>1399</v>
      </c>
      <c r="G43" s="1194"/>
      <c r="H43" s="1194"/>
      <c r="I43" s="1195"/>
      <c r="J43" s="1193" t="s">
        <v>1965</v>
      </c>
      <c r="K43" s="1194"/>
      <c r="L43" s="1195"/>
      <c r="M43" s="1193" t="s">
        <v>204</v>
      </c>
      <c r="N43" s="1194"/>
      <c r="O43" s="1195"/>
      <c r="P43" s="324"/>
      <c r="Q43" s="324"/>
      <c r="R43" s="324"/>
      <c r="S43" s="324"/>
      <c r="T43" s="324"/>
      <c r="V43" s="174"/>
    </row>
    <row r="44" spans="1:27">
      <c r="A44" s="1183" t="str">
        <f>$H$41</f>
        <v>Aquitaine</v>
      </c>
      <c r="B44" s="1184"/>
      <c r="C44" s="1184"/>
      <c r="D44" s="1184"/>
      <c r="E44" s="1185"/>
      <c r="F44" s="1167">
        <f>VLOOKUP($H$41,'D_Ch6-2'!$A$26:$L$37,MATCH("Nombre de brevets",'D_Ch6-2'!$A$26:$L$26,0),FALSE)</f>
        <v>330</v>
      </c>
      <c r="G44" s="1192"/>
      <c r="H44" s="1192"/>
      <c r="I44" s="1165"/>
      <c r="J44" s="1196">
        <f>VLOOKUP($H$41,'D_Ch6-2'!$A$26:$L$37,MATCH("Nb brevets pour 10000 emplois",'D_Ch6-2'!$A$26:$L$26,0),FALSE)</f>
        <v>2.5341729381047458</v>
      </c>
      <c r="K44" s="1197"/>
      <c r="L44" s="1198"/>
      <c r="M44" s="1199">
        <f>VLOOKUP($H$41,'D_Ch6-2'!$A$26:$L$37,MATCH("Rang brevet",'D_Ch6-2'!$A$26:$L$26,0),FALSE)</f>
        <v>8</v>
      </c>
      <c r="N44" s="1200"/>
      <c r="O44" s="1201"/>
      <c r="P44" s="324"/>
      <c r="Q44" s="324"/>
      <c r="R44" s="324"/>
      <c r="S44" s="324"/>
      <c r="T44" s="324"/>
    </row>
    <row r="45" spans="1:27">
      <c r="A45" s="1186" t="str">
        <f>$O$41</f>
        <v>Pays de la Loire</v>
      </c>
      <c r="B45" s="1187"/>
      <c r="C45" s="1187"/>
      <c r="D45" s="1187"/>
      <c r="E45" s="1188"/>
      <c r="F45" s="1167">
        <f>VLOOKUP($O$41,'D_Ch6-2'!$A$26:$L$37,MATCH("Nombre de brevets",'D_Ch6-2'!$A$26:$L$26,0),FALSE)</f>
        <v>349</v>
      </c>
      <c r="G45" s="1192"/>
      <c r="H45" s="1192"/>
      <c r="I45" s="1165"/>
      <c r="J45" s="1196">
        <f>VLOOKUP($O$41,'D_Ch6-2'!$A$26:$L$37,MATCH("Nb brevets pour 10000 emplois",'D_Ch6-2'!$A$26:$L$26,0),FALSE)</f>
        <v>2.3720519268673961</v>
      </c>
      <c r="K45" s="1197"/>
      <c r="L45" s="1198"/>
      <c r="M45" s="1199">
        <f>VLOOKUP($O$41,'D_Ch6-2'!$A$26:$L$37,MATCH("Rang brevet",'D_Ch6-2'!$A$26:$L$26,0),FALSE)</f>
        <v>9</v>
      </c>
      <c r="N45" s="1200"/>
      <c r="O45" s="1201"/>
      <c r="P45" s="324"/>
      <c r="Q45" s="324"/>
      <c r="R45" s="324"/>
      <c r="S45" s="324"/>
      <c r="T45" s="324"/>
    </row>
    <row r="46" spans="1:27" ht="15" customHeight="1"/>
    <row r="47" spans="1:27" ht="34.5" customHeight="1">
      <c r="A47" s="570"/>
      <c r="B47" s="570"/>
      <c r="C47" s="570"/>
      <c r="D47" s="570"/>
      <c r="E47" s="570"/>
      <c r="F47" s="1193" t="s">
        <v>1864</v>
      </c>
      <c r="G47" s="1194"/>
      <c r="H47" s="1194"/>
      <c r="I47" s="1195"/>
      <c r="J47" s="1193" t="s">
        <v>1966</v>
      </c>
      <c r="K47" s="1194"/>
      <c r="L47" s="1195"/>
      <c r="M47" s="1193" t="s">
        <v>204</v>
      </c>
      <c r="N47" s="1194"/>
      <c r="O47" s="1195"/>
      <c r="P47" s="1193" t="s">
        <v>1865</v>
      </c>
      <c r="Q47" s="1194"/>
      <c r="R47" s="1195"/>
      <c r="S47" s="324"/>
    </row>
    <row r="48" spans="1:27">
      <c r="A48" s="1183" t="str">
        <f>$H$41</f>
        <v>Aquitaine</v>
      </c>
      <c r="B48" s="1184"/>
      <c r="C48" s="1184"/>
      <c r="D48" s="1184"/>
      <c r="E48" s="1185"/>
      <c r="F48" s="1167">
        <f>VLOOKUP($H$41,'D_Ch6-2'!$A$26:$J$37,MATCH("Nombre de publications",'D_Ch6-2'!$A$26:$J$26,0),FALSE)</f>
        <v>1999.7537026</v>
      </c>
      <c r="G48" s="1192"/>
      <c r="H48" s="1192"/>
      <c r="I48" s="1165"/>
      <c r="J48" s="1196">
        <f>VLOOKUP($H$41,'D_Ch6-2'!$A$26:$J$37,MATCH("Nb publications pour 10000 emplois",'D_Ch6-2'!$A$26:$J$26,0),FALSE)</f>
        <v>15.182357930449532</v>
      </c>
      <c r="K48" s="1197"/>
      <c r="L48" s="1198"/>
      <c r="M48" s="1167">
        <f>VLOOKUP($H$41,'D_Ch6-2'!$A$26:$L$37,MATCH("Rang publication",'D_Ch6-2'!$A$26:$L$26,0),FALSE)</f>
        <v>6</v>
      </c>
      <c r="N48" s="1192"/>
      <c r="O48" s="1165"/>
      <c r="P48" s="1162">
        <f>VLOOKUP($H$41,'D_Ch6-2'!$A$26:$L$37,MATCH("Evolution N-2 / N-1",'D_Ch6-2'!$A$26:$L$26,0),FALSE)</f>
        <v>1.5618944946673437E-2</v>
      </c>
      <c r="Q48" s="1163"/>
      <c r="R48" s="1166"/>
      <c r="S48" s="324"/>
    </row>
    <row r="49" spans="1:21">
      <c r="A49" s="1186" t="str">
        <f>$O$41</f>
        <v>Pays de la Loire</v>
      </c>
      <c r="B49" s="1187"/>
      <c r="C49" s="1187"/>
      <c r="D49" s="1187"/>
      <c r="E49" s="1188"/>
      <c r="F49" s="1167">
        <f>VLOOKUP($O$41,'D_Ch6-2'!$A$26:$J$37,MATCH("Nombre de publications",'D_Ch6-2'!$A$26:$J$26,0),FALSE)</f>
        <v>1657.5869253000001</v>
      </c>
      <c r="G49" s="1192"/>
      <c r="H49" s="1192"/>
      <c r="I49" s="1165"/>
      <c r="J49" s="1189">
        <f>VLOOKUP($O$41,'D_Ch6-2'!$A$26:$J$37,MATCH("Nb publications pour 10000 emplois",'D_Ch6-2'!$A$26:$J$26,0),FALSE)</f>
        <v>12.707182320441991</v>
      </c>
      <c r="K49" s="1190"/>
      <c r="L49" s="1191"/>
      <c r="M49" s="1167">
        <f>VLOOKUP($O$41,'D_Ch6-2'!$A$26:$L$37,MATCH("Rang publication",'D_Ch6-2'!$A$26:$L$26,0),FALSE)</f>
        <v>8</v>
      </c>
      <c r="N49" s="1192"/>
      <c r="O49" s="1165"/>
      <c r="P49" s="1162">
        <f>VLOOKUP($O$41,'D_Ch6-2'!$A$26:$L$37,MATCH("Evolution N-2 / N-1",'D_Ch6-2'!$A$26:$L$26,0),FALSE)</f>
        <v>-0.11025929935587758</v>
      </c>
      <c r="Q49" s="1163"/>
      <c r="R49" s="1166"/>
      <c r="S49" s="324"/>
    </row>
    <row r="50" spans="1:21">
      <c r="P50" s="324"/>
      <c r="Q50" s="324"/>
      <c r="R50" s="324"/>
      <c r="S50" s="324"/>
    </row>
    <row r="51" spans="1:21" s="208" customFormat="1" ht="15" customHeight="1">
      <c r="A51" s="338"/>
      <c r="B51" s="450"/>
      <c r="C51" s="451"/>
      <c r="D51" s="451"/>
      <c r="E51" s="451"/>
      <c r="F51" s="985" t="s">
        <v>1369</v>
      </c>
      <c r="G51" s="977"/>
      <c r="H51" s="977"/>
      <c r="I51" s="977"/>
      <c r="J51" s="977"/>
      <c r="K51" s="977"/>
      <c r="L51" s="977"/>
      <c r="M51" s="977"/>
      <c r="N51" s="977"/>
      <c r="O51" s="977"/>
      <c r="P51" s="977"/>
      <c r="Q51" s="977"/>
      <c r="R51" s="977"/>
      <c r="S51" s="977"/>
      <c r="T51" s="977"/>
      <c r="U51" s="622"/>
    </row>
    <row r="52" spans="1:21" s="208" customFormat="1" ht="12.75" customHeight="1">
      <c r="A52" s="452"/>
      <c r="B52" s="451"/>
      <c r="C52" s="451"/>
      <c r="D52" s="451"/>
      <c r="E52" s="451"/>
      <c r="F52" s="985"/>
      <c r="G52" s="977"/>
      <c r="H52" s="977"/>
      <c r="I52" s="977"/>
      <c r="J52" s="977"/>
      <c r="K52" s="977"/>
      <c r="L52" s="977"/>
      <c r="M52" s="977"/>
      <c r="N52" s="977"/>
      <c r="O52" s="977"/>
      <c r="P52" s="977"/>
      <c r="Q52" s="977"/>
      <c r="R52" s="977"/>
      <c r="S52" s="977"/>
      <c r="T52" s="977"/>
      <c r="U52" s="622"/>
    </row>
    <row r="53" spans="1:21" s="208" customFormat="1" ht="15" customHeight="1">
      <c r="A53" s="453"/>
      <c r="B53" s="451"/>
      <c r="C53" s="451"/>
      <c r="D53" s="451"/>
      <c r="E53" s="451"/>
      <c r="F53" s="985"/>
      <c r="G53" s="977"/>
      <c r="H53" s="977"/>
      <c r="I53" s="977"/>
      <c r="J53" s="977"/>
      <c r="K53" s="977"/>
      <c r="L53" s="977"/>
      <c r="M53" s="977"/>
      <c r="N53" s="977"/>
      <c r="O53" s="977"/>
      <c r="P53" s="977"/>
      <c r="Q53" s="977"/>
      <c r="R53" s="977"/>
      <c r="S53" s="977"/>
      <c r="T53" s="977"/>
      <c r="U53" s="622"/>
    </row>
    <row r="54" spans="1:21" customFormat="1" ht="12.75" customHeight="1">
      <c r="F54" s="985"/>
      <c r="G54" s="977"/>
      <c r="H54" s="977"/>
      <c r="I54" s="977"/>
      <c r="J54" s="977"/>
      <c r="K54" s="977"/>
      <c r="L54" s="977"/>
      <c r="M54" s="977"/>
      <c r="N54" s="977"/>
      <c r="O54" s="977"/>
      <c r="P54" s="977"/>
      <c r="Q54" s="977"/>
      <c r="R54" s="977"/>
      <c r="S54" s="977"/>
      <c r="T54" s="977"/>
    </row>
    <row r="55" spans="1:21" customFormat="1" ht="5.25" customHeight="1"/>
    <row r="56" spans="1:21" s="208" customFormat="1" ht="15" customHeight="1">
      <c r="A56" s="875" t="s">
        <v>1964</v>
      </c>
      <c r="B56" s="875"/>
      <c r="C56" s="875"/>
      <c r="D56" s="875"/>
      <c r="E56" s="875"/>
      <c r="F56" s="875"/>
      <c r="G56" s="875"/>
      <c r="H56" s="875"/>
      <c r="I56" s="875"/>
      <c r="J56" s="875"/>
      <c r="K56" s="875"/>
      <c r="L56" s="875"/>
      <c r="M56" s="875"/>
      <c r="N56" s="875"/>
      <c r="O56" s="875"/>
      <c r="P56" s="875"/>
      <c r="Q56" s="875"/>
      <c r="R56" s="875"/>
      <c r="S56" s="875"/>
      <c r="T56" s="875"/>
      <c r="U56" s="860"/>
    </row>
    <row r="57" spans="1:21" s="208" customFormat="1" ht="15" customHeight="1">
      <c r="A57" s="875"/>
      <c r="B57" s="875"/>
      <c r="C57" s="875"/>
      <c r="D57" s="875"/>
      <c r="E57" s="875"/>
      <c r="F57" s="875"/>
      <c r="G57" s="875"/>
      <c r="H57" s="875"/>
      <c r="I57" s="875"/>
      <c r="J57" s="875"/>
      <c r="K57" s="875"/>
      <c r="L57" s="875"/>
      <c r="M57" s="875"/>
      <c r="N57" s="875"/>
      <c r="O57" s="875"/>
      <c r="P57" s="875"/>
      <c r="Q57" s="875"/>
      <c r="R57" s="875"/>
      <c r="S57" s="875"/>
      <c r="T57" s="875"/>
      <c r="U57" s="860"/>
    </row>
    <row r="58" spans="1:21" s="225" customFormat="1" ht="15" customHeight="1" thickBot="1">
      <c r="A58" s="432"/>
      <c r="B58" s="432"/>
      <c r="C58" s="432"/>
      <c r="D58" s="432"/>
      <c r="E58" s="432"/>
      <c r="F58" s="432"/>
      <c r="G58" s="432"/>
      <c r="H58" s="432"/>
      <c r="I58" s="432"/>
      <c r="J58" s="432"/>
      <c r="K58" s="432"/>
      <c r="L58" s="432"/>
      <c r="M58" s="432"/>
      <c r="N58" s="432"/>
      <c r="O58" s="432"/>
      <c r="P58" s="432"/>
      <c r="Q58" s="432"/>
      <c r="R58" s="432"/>
      <c r="S58" s="432"/>
      <c r="T58" s="432"/>
    </row>
    <row r="59" spans="1:21" ht="16.5" thickTop="1" thickBot="1">
      <c r="A59" s="889" t="s">
        <v>1407</v>
      </c>
      <c r="B59" s="890"/>
      <c r="C59" s="891"/>
      <c r="G59" s="579"/>
      <c r="H59" s="1174" t="s">
        <v>116</v>
      </c>
      <c r="I59" s="1175"/>
      <c r="J59" s="1175"/>
      <c r="K59" s="1175"/>
      <c r="L59" s="1175"/>
      <c r="M59" s="1176"/>
      <c r="N59" s="579"/>
      <c r="O59" s="1177" t="s">
        <v>74</v>
      </c>
      <c r="P59" s="1178"/>
      <c r="Q59" s="1178"/>
      <c r="R59" s="1178"/>
      <c r="S59" s="1179"/>
    </row>
    <row r="60" spans="1:21" ht="15.75" thickTop="1"/>
    <row r="61" spans="1:21" s="284" customFormat="1" ht="45" customHeight="1">
      <c r="A61" s="572"/>
      <c r="B61" s="572"/>
      <c r="C61" s="572"/>
      <c r="D61" s="572"/>
      <c r="E61" s="572"/>
      <c r="F61" s="1180" t="s">
        <v>1967</v>
      </c>
      <c r="G61" s="1181"/>
      <c r="H61" s="1180" t="s">
        <v>1688</v>
      </c>
      <c r="I61" s="1181"/>
      <c r="J61" s="697" t="s">
        <v>1543</v>
      </c>
      <c r="K61" s="1180" t="s">
        <v>1968</v>
      </c>
      <c r="L61" s="1181"/>
      <c r="M61" s="1180" t="s">
        <v>1688</v>
      </c>
      <c r="N61" s="1181"/>
      <c r="O61" s="697" t="s">
        <v>1543</v>
      </c>
      <c r="P61" s="1180" t="s">
        <v>1969</v>
      </c>
      <c r="Q61" s="1181"/>
      <c r="R61" s="1180" t="s">
        <v>1689</v>
      </c>
      <c r="S61" s="1182"/>
      <c r="T61" s="697" t="s">
        <v>1543</v>
      </c>
    </row>
    <row r="62" spans="1:21" s="228" customFormat="1" ht="18" customHeight="1">
      <c r="A62" s="1168" t="str">
        <f>H59</f>
        <v>Gironde</v>
      </c>
      <c r="B62" s="1168"/>
      <c r="C62" s="1168"/>
      <c r="D62" s="1168"/>
      <c r="E62" s="1168"/>
      <c r="F62" s="1167">
        <f>VLOOKUP($H$59,'D_Ch6-3'!$B$5:$W$39,MATCH("emplois créatifs",'D_Ch6-3'!$B$5:$X$5,0),FALSE)</f>
        <v>30298</v>
      </c>
      <c r="G62" s="1165"/>
      <c r="H62" s="1162">
        <f>VLOOKUP($H$59,'D_Ch6-3'!$B$5:$W$39,MATCH("Part ds total sal privé",'D_Ch6-3'!$B$5:$X$5,0),FALSE)</f>
        <v>7.2523679467262847E-2</v>
      </c>
      <c r="I62" s="1163"/>
      <c r="J62" s="573" t="str">
        <f>VLOOKUP($H$59,'D_Ch6-3'!$B$5:$W$39,MATCH("Rang Emploi Créat",'D_Ch6-3'!$B$5:$X$5,0),FALSE)</f>
        <v>NC</v>
      </c>
      <c r="K62" s="1164">
        <f>VLOOKUP($H$59,'D_Ch6-3'!$B$5:$W$39,MATCH("Emploi HT",'D_Ch6-3'!$B$5:$X$5,0),FALSE)</f>
        <v>10758</v>
      </c>
      <c r="L62" s="1165"/>
      <c r="M62" s="1162">
        <f>VLOOKUP($H$59,'D_Ch6-3'!$B$5:$W$39,MATCH("Part HT ds total sal privé",'D_Ch6-3'!$B$5:$X$5,0),FALSE)</f>
        <v>2.5751196240966855E-2</v>
      </c>
      <c r="N62" s="1163"/>
      <c r="O62" s="573" t="str">
        <f>VLOOKUP($H$59,'D_Ch6-3'!$B$5:$W$39,MATCH("Rang Emploi HT",'D_Ch6-3'!$B$5:$X$5,0),FALSE)</f>
        <v>NC</v>
      </c>
      <c r="P62" s="1164">
        <f>VLOOKUP($H$59,'D_Ch6-3'!$B$5:$W$39,MATCH("Emplois CFM n-1",'D_Ch6-3'!$B$5:$X$5,0),FALSE)</f>
        <v>61229.095468212618</v>
      </c>
      <c r="Q62" s="1165"/>
      <c r="R62" s="1162">
        <f>VLOOKUP($H$59,'D_Ch6-3'!$B$5:$W$39,MATCH("Part CFM ds total RRP",'D_Ch6-3'!$B$5:$X$5,0),FALSE)</f>
        <v>9.6403163886217377E-2</v>
      </c>
      <c r="S62" s="1166"/>
      <c r="T62" s="573" t="str">
        <f>VLOOKUP($H$59,'D_Ch6-3'!$B$5:$W$39,MATCH("Rang Emplois CFM",'D_Ch6-3'!$B$5:$X$5,0),FALSE)</f>
        <v>NC</v>
      </c>
    </row>
    <row r="63" spans="1:21" s="228" customFormat="1" ht="16.5" customHeight="1">
      <c r="A63" s="1169" t="str">
        <f>O59</f>
        <v>Aquitaine</v>
      </c>
      <c r="B63" s="1169"/>
      <c r="C63" s="1169"/>
      <c r="D63" s="1169"/>
      <c r="E63" s="1169"/>
      <c r="F63" s="1167">
        <f>VLOOKUP($O$59,'D_Ch6-3'!$B$5:$W$39,MATCH("emplois créatifs",'D_Ch6-3'!$B$5:$X$5,0),FALSE)</f>
        <v>44993</v>
      </c>
      <c r="G63" s="1165"/>
      <c r="H63" s="1162">
        <f>VLOOKUP($O$59,'D_Ch6-3'!$B$5:$W$39,MATCH("Part ds total sal privé",'D_Ch6-3'!$B$5:$X$5,0),FALSE)</f>
        <v>5.5529569159262604E-2</v>
      </c>
      <c r="I63" s="1163"/>
      <c r="J63" s="573" t="str">
        <f>VLOOKUP($O$59,'D_Ch6-3'!$B$5:$W$39,MATCH("Rang Emploi Créat",'D_Ch6-3'!$B$5:$X$5,0),FALSE)</f>
        <v>NC</v>
      </c>
      <c r="K63" s="1164">
        <f>VLOOKUP($O$59,'D_Ch6-3'!$B$5:$W$39,MATCH("Emploi HT",'D_Ch6-3'!$B$5:$X$5,0),FALSE)</f>
        <v>22203</v>
      </c>
      <c r="L63" s="1165"/>
      <c r="M63" s="1162">
        <f>VLOOKUP($O$59,'D_Ch6-3'!$B$5:$W$39,MATCH("Part HT ds total sal privé",'D_Ch6-3'!$B$5:$X$5,0),FALSE)</f>
        <v>2.7402552042386761E-2</v>
      </c>
      <c r="N63" s="1163"/>
      <c r="O63" s="573" t="str">
        <f>VLOOKUP($O$59,'D_Ch6-3'!$B$5:$W$39,MATCH("Rang Emploi HT",'D_Ch6-3'!$B$5:$X$5,0),FALSE)</f>
        <v>NC</v>
      </c>
      <c r="P63" s="1164">
        <f>VLOOKUP($O$59,'D_Ch6-3'!$B$5:$W$39,MATCH("Emplois CFM n-1",'D_Ch6-3'!$B$5:$X$5,0),FALSE)</f>
        <v>99971.405489208002</v>
      </c>
      <c r="Q63" s="1165"/>
      <c r="R63" s="1162">
        <f>VLOOKUP($O$59,'D_Ch6-3'!$B$5:$W$39,MATCH("Part CFM ds total RRP",'D_Ch6-3'!$B$5:$X$5,0),FALSE)</f>
        <v>7.5191446296946185E-2</v>
      </c>
      <c r="S63" s="1166"/>
      <c r="T63" s="573" t="str">
        <f>VLOOKUP($O$59,'D_Ch6-3'!$B$5:$W$39,MATCH("Rang Emplois CFM",'D_Ch6-3'!$B$5:$X$5,0),FALSE)</f>
        <v>NC</v>
      </c>
    </row>
    <row r="64" spans="1:21"/>
    <row r="65" spans="1:20"/>
    <row r="66" spans="1:20">
      <c r="A66" s="435" t="s">
        <v>1970</v>
      </c>
      <c r="B66" s="435"/>
      <c r="C66" s="435"/>
      <c r="D66" s="435"/>
      <c r="E66" s="435"/>
      <c r="F66" s="435"/>
      <c r="G66" s="435"/>
      <c r="H66" s="435"/>
      <c r="I66" s="435"/>
      <c r="J66" s="435"/>
      <c r="K66" s="435"/>
      <c r="L66" s="435"/>
      <c r="M66" s="435"/>
      <c r="N66" s="436"/>
      <c r="O66" s="436"/>
      <c r="Q66" s="561"/>
      <c r="R66" s="561"/>
    </row>
    <row r="67" spans="1:20" ht="8.25" customHeight="1" thickBot="1">
      <c r="A67" s="435"/>
    </row>
    <row r="68" spans="1:20" ht="16.5" thickTop="1" thickBot="1">
      <c r="A68" s="1156" t="s">
        <v>61</v>
      </c>
      <c r="B68" s="1157"/>
      <c r="C68" s="1158"/>
      <c r="D68" s="579"/>
      <c r="E68" s="1156" t="s">
        <v>39</v>
      </c>
      <c r="F68" s="1157"/>
      <c r="G68" s="1158"/>
      <c r="H68" s="579"/>
      <c r="I68" s="1156" t="s">
        <v>1479</v>
      </c>
      <c r="J68" s="1157"/>
      <c r="K68" s="1158"/>
      <c r="L68" s="579"/>
      <c r="M68" s="1156" t="s">
        <v>37</v>
      </c>
      <c r="N68" s="1157"/>
      <c r="O68" s="1158"/>
      <c r="P68" s="579"/>
      <c r="Q68" s="1159" t="s">
        <v>41</v>
      </c>
      <c r="R68" s="1160"/>
      <c r="S68" s="1161"/>
      <c r="T68" s="579"/>
    </row>
    <row r="69" spans="1:20" s="271" customFormat="1" ht="16.5" thickTop="1" thickBot="1">
      <c r="A69" s="579"/>
      <c r="B69" s="1156" t="s">
        <v>34</v>
      </c>
      <c r="C69" s="1172"/>
      <c r="D69" s="1173"/>
      <c r="E69" s="579"/>
      <c r="F69" s="1156" t="s">
        <v>29</v>
      </c>
      <c r="G69" s="1172"/>
      <c r="H69" s="1173"/>
      <c r="I69" s="579"/>
      <c r="J69" s="1156" t="s">
        <v>485</v>
      </c>
      <c r="K69" s="1172"/>
      <c r="L69" s="1173"/>
      <c r="M69" s="579"/>
      <c r="N69" s="1156" t="s">
        <v>65</v>
      </c>
      <c r="O69" s="1172"/>
      <c r="P69" s="1173"/>
      <c r="Q69" s="579"/>
      <c r="R69" s="1156" t="s">
        <v>49</v>
      </c>
      <c r="S69" s="1172"/>
      <c r="T69" s="1173"/>
    </row>
    <row r="70" spans="1:20" ht="15.75" thickTop="1"/>
    <row r="71" spans="1:20">
      <c r="A71" s="574"/>
      <c r="B71" s="541" t="s">
        <v>811</v>
      </c>
      <c r="C71" s="541" t="s">
        <v>812</v>
      </c>
      <c r="D71" s="541" t="s">
        <v>1618</v>
      </c>
      <c r="E71" s="541" t="s">
        <v>814</v>
      </c>
      <c r="F71" s="541" t="s">
        <v>815</v>
      </c>
      <c r="G71" s="574"/>
      <c r="H71" s="574"/>
      <c r="I71" s="574"/>
    </row>
    <row r="72" spans="1:20">
      <c r="A72" s="575" t="str">
        <f>$A$68</f>
        <v>AU Bordeaux</v>
      </c>
      <c r="B72" s="576">
        <f>VLOOKUP($A$68,'D_Ch6-3'!$B$5:$W$39,MATCH("Commerce Inter-entrep.",'D_Ch6-3'!$B$5:$X$5,0),FALSE)</f>
        <v>6493.8947044780298</v>
      </c>
      <c r="C72" s="576">
        <f>VLOOKUP($A$68,'D_Ch6-3'!$B$5:$W$39,MATCH("Concept.Recherche",'D_Ch6-3'!$B$5:$X$5,0),FALSE)</f>
        <v>12518.7582425117</v>
      </c>
      <c r="D72" s="576">
        <f>VLOOKUP($A$68,'D_Ch6-3'!$B$5:$W$39,MATCH("Culture Loisir",'D_Ch6-3'!$B$5:$X$5,0),FALSE)</f>
        <v>5378.4768165253299</v>
      </c>
      <c r="E72" s="576">
        <f>VLOOKUP($A$68,'D_Ch6-3'!$B$5:$W$39,MATCH("Gestion",'D_Ch6-3'!$B$5:$X$5,0),FALSE)</f>
        <v>20041.745179685498</v>
      </c>
      <c r="F72" s="576">
        <f>VLOOKUP($A$68,'D_Ch6-3'!$B$5:$W$39,MATCH("Prest. Intellect.",'D_Ch6-3'!$B$5:$X$5,0),FALSE)</f>
        <v>11181.879811582499</v>
      </c>
      <c r="G72" s="665"/>
      <c r="H72" s="665"/>
      <c r="I72" s="665"/>
      <c r="J72" s="571"/>
      <c r="K72" s="571"/>
      <c r="L72" s="571"/>
      <c r="M72" s="571"/>
      <c r="N72" s="571"/>
      <c r="O72" s="571"/>
      <c r="P72" s="571"/>
      <c r="Q72" s="571"/>
    </row>
    <row r="73" spans="1:20">
      <c r="A73" s="575" t="str">
        <f>$E$68</f>
        <v>AU Nantes</v>
      </c>
      <c r="B73" s="576">
        <f>VLOOKUP($E$68,'D_Ch6-3'!$B$5:$W$39,MATCH("Commerce Inter-entrep.",'D_Ch6-3'!$B$5:$X$5,0),FALSE)</f>
        <v>6296.8912762366399</v>
      </c>
      <c r="C73" s="576">
        <f>VLOOKUP($E$68,'D_Ch6-3'!$B$5:$W$39,MATCH("Concept.Recherche",'D_Ch6-3'!$B$5:$X$5,0),FALSE)</f>
        <v>12227.779958495001</v>
      </c>
      <c r="D73" s="576">
        <f>VLOOKUP($E$68,'D_Ch6-3'!$B$5:$W$39,MATCH("Culture Loisir",'D_Ch6-3'!$B$5:$X$5,0),FALSE)</f>
        <v>4256.9006865696001</v>
      </c>
      <c r="E73" s="576">
        <f>VLOOKUP($E$68,'D_Ch6-3'!$B$5:$W$39,MATCH("Gestion",'D_Ch6-3'!$B$5:$X$5,0),FALSE)</f>
        <v>18054.880480352502</v>
      </c>
      <c r="F73" s="576">
        <f>VLOOKUP($E$68,'D_Ch6-3'!$B$5:$W$39,MATCH("Prest. Intellect.",'D_Ch6-3'!$B$5:$X$5,0),FALSE)</f>
        <v>9371.9737446335203</v>
      </c>
      <c r="G73" s="574"/>
      <c r="H73" s="574"/>
      <c r="I73" s="574"/>
    </row>
    <row r="74" spans="1:20">
      <c r="A74" s="575" t="str">
        <f>$I$68</f>
        <v>France métro.</v>
      </c>
      <c r="B74" s="576">
        <f>VLOOKUP($I$68,'D_Ch6-3'!$B$5:$W$39,MATCH("Commerce Inter-entrep.",'D_Ch6-3'!$B$5:$X$5,0),FALSE)</f>
        <v>304049.2720959725</v>
      </c>
      <c r="C74" s="576">
        <f>VLOOKUP($I$68,'D_Ch6-3'!$B$5:$W$39,MATCH("Concept.Recherche",'D_Ch6-3'!$B$5:$X$5,0),FALSE)</f>
        <v>538073.36203022499</v>
      </c>
      <c r="D74" s="576">
        <f>VLOOKUP($I$68,'D_Ch6-3'!$B$5:$W$39,MATCH("Culture Loisir",'D_Ch6-3'!$B$5:$X$5,0),FALSE)</f>
        <v>299894.51966449054</v>
      </c>
      <c r="E74" s="576">
        <f>VLOOKUP($I$68,'D_Ch6-3'!$B$5:$W$39,MATCH("Gestion",'D_Ch6-3'!$B$5:$X$5,0),FALSE)</f>
        <v>1041634.5405574072</v>
      </c>
      <c r="F74" s="576">
        <f>VLOOKUP($I$68,'D_Ch6-3'!$B$5:$W$39,MATCH("Prest. Intellect.",'D_Ch6-3'!$B$5:$X$5,0),FALSE)</f>
        <v>509347.76754467061</v>
      </c>
      <c r="G74" s="574"/>
      <c r="H74" s="574"/>
      <c r="I74" s="574"/>
    </row>
    <row r="75" spans="1:20">
      <c r="A75" s="575" t="str">
        <f>$M$68</f>
        <v>AU Nice</v>
      </c>
      <c r="B75" s="576">
        <f>VLOOKUP($M$68,'D_Ch6-3'!$B$5:$W$39,MATCH("Commerce Inter-entrep.",'D_Ch6-3'!$B$5:$X$5,0),FALSE)</f>
        <v>3440.8038058859102</v>
      </c>
      <c r="C75" s="576">
        <f>VLOOKUP($M$68,'D_Ch6-3'!$B$5:$W$39,MATCH("Concept.Recherche",'D_Ch6-3'!$B$5:$X$5,0),FALSE)</f>
        <v>11565.7459969253</v>
      </c>
      <c r="D75" s="576">
        <f>VLOOKUP($M$68,'D_Ch6-3'!$B$5:$W$39,MATCH("Culture Loisir",'D_Ch6-3'!$B$5:$X$5,0),FALSE)</f>
        <v>4424.7520282375799</v>
      </c>
      <c r="E75" s="576">
        <f>VLOOKUP($M$68,'D_Ch6-3'!$B$5:$W$39,MATCH("Gestion",'D_Ch6-3'!$B$5:$X$5,0),FALSE)</f>
        <v>14034.0125524336</v>
      </c>
      <c r="F75" s="576">
        <f>VLOOKUP($M$68,'D_Ch6-3'!$B$5:$W$39,MATCH("Prest. Intellect.",'D_Ch6-3'!$B$5:$X$5,0),FALSE)</f>
        <v>9249.8313740262001</v>
      </c>
      <c r="G75" s="574"/>
      <c r="H75" s="574"/>
      <c r="I75" s="574"/>
    </row>
    <row r="76" spans="1:20">
      <c r="A76" s="575" t="str">
        <f>$Q$68</f>
        <v>AU Strasbourg</v>
      </c>
      <c r="B76" s="576">
        <f>VLOOKUP($Q$68,'D_Ch6-3'!$B$5:$W$39,MATCH("Commerce Inter-entrep.",'D_Ch6-3'!$B$5:$X$5,0),FALSE)</f>
        <v>4559.9201460332997</v>
      </c>
      <c r="C76" s="576">
        <f>VLOOKUP($Q$68,'D_Ch6-3'!$B$5:$W$39,MATCH("Concept.Recherche",'D_Ch6-3'!$B$5:$X$5,0),FALSE)</f>
        <v>8380.8561950641306</v>
      </c>
      <c r="D76" s="576">
        <f>VLOOKUP($Q$68,'D_Ch6-3'!$B$5:$W$39,MATCH("Culture Loisir",'D_Ch6-3'!$B$5:$X$5,0),FALSE)</f>
        <v>3516.04255378169</v>
      </c>
      <c r="E76" s="576">
        <f>VLOOKUP($Q$68,'D_Ch6-3'!$B$5:$W$39,MATCH("Gestion",'D_Ch6-3'!$B$5:$X$5,0),FALSE)</f>
        <v>13677.544470909001</v>
      </c>
      <c r="F76" s="576">
        <f>VLOOKUP($Q$68,'D_Ch6-3'!$B$5:$W$39,MATCH("Prest. Intellect.",'D_Ch6-3'!$B$5:$X$5,0),FALSE)</f>
        <v>6780.4170546039504</v>
      </c>
      <c r="G76" s="574"/>
      <c r="H76" s="574"/>
      <c r="I76" s="574"/>
    </row>
    <row r="77" spans="1:20">
      <c r="A77" s="575" t="str">
        <f>$B$69</f>
        <v>AU Lille</v>
      </c>
      <c r="B77" s="576">
        <f>VLOOKUP($B$69,'D_Ch6-3'!$B$5:$W$39,MATCH("Commerce Inter-entrep.",'D_Ch6-3'!$B$5:$X$5,0),FALSE)</f>
        <v>8211.1596197782801</v>
      </c>
      <c r="C77" s="576">
        <f>VLOOKUP($B$69,'D_Ch6-3'!$B$5:$W$39,MATCH("Concept.Recherche",'D_Ch6-3'!$B$5:$X$5,0),FALSE)</f>
        <v>12139.404626941199</v>
      </c>
      <c r="D77" s="576">
        <f>VLOOKUP($B$69,'D_Ch6-3'!$B$5:$W$39,MATCH("Culture Loisir",'D_Ch6-3'!$B$5:$X$5,0),FALSE)</f>
        <v>4851.5964863120398</v>
      </c>
      <c r="E77" s="576">
        <f>VLOOKUP($B$69,'D_Ch6-3'!$B$5:$W$39,MATCH("Gestion",'D_Ch6-3'!$B$5:$X$5,0),FALSE)</f>
        <v>25432.1115813631</v>
      </c>
      <c r="F77" s="576">
        <f>VLOOKUP($B$69,'D_Ch6-3'!$B$5:$W$39,MATCH("Prest. Intellect.",'D_Ch6-3'!$B$5:$X$5,0),FALSE)</f>
        <v>10761.9058456189</v>
      </c>
      <c r="G77" s="574"/>
      <c r="H77" s="574"/>
      <c r="I77" s="574"/>
    </row>
    <row r="78" spans="1:20">
      <c r="A78" s="575" t="str">
        <f>$F$69</f>
        <v>AU Lyon</v>
      </c>
      <c r="B78" s="576">
        <f>VLOOKUP($F$69,'D_Ch6-3'!$B$5:$W$39,MATCH("Commerce Inter-entrep.",'D_Ch6-3'!$B$5:$X$5,0),FALSE)</f>
        <v>18948.950833126401</v>
      </c>
      <c r="C78" s="576">
        <f>VLOOKUP($F$69,'D_Ch6-3'!$B$5:$W$39,MATCH("Concept.Recherche",'D_Ch6-3'!$B$5:$X$5,0),FALSE)</f>
        <v>30631.9056547648</v>
      </c>
      <c r="D78" s="576">
        <f>VLOOKUP($F$69,'D_Ch6-3'!$B$5:$W$39,MATCH("Culture Loisir",'D_Ch6-3'!$B$5:$X$5,0),FALSE)</f>
        <v>10726.929748586999</v>
      </c>
      <c r="E78" s="576">
        <f>VLOOKUP($F$69,'D_Ch6-3'!$B$5:$W$39,MATCH("Gestion",'D_Ch6-3'!$B$5:$X$5,0),FALSE)</f>
        <v>48850.662652141698</v>
      </c>
      <c r="F78" s="576">
        <f>VLOOKUP($F$69,'D_Ch6-3'!$B$5:$W$39,MATCH("Prest. Intellect.",'D_Ch6-3'!$B$5:$X$5,0),FALSE)</f>
        <v>25983.099229056901</v>
      </c>
      <c r="G78" s="574"/>
      <c r="H78" s="574"/>
      <c r="I78" s="574"/>
    </row>
    <row r="79" spans="1:20">
      <c r="A79" s="575" t="str">
        <f>$J$69</f>
        <v>AU Marseille - Aix</v>
      </c>
      <c r="B79" s="576">
        <f>VLOOKUP($J$69,'D_Ch6-3'!$B$5:$W$39,MATCH("Commerce Inter-entrep.",'D_Ch6-3'!$B$5:$X$5,0),FALSE)</f>
        <v>7525.9797894735002</v>
      </c>
      <c r="C79" s="576">
        <f>VLOOKUP($J$69,'D_Ch6-3'!$B$5:$W$39,MATCH("Concept.Recherche",'D_Ch6-3'!$B$5:$X$5,0),FALSE)</f>
        <v>15423.688100278499</v>
      </c>
      <c r="D79" s="576">
        <f>VLOOKUP($J$69,'D_Ch6-3'!$B$5:$W$39,MATCH("Culture Loisir",'D_Ch6-3'!$B$5:$X$5,0),FALSE)</f>
        <v>7973.6647229569699</v>
      </c>
      <c r="E79" s="576">
        <f>VLOOKUP($J$69,'D_Ch6-3'!$B$5:$W$39,MATCH("Gestion",'D_Ch6-3'!$B$5:$X$5,0),FALSE)</f>
        <v>28971.181073920801</v>
      </c>
      <c r="F79" s="576">
        <f>VLOOKUP($J$69,'D_Ch6-3'!$B$5:$W$39,MATCH("Prest. Intellect.",'D_Ch6-3'!$B$5:$X$5,0),FALSE)</f>
        <v>15900.3044975556</v>
      </c>
      <c r="G79" s="574"/>
      <c r="H79" s="574"/>
      <c r="I79" s="574"/>
    </row>
    <row r="80" spans="1:20">
      <c r="A80" s="575" t="str">
        <f>$N$69</f>
        <v>AU Avignon</v>
      </c>
      <c r="B80" s="576">
        <f>VLOOKUP($N$69,'D_Ch6-3'!$B$5:$W$39,MATCH("Commerce Inter-entrep.",'D_Ch6-3'!$B$5:$X$5,0),FALSE)</f>
        <v>1772.8930960402399</v>
      </c>
      <c r="C80" s="576">
        <f>VLOOKUP($N$69,'D_Ch6-3'!$B$5:$W$39,MATCH("Concept.Recherche",'D_Ch6-3'!$B$5:$X$5,0),FALSE)</f>
        <v>1149.9405521381</v>
      </c>
      <c r="D80" s="576">
        <f>VLOOKUP($N$69,'D_Ch6-3'!$B$5:$W$39,MATCH("Culture Loisir",'D_Ch6-3'!$B$5:$X$5,0),FALSE)</f>
        <v>1916.4266115599801</v>
      </c>
      <c r="E80" s="576">
        <f>VLOOKUP($N$69,'D_Ch6-3'!$B$5:$W$39,MATCH("Gestion",'D_Ch6-3'!$B$5:$X$5,0),FALSE)</f>
        <v>5865.1970102695896</v>
      </c>
      <c r="F80" s="576">
        <f>VLOOKUP($N$69,'D_Ch6-3'!$B$5:$W$39,MATCH("Prest. Intellect.",'D_Ch6-3'!$B$5:$X$5,0),FALSE)</f>
        <v>2690.3032120778498</v>
      </c>
      <c r="G80" s="574"/>
      <c r="H80" s="574"/>
      <c r="I80" s="574"/>
    </row>
    <row r="81" spans="1:19">
      <c r="A81" s="575" t="str">
        <f>R69</f>
        <v>AU Montpellier</v>
      </c>
      <c r="B81" s="576">
        <f>VLOOKUP($R$69,'D_Ch6-3'!$B$5:$W$39,MATCH("Commerce Inter-entrep.",'D_Ch6-3'!$B$5:$X$5,0),FALSE)</f>
        <v>2650.3827751797098</v>
      </c>
      <c r="C81" s="576">
        <f>VLOOKUP($R$69,'D_Ch6-3'!$B$5:$W$39,MATCH("Concept.Recherche",'D_Ch6-3'!$B$5:$X$5,0),FALSE)</f>
        <v>8658.4368697584105</v>
      </c>
      <c r="D81" s="576">
        <f>VLOOKUP($R$69,'D_Ch6-3'!$B$5:$W$39,MATCH("Culture Loisir",'D_Ch6-3'!$B$5:$X$5,0),FALSE)</f>
        <v>3888.2136424177602</v>
      </c>
      <c r="E81" s="576">
        <f>VLOOKUP($R$69,'D_Ch6-3'!$B$5:$W$39,MATCH("Gestion",'D_Ch6-3'!$B$5:$X$5,0),FALSE)</f>
        <v>9901.8911673975508</v>
      </c>
      <c r="F81" s="576">
        <f>VLOOKUP($R$69,'D_Ch6-3'!$B$5:$W$39,MATCH("Prest. Intellect.",'D_Ch6-3'!$B$5:$X$5,0),FALSE)</f>
        <v>6646.9382243191103</v>
      </c>
      <c r="G81" s="574"/>
      <c r="H81" s="574"/>
      <c r="I81" s="574"/>
    </row>
    <row r="82" spans="1:19" ht="8.25" customHeight="1">
      <c r="A82" s="655"/>
      <c r="B82" s="655"/>
      <c r="C82" s="655"/>
      <c r="D82" s="655"/>
      <c r="E82" s="655"/>
      <c r="F82" s="655"/>
      <c r="G82" s="655"/>
      <c r="H82" s="655"/>
      <c r="I82" s="655"/>
    </row>
    <row r="83" spans="1:19">
      <c r="A83" s="655"/>
      <c r="B83" s="655"/>
      <c r="C83" s="655"/>
      <c r="D83" s="655"/>
      <c r="E83" s="655"/>
      <c r="F83" s="655"/>
      <c r="G83" s="655"/>
      <c r="H83" s="655"/>
      <c r="I83" s="655"/>
    </row>
    <row r="84" spans="1:19"/>
    <row r="85" spans="1:19"/>
    <row r="86" spans="1:19" ht="11.25" customHeight="1"/>
    <row r="87" spans="1:19" ht="15.75" thickBot="1">
      <c r="A87" s="435" t="s">
        <v>1585</v>
      </c>
      <c r="N87" s="561"/>
      <c r="O87" s="561"/>
    </row>
    <row r="88" spans="1:19" ht="16.5" thickTop="1" thickBot="1">
      <c r="A88" s="1156" t="s">
        <v>116</v>
      </c>
      <c r="B88" s="1172"/>
      <c r="C88" s="1173"/>
      <c r="D88" s="579"/>
      <c r="E88" s="1156" t="s">
        <v>74</v>
      </c>
      <c r="F88" s="1172"/>
      <c r="G88" s="1173"/>
      <c r="H88" s="579"/>
      <c r="I88" s="1156" t="s">
        <v>1479</v>
      </c>
      <c r="J88" s="1172"/>
      <c r="K88" s="1173"/>
      <c r="L88" s="579"/>
      <c r="M88" s="1156" t="s">
        <v>680</v>
      </c>
      <c r="N88" s="1172"/>
      <c r="O88" s="1173"/>
      <c r="P88" s="579"/>
      <c r="Q88" s="1159" t="s">
        <v>32</v>
      </c>
      <c r="R88" s="1170"/>
      <c r="S88" s="1171"/>
    </row>
    <row r="89" spans="1:19" ht="15.75" thickTop="1"/>
    <row r="90" spans="1:19"/>
    <row r="91" spans="1:19">
      <c r="A91" s="664"/>
      <c r="B91" s="664"/>
      <c r="C91" s="664"/>
      <c r="D91" s="664"/>
      <c r="E91" s="664"/>
    </row>
    <row r="92" spans="1:19">
      <c r="A92" s="574"/>
      <c r="B92" s="541">
        <v>1999</v>
      </c>
      <c r="C92" s="541">
        <v>2008</v>
      </c>
      <c r="D92" s="541">
        <v>2013</v>
      </c>
      <c r="E92" s="541"/>
      <c r="F92" s="577"/>
    </row>
    <row r="93" spans="1:19">
      <c r="A93" s="575" t="str">
        <f>$A$88</f>
        <v>Gironde</v>
      </c>
      <c r="B93" s="576">
        <f>VLOOKUP($A$88,'D_Ch6-3'!$B$5:$W$39,MATCH("B_100_Emplois CFM n-3",'D_Ch6-3'!$B$5:$X$5,0),FALSE)</f>
        <v>100</v>
      </c>
      <c r="C93" s="576">
        <f>VLOOKUP($A$88,'D_Ch6-3'!$B$5:$W$39,MATCH("B_100_Emplois CFM n-2",'D_Ch6-3'!$B$5:$X$5,0),FALSE)</f>
        <v>158.97414842517924</v>
      </c>
      <c r="D93" s="576">
        <f>VLOOKUP($A$88,'D_Ch6-3'!$B$5:$W$39,MATCH("B_100_Emplois CFM n-1",'D_Ch6-3'!$B$5:$X$5,0),FALSE)</f>
        <v>185.08281079805519</v>
      </c>
      <c r="E93" s="576"/>
      <c r="F93" s="578"/>
    </row>
    <row r="94" spans="1:19">
      <c r="A94" s="575" t="str">
        <f>$E$88</f>
        <v>Aquitaine</v>
      </c>
      <c r="B94" s="576">
        <f>VLOOKUP($E$88,'D_Ch6-3'!$B$5:$W$39,MATCH("B_100_Emplois CFM n-3",'D_Ch6-3'!$B$5:$X$5,0),FALSE)</f>
        <v>100</v>
      </c>
      <c r="C94" s="576">
        <f>VLOOKUP($E$88,'D_Ch6-3'!$B$5:$W$39,MATCH("B_100_Emplois CFM n-2",'D_Ch6-3'!$B$5:$X$5,0),FALSE)</f>
        <v>152.49995718018633</v>
      </c>
      <c r="D94" s="576">
        <f>VLOOKUP($E$88,'D_Ch6-3'!$B$5:$W$39,MATCH("B_100_Emplois CFM n-1",'D_Ch6-3'!$B$5:$X$5,0),FALSE)</f>
        <v>173.4530597008953</v>
      </c>
      <c r="E94" s="576"/>
      <c r="F94" s="578"/>
    </row>
    <row r="95" spans="1:19">
      <c r="A95" s="575" t="str">
        <f>$I$88</f>
        <v>France métro.</v>
      </c>
      <c r="B95" s="576">
        <f>VLOOKUP($I$88,'D_Ch6-3'!$B$5:$W$39,MATCH("B_100_Emplois CFM n-3",'D_Ch6-3'!$B$5:$X$5,0),FALSE)</f>
        <v>100</v>
      </c>
      <c r="C95" s="576">
        <f>VLOOKUP($I$88,'D_Ch6-3'!$B$5:$W$39,MATCH("B_100_Emplois CFM n-2",'D_Ch6-3'!$B$5:$X$5,0),FALSE)</f>
        <v>139.59884150274817</v>
      </c>
      <c r="D95" s="576">
        <f>VLOOKUP($I$88,'D_Ch6-3'!$B$5:$W$39,MATCH("B_100_Emplois CFM n-1",'D_Ch6-3'!$B$5:$X$5,0),FALSE)</f>
        <v>154.39545321024309</v>
      </c>
      <c r="E95" s="576"/>
      <c r="F95" s="578"/>
    </row>
    <row r="96" spans="1:19">
      <c r="A96" s="575" t="str">
        <f>$M$88</f>
        <v>Bx Métropole</v>
      </c>
      <c r="B96" s="576">
        <f>VLOOKUP($M$88,'D_Ch6-3'!$B$5:$W$39,MATCH("B_100_Emplois CFM n-3",'D_Ch6-3'!$B$5:$X$5,0),FALSE)</f>
        <v>100</v>
      </c>
      <c r="C96" s="576">
        <f>VLOOKUP($M$88,'D_Ch6-3'!$B$5:$W$39,MATCH("B_100_Emplois CFM n-2",'D_Ch6-3'!$B$5:$X$5,0),FALSE)</f>
        <v>157.31430332411082</v>
      </c>
      <c r="D96" s="576">
        <f>VLOOKUP($M$88,'D_Ch6-3'!$B$5:$W$39,MATCH("B_100_Emplois CFM n-1",'D_Ch6-3'!$B$5:$X$5,0),FALSE)</f>
        <v>185.79044603458951</v>
      </c>
      <c r="E96" s="576"/>
      <c r="F96" s="578"/>
    </row>
    <row r="97" spans="1:6">
      <c r="A97" s="575" t="str">
        <f>$Q$88</f>
        <v>AU Toulouse</v>
      </c>
      <c r="B97" s="576">
        <f>VLOOKUP($Q$88,'D_Ch6-3'!$B$5:$W$39,MATCH("B_100_Emplois CFM n-3",'D_Ch6-3'!$B$5:$X$5,0),FALSE)</f>
        <v>100</v>
      </c>
      <c r="C97" s="576">
        <f>VLOOKUP($Q$88,'D_Ch6-3'!$B$5:$W$39,MATCH("B_100_Emplois CFM n-2",'D_Ch6-3'!$B$5:$X$5,0),FALSE)</f>
        <v>171.91470393464252</v>
      </c>
      <c r="D97" s="576">
        <f>VLOOKUP($Q$88,'D_Ch6-3'!$B$5:$W$39,MATCH("B_100_Emplois CFM n-1",'D_Ch6-3'!$B$5:$X$5,0),FALSE)</f>
        <v>205.14226618402617</v>
      </c>
      <c r="E97" s="576"/>
      <c r="F97" s="578"/>
    </row>
    <row r="98" spans="1:6">
      <c r="A98" s="664"/>
      <c r="B98" s="664"/>
      <c r="C98" s="664"/>
      <c r="D98" s="664"/>
      <c r="E98" s="664"/>
    </row>
    <row r="99" spans="1:6">
      <c r="A99" s="664"/>
      <c r="B99" s="664"/>
      <c r="C99" s="664"/>
      <c r="D99" s="664"/>
      <c r="E99" s="664"/>
    </row>
    <row r="100" spans="1:6"/>
    <row r="101" spans="1:6"/>
  </sheetData>
  <sheetProtection sheet="1" objects="1" scenarios="1" autoFilter="0"/>
  <mergeCells count="104">
    <mergeCell ref="A13:G13"/>
    <mergeCell ref="F1:T4"/>
    <mergeCell ref="A6:T7"/>
    <mergeCell ref="H9:M9"/>
    <mergeCell ref="O9:S9"/>
    <mergeCell ref="A9:C9"/>
    <mergeCell ref="H14:J14"/>
    <mergeCell ref="K14:M14"/>
    <mergeCell ref="N14:P14"/>
    <mergeCell ref="Q14:S14"/>
    <mergeCell ref="H13:J13"/>
    <mergeCell ref="K13:M13"/>
    <mergeCell ref="N13:P13"/>
    <mergeCell ref="Q13:S13"/>
    <mergeCell ref="F37:I37"/>
    <mergeCell ref="F38:I38"/>
    <mergeCell ref="F39:I39"/>
    <mergeCell ref="J38:L38"/>
    <mergeCell ref="M38:O38"/>
    <mergeCell ref="H15:J15"/>
    <mergeCell ref="K15:M15"/>
    <mergeCell ref="N15:P15"/>
    <mergeCell ref="Q15:S15"/>
    <mergeCell ref="R37:S37"/>
    <mergeCell ref="M37:O37"/>
    <mergeCell ref="J37:L37"/>
    <mergeCell ref="P37:Q37"/>
    <mergeCell ref="H35:M35"/>
    <mergeCell ref="O35:S35"/>
    <mergeCell ref="F43:I43"/>
    <mergeCell ref="F44:I44"/>
    <mergeCell ref="F45:I45"/>
    <mergeCell ref="J44:L44"/>
    <mergeCell ref="M44:O44"/>
    <mergeCell ref="A44:E44"/>
    <mergeCell ref="J43:L43"/>
    <mergeCell ref="M43:O43"/>
    <mergeCell ref="R38:S38"/>
    <mergeCell ref="A39:E39"/>
    <mergeCell ref="A45:E45"/>
    <mergeCell ref="J45:L45"/>
    <mergeCell ref="M45:O45"/>
    <mergeCell ref="J39:L39"/>
    <mergeCell ref="M39:O39"/>
    <mergeCell ref="R39:S39"/>
    <mergeCell ref="P39:Q39"/>
    <mergeCell ref="P38:Q38"/>
    <mergeCell ref="A38:E38"/>
    <mergeCell ref="H41:M41"/>
    <mergeCell ref="O41:S41"/>
    <mergeCell ref="A48:E48"/>
    <mergeCell ref="A49:E49"/>
    <mergeCell ref="F51:T54"/>
    <mergeCell ref="A56:T57"/>
    <mergeCell ref="J49:L49"/>
    <mergeCell ref="M49:O49"/>
    <mergeCell ref="P47:R47"/>
    <mergeCell ref="P48:R48"/>
    <mergeCell ref="P49:R49"/>
    <mergeCell ref="F47:I47"/>
    <mergeCell ref="F48:I48"/>
    <mergeCell ref="F49:I49"/>
    <mergeCell ref="J48:L48"/>
    <mergeCell ref="M48:O48"/>
    <mergeCell ref="J47:L47"/>
    <mergeCell ref="M47:O47"/>
    <mergeCell ref="H59:M59"/>
    <mergeCell ref="O59:S59"/>
    <mergeCell ref="F61:G61"/>
    <mergeCell ref="M61:N61"/>
    <mergeCell ref="P61:Q61"/>
    <mergeCell ref="H61:I61"/>
    <mergeCell ref="K61:L61"/>
    <mergeCell ref="R61:S61"/>
    <mergeCell ref="A59:C59"/>
    <mergeCell ref="Q88:S88"/>
    <mergeCell ref="A88:C88"/>
    <mergeCell ref="E88:G88"/>
    <mergeCell ref="I88:K88"/>
    <mergeCell ref="M88:O88"/>
    <mergeCell ref="B69:D69"/>
    <mergeCell ref="F69:H69"/>
    <mergeCell ref="J69:L69"/>
    <mergeCell ref="N69:P69"/>
    <mergeCell ref="R69:T69"/>
    <mergeCell ref="A68:C68"/>
    <mergeCell ref="E68:G68"/>
    <mergeCell ref="I68:K68"/>
    <mergeCell ref="M68:O68"/>
    <mergeCell ref="Q68:S68"/>
    <mergeCell ref="M62:N62"/>
    <mergeCell ref="P62:Q62"/>
    <mergeCell ref="R62:S62"/>
    <mergeCell ref="F63:G63"/>
    <mergeCell ref="H63:I63"/>
    <mergeCell ref="K63:L63"/>
    <mergeCell ref="M63:N63"/>
    <mergeCell ref="P63:Q63"/>
    <mergeCell ref="R63:S63"/>
    <mergeCell ref="A62:E62"/>
    <mergeCell ref="A63:E63"/>
    <mergeCell ref="F62:G62"/>
    <mergeCell ref="H62:I62"/>
    <mergeCell ref="K62:L62"/>
  </mergeCells>
  <hyperlinks>
    <hyperlink ref="A11:E11" location="Glossaire!A246" display="Enseignement supérieur"/>
    <hyperlink ref="A17" location="Glossaire!A258" display="Origine des étudiants en 2ème cycle ou plus dans les universités (rentrée 2012 / 2013)"/>
    <hyperlink ref="A33" location="Glossaire!A260" display="Nombre de chercheurs public / privé en équivalent temps plein"/>
    <hyperlink ref="A33:J33" location="Glossaire!A260" display="Nombre de chercheurs public / privé en équivalent temps plein"/>
    <hyperlink ref="A41" location="Glossaire!A262" display="Brevets et"/>
    <hyperlink ref="C41" location="Glossaire!A264" display="publications"/>
    <hyperlink ref="A66:O66" location="Glossaire!A256" display="Caractéristique des emplois de cadres des fonctions métropolitaines en 2013"/>
    <hyperlink ref="N13:P13" location="Glossaire!A250" display="Rang sur 12 académies"/>
    <hyperlink ref="A17:P17" location="Glossaire!A252" display="Origine des étudiants en 2e cycle ou plus dans les universités (rentrée 2015 / 2016)"/>
    <hyperlink ref="A33:L33" location="Glossaire!A254" display="Nombre de chercheurs publics / privés en équivalent temps plein"/>
    <hyperlink ref="A41:E41" location="Glossaire!A256" display="Brevets et"/>
    <hyperlink ref="F61:G61" location="Glossaire!A260" display="Emploi créatif 2015"/>
    <hyperlink ref="J61" location="Glossaire!A265" display="rang des AU ou ZE"/>
    <hyperlink ref="A66" location="Glossaire!A278" display="Caractéristique des emplois de cadres des fonctions métropolitaines en 2013"/>
    <hyperlink ref="K61:L61" location="Glossaire!A267" display="Emploi dans le haute technologie 2015"/>
    <hyperlink ref="O61" location="Glossaire!A284" display="rang des AU ou ZE"/>
    <hyperlink ref="P61:Q61" location="Glossaire!A287" display="Emploi CFM 2013"/>
    <hyperlink ref="T61" location="Glossaire!A293" display="rang des AU ou ZE"/>
    <hyperlink ref="A66:N66" location="Glossaire!A283" display="Caractéristique des emplois de cadres des fonctions métropolitaines en 2013"/>
    <hyperlink ref="H13:J13" location="Glossaire!A247" display="Nombre d'étudiants (public et privé)"/>
    <hyperlink ref="C41:D43" location="Glossaire!A258" display="publications"/>
  </hyperlink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mars 2017</oddHeader>
    <oddFooter>&amp;C&amp;"-,Italique"&amp;8&amp;A&amp;R&amp;8Page &amp;P</oddFooter>
  </headerFooter>
  <rowBreaks count="1" manualBreakCount="1">
    <brk id="50" max="1638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'D_Ch6-1'!$B$34:$B$46</xm:f>
          </x14:formula1>
          <xm:sqref>H9:M9 O9:S9</xm:sqref>
        </x14:dataValidation>
        <x14:dataValidation type="list" allowBlank="1" showInputMessage="1" showErrorMessage="1">
          <x14:formula1>
            <xm:f>'D_Ch6-2'!$A$10:$A$23</xm:f>
          </x14:formula1>
          <xm:sqref>O35:S35</xm:sqref>
        </x14:dataValidation>
        <x14:dataValidation type="list" allowBlank="1" showInputMessage="1" showErrorMessage="1">
          <x14:formula1>
            <xm:f>'D_Ch6-3'!$B$6:$B$39</xm:f>
          </x14:formula1>
          <xm:sqref>H59:M59 O59:S59 A68:C68 E68:G68 I68:K68 M68:O68 Q68:S68 B69:D69 F69:H69 J69:L69 R69:T69 N69:P69 A88:C88 E88:G88 I88:K88 M88:O88 Q88:S88</xm:sqref>
        </x14:dataValidation>
        <x14:dataValidation type="list" allowBlank="1" showInputMessage="1" showErrorMessage="1">
          <x14:formula1>
            <xm:f>'D_Ch6-2'!$A$10:$A$23</xm:f>
          </x14:formula1>
          <xm:sqref>H35:M35</xm:sqref>
        </x14:dataValidation>
        <x14:dataValidation type="list" allowBlank="1" showInputMessage="1" showErrorMessage="1">
          <x14:formula1>
            <xm:f>'D_Ch6-2'!$A$27:$A$37</xm:f>
          </x14:formula1>
          <xm:sqref>H41:M41 O41:S41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6"/>
  <sheetViews>
    <sheetView showGridLines="0" view="pageLayout" zoomScaleNormal="100" workbookViewId="0">
      <selection activeCell="A6" sqref="A6:T7"/>
    </sheetView>
  </sheetViews>
  <sheetFormatPr baseColWidth="10" defaultColWidth="0" defaultRowHeight="15" zeroHeight="1"/>
  <cols>
    <col min="1" max="1" width="4.85546875" customWidth="1"/>
    <col min="2" max="2" width="5.42578125" customWidth="1"/>
    <col min="3" max="19" width="4.85546875" customWidth="1"/>
    <col min="20" max="20" width="4.7109375" customWidth="1"/>
    <col min="21" max="21" width="1" customWidth="1"/>
    <col min="22" max="16384" width="11.42578125" hidden="1"/>
  </cols>
  <sheetData>
    <row r="1" spans="1:20" s="208" customFormat="1" ht="15" customHeight="1">
      <c r="A1" s="205"/>
      <c r="B1" s="206"/>
      <c r="C1" s="207"/>
      <c r="D1" s="207"/>
      <c r="E1" s="207"/>
      <c r="F1" s="1229" t="s">
        <v>1369</v>
      </c>
      <c r="G1" s="1230"/>
      <c r="H1" s="1230"/>
      <c r="I1" s="1230"/>
      <c r="J1" s="1230"/>
      <c r="K1" s="1230"/>
      <c r="L1" s="1230"/>
      <c r="M1" s="1230"/>
      <c r="N1" s="1230"/>
      <c r="O1" s="1230"/>
      <c r="P1" s="1230"/>
      <c r="Q1" s="1230"/>
      <c r="R1" s="1230"/>
      <c r="S1" s="1230"/>
      <c r="T1" s="1231"/>
    </row>
    <row r="2" spans="1:20" s="208" customFormat="1" ht="12.75" customHeight="1">
      <c r="A2" s="209"/>
      <c r="B2" s="207"/>
      <c r="C2" s="207"/>
      <c r="D2" s="207"/>
      <c r="E2" s="207"/>
      <c r="F2" s="985"/>
      <c r="G2" s="977"/>
      <c r="H2" s="977"/>
      <c r="I2" s="977"/>
      <c r="J2" s="977"/>
      <c r="K2" s="977"/>
      <c r="L2" s="977"/>
      <c r="M2" s="977"/>
      <c r="N2" s="977"/>
      <c r="O2" s="977"/>
      <c r="P2" s="977"/>
      <c r="Q2" s="977"/>
      <c r="R2" s="977"/>
      <c r="S2" s="977"/>
      <c r="T2" s="1232"/>
    </row>
    <row r="3" spans="1:20" s="208" customFormat="1" ht="15" customHeight="1">
      <c r="A3" s="210"/>
      <c r="B3" s="207"/>
      <c r="C3" s="207"/>
      <c r="D3" s="207"/>
      <c r="E3" s="207"/>
      <c r="F3" s="985"/>
      <c r="G3" s="977"/>
      <c r="H3" s="977"/>
      <c r="I3" s="977"/>
      <c r="J3" s="977"/>
      <c r="K3" s="977"/>
      <c r="L3" s="977"/>
      <c r="M3" s="977"/>
      <c r="N3" s="977"/>
      <c r="O3" s="977"/>
      <c r="P3" s="977"/>
      <c r="Q3" s="977"/>
      <c r="R3" s="977"/>
      <c r="S3" s="977"/>
      <c r="T3" s="1232"/>
    </row>
    <row r="4" spans="1:20" s="208" customFormat="1" ht="12.75" customHeight="1">
      <c r="A4" s="210"/>
      <c r="B4" s="207"/>
      <c r="C4" s="207"/>
      <c r="D4" s="207"/>
      <c r="E4" s="207"/>
      <c r="F4" s="1233"/>
      <c r="G4" s="1234"/>
      <c r="H4" s="1234"/>
      <c r="I4" s="1234"/>
      <c r="J4" s="1234"/>
      <c r="K4" s="1234"/>
      <c r="L4" s="1234"/>
      <c r="M4" s="1234"/>
      <c r="N4" s="1234"/>
      <c r="O4" s="1234"/>
      <c r="P4" s="1234"/>
      <c r="Q4" s="1234"/>
      <c r="R4" s="1234"/>
      <c r="S4" s="1234"/>
      <c r="T4" s="1235"/>
    </row>
    <row r="5" spans="1:20" s="208" customFormat="1" ht="5.25" customHeight="1">
      <c r="A5" s="211"/>
      <c r="B5" s="212"/>
      <c r="C5" s="211"/>
      <c r="D5" s="211"/>
      <c r="E5" s="211"/>
      <c r="F5" s="213"/>
      <c r="G5" s="213"/>
      <c r="H5" s="214"/>
      <c r="I5" s="214"/>
      <c r="J5" s="214"/>
      <c r="K5" s="214"/>
      <c r="L5" s="214"/>
      <c r="M5" s="214"/>
      <c r="N5" s="214"/>
      <c r="O5" s="214"/>
      <c r="P5" s="214"/>
      <c r="Q5" s="214"/>
      <c r="R5" s="214"/>
      <c r="S5" s="214"/>
      <c r="T5" s="214"/>
    </row>
    <row r="6" spans="1:20" s="208" customFormat="1" ht="15" customHeight="1">
      <c r="A6" s="875" t="s">
        <v>1239</v>
      </c>
      <c r="B6" s="875"/>
      <c r="C6" s="875"/>
      <c r="D6" s="875"/>
      <c r="E6" s="875"/>
      <c r="F6" s="875"/>
      <c r="G6" s="875"/>
      <c r="H6" s="875"/>
      <c r="I6" s="875"/>
      <c r="J6" s="875"/>
      <c r="K6" s="875"/>
      <c r="L6" s="875"/>
      <c r="M6" s="875"/>
      <c r="N6" s="875"/>
      <c r="O6" s="875"/>
      <c r="P6" s="875"/>
      <c r="Q6" s="875"/>
      <c r="R6" s="875"/>
      <c r="S6" s="875"/>
      <c r="T6" s="875"/>
    </row>
    <row r="7" spans="1:20" s="208" customFormat="1" ht="15" customHeight="1">
      <c r="A7" s="875"/>
      <c r="B7" s="875"/>
      <c r="C7" s="875"/>
      <c r="D7" s="875"/>
      <c r="E7" s="875"/>
      <c r="F7" s="875"/>
      <c r="G7" s="875"/>
      <c r="H7" s="875"/>
      <c r="I7" s="875"/>
      <c r="J7" s="875"/>
      <c r="K7" s="875"/>
      <c r="L7" s="875"/>
      <c r="M7" s="875"/>
      <c r="N7" s="875"/>
      <c r="O7" s="875"/>
      <c r="P7" s="875"/>
      <c r="Q7" s="875"/>
      <c r="R7" s="875"/>
      <c r="S7" s="875"/>
      <c r="T7" s="875"/>
    </row>
    <row r="8" spans="1:20" ht="6" customHeight="1" thickBot="1"/>
    <row r="9" spans="1:20" s="289" customFormat="1" thickTop="1" thickBot="1">
      <c r="A9" s="889" t="s">
        <v>1407</v>
      </c>
      <c r="B9" s="890"/>
      <c r="C9" s="891"/>
      <c r="D9" s="588"/>
      <c r="E9" s="588"/>
      <c r="F9" s="588"/>
      <c r="G9" s="1121" t="s">
        <v>116</v>
      </c>
      <c r="H9" s="1122"/>
      <c r="I9" s="1122"/>
      <c r="J9" s="1122"/>
      <c r="K9" s="1122"/>
      <c r="L9" s="1123"/>
      <c r="M9" s="584"/>
      <c r="N9" s="1124" t="s">
        <v>74</v>
      </c>
      <c r="O9" s="1125"/>
      <c r="P9" s="1125"/>
      <c r="Q9" s="1125"/>
      <c r="R9" s="1125"/>
      <c r="S9" s="1125"/>
      <c r="T9" s="1126"/>
    </row>
    <row r="10" spans="1:20" ht="6" customHeight="1" thickTop="1"/>
    <row r="11" spans="1:20">
      <c r="A11" s="435" t="s">
        <v>1883</v>
      </c>
      <c r="B11" s="324"/>
      <c r="C11" s="324"/>
      <c r="D11" s="324"/>
      <c r="E11" s="324"/>
      <c r="F11" s="324"/>
      <c r="G11" s="324"/>
      <c r="H11" s="324"/>
      <c r="I11" s="324"/>
      <c r="J11" s="324"/>
      <c r="K11" s="324"/>
      <c r="L11" s="324"/>
      <c r="M11" s="324"/>
      <c r="N11" s="324"/>
      <c r="O11" s="324"/>
      <c r="P11" s="324"/>
      <c r="Q11" s="324"/>
      <c r="R11" s="324"/>
      <c r="S11" s="324"/>
      <c r="T11" s="324"/>
    </row>
    <row r="12" spans="1:20" s="228" customFormat="1" ht="40.5" customHeight="1">
      <c r="A12" s="420"/>
      <c r="B12" s="420"/>
      <c r="C12" s="420"/>
      <c r="D12" s="420"/>
      <c r="E12" s="420"/>
      <c r="F12" s="420"/>
      <c r="G12" s="882" t="s">
        <v>1971</v>
      </c>
      <c r="H12" s="883"/>
      <c r="I12" s="884"/>
      <c r="J12" s="882" t="s">
        <v>1972</v>
      </c>
      <c r="K12" s="883"/>
      <c r="L12" s="884"/>
      <c r="M12" s="1236" t="s">
        <v>1973</v>
      </c>
      <c r="N12" s="1237"/>
      <c r="O12" s="1238"/>
      <c r="P12" s="882" t="s">
        <v>1974</v>
      </c>
      <c r="Q12" s="883"/>
      <c r="R12" s="884"/>
      <c r="S12" s="420"/>
      <c r="T12" s="420"/>
    </row>
    <row r="13" spans="1:20" s="228" customFormat="1" ht="12">
      <c r="A13" s="1252" t="str">
        <f>$G$9</f>
        <v>Gironde</v>
      </c>
      <c r="B13" s="1253"/>
      <c r="C13" s="1253"/>
      <c r="D13" s="1253"/>
      <c r="E13" s="1253"/>
      <c r="F13" s="1254"/>
      <c r="G13" s="1050">
        <f>VLOOKUP($G$9,'D_Ch7-1'!$B$5:$F$76,MATCH("Hôtels classés",'D_Ch7-1'!$B$5:$F$5,0),FALSE)</f>
        <v>232</v>
      </c>
      <c r="H13" s="1255"/>
      <c r="I13" s="1035"/>
      <c r="J13" s="1046">
        <f>VLOOKUP($G$9,'D_Ch7-1'!$B$5:$F$76,MATCH("chambres dans Hôtels classés",'D_Ch7-1'!$B$5:$F$5,0),FALSE)</f>
        <v>11371</v>
      </c>
      <c r="K13" s="1058"/>
      <c r="L13" s="1059"/>
      <c r="M13" s="1046">
        <f>VLOOKUP($G$9,'D_Ch7-1'!$B$5:$F$76,MATCH("Campings classés",'D_Ch7-1'!$B$5:$F$5,0),FALSE)</f>
        <v>129</v>
      </c>
      <c r="N13" s="1058"/>
      <c r="O13" s="1059"/>
      <c r="P13" s="1046">
        <f>VLOOKUP($G$9,'D_Ch7-1'!$B$5:$F$76,MATCH("Emplacements de camping classés",'D_Ch7-1'!$B$5:$F$5,0),FALSE)</f>
        <v>32911</v>
      </c>
      <c r="Q13" s="1058"/>
      <c r="R13" s="1059"/>
      <c r="S13" s="420"/>
      <c r="T13" s="420"/>
    </row>
    <row r="14" spans="1:20" s="228" customFormat="1" ht="12">
      <c r="A14" s="1256" t="str">
        <f>$N$9</f>
        <v>Aquitaine</v>
      </c>
      <c r="B14" s="1257"/>
      <c r="C14" s="1257"/>
      <c r="D14" s="1257"/>
      <c r="E14" s="1257"/>
      <c r="F14" s="1258"/>
      <c r="G14" s="1050">
        <f>VLOOKUP($N$9,'D_Ch7-1'!$B$5:$F$76,MATCH("Hôtels classés",'D_Ch7-1'!$B$5:$F$5,0),FALSE)</f>
        <v>841</v>
      </c>
      <c r="H14" s="1255"/>
      <c r="I14" s="1035"/>
      <c r="J14" s="1046">
        <f>VLOOKUP($N$9,'D_Ch7-1'!$B$5:$F$76,MATCH("chambres dans Hôtels classés",'D_Ch7-1'!$B$5:$F$5,0),FALSE)</f>
        <v>28687</v>
      </c>
      <c r="K14" s="1058"/>
      <c r="L14" s="1059"/>
      <c r="M14" s="1046">
        <f>VLOOKUP($N$9,'D_Ch7-1'!$B$5:$F$76,MATCH("Campings classés",'D_Ch7-1'!$B$5:$F$5,0),FALSE)</f>
        <v>599</v>
      </c>
      <c r="N14" s="1058"/>
      <c r="O14" s="1059"/>
      <c r="P14" s="1046">
        <f>VLOOKUP($N$9,'D_Ch7-1'!$B$5:$F$76,MATCH("Emplacements de camping classés",'D_Ch7-1'!$B$5:$F$5,0),FALSE)</f>
        <v>102524</v>
      </c>
      <c r="Q14" s="1058"/>
      <c r="R14" s="1059"/>
      <c r="S14" s="420"/>
      <c r="T14" s="420"/>
    </row>
    <row r="15" spans="1:20">
      <c r="A15" s="324"/>
      <c r="B15" s="324"/>
      <c r="C15" s="324"/>
      <c r="D15" s="324"/>
      <c r="E15" s="324"/>
      <c r="F15" s="324"/>
      <c r="G15" s="324"/>
      <c r="H15" s="324"/>
      <c r="I15" s="324"/>
      <c r="J15" s="324"/>
      <c r="K15" s="324"/>
      <c r="L15" s="324"/>
      <c r="M15" s="324"/>
      <c r="N15" s="324"/>
      <c r="O15" s="324"/>
      <c r="P15" s="324"/>
      <c r="Q15" s="324"/>
      <c r="R15" s="324"/>
      <c r="S15" s="324"/>
      <c r="T15" s="324"/>
    </row>
    <row r="16" spans="1:20">
      <c r="A16" s="435" t="s">
        <v>1755</v>
      </c>
      <c r="B16" s="324"/>
      <c r="C16" s="324"/>
      <c r="D16" s="324"/>
      <c r="E16" s="324"/>
      <c r="F16" s="324"/>
      <c r="G16" s="324"/>
      <c r="H16" s="324"/>
      <c r="I16" s="324"/>
      <c r="J16" s="324"/>
      <c r="K16" s="324"/>
      <c r="L16" s="324"/>
      <c r="M16" s="487"/>
      <c r="N16" s="487"/>
      <c r="O16" s="324"/>
      <c r="P16" s="324"/>
      <c r="Q16" s="324"/>
      <c r="R16" s="324"/>
      <c r="S16" s="324"/>
      <c r="T16" s="324"/>
    </row>
    <row r="17" spans="1:22">
      <c r="A17" s="324"/>
      <c r="B17" s="324"/>
      <c r="C17" s="324"/>
      <c r="D17" s="324"/>
      <c r="E17" s="324"/>
      <c r="F17" s="324"/>
      <c r="G17" s="324"/>
      <c r="H17" s="324"/>
      <c r="I17" s="324"/>
      <c r="J17" s="324"/>
      <c r="K17" s="324"/>
      <c r="L17" s="324"/>
      <c r="M17" s="324"/>
      <c r="N17" s="324"/>
      <c r="O17" s="324"/>
      <c r="P17" s="324"/>
      <c r="Q17" s="324"/>
      <c r="R17" s="324"/>
      <c r="S17" s="324"/>
      <c r="T17" s="324"/>
    </row>
    <row r="18" spans="1:22">
      <c r="A18" s="324"/>
      <c r="B18" s="324"/>
      <c r="C18" s="324"/>
      <c r="D18" s="324"/>
      <c r="E18" s="324"/>
      <c r="F18" s="324"/>
      <c r="G18" s="324"/>
      <c r="H18" s="324"/>
      <c r="I18" s="324"/>
      <c r="J18" s="324"/>
      <c r="K18" s="324"/>
      <c r="L18" s="324"/>
      <c r="M18" s="324"/>
      <c r="N18" s="324"/>
      <c r="O18" s="324"/>
      <c r="P18" s="324"/>
      <c r="Q18" s="324"/>
      <c r="R18" s="324"/>
      <c r="S18" s="324"/>
      <c r="T18" s="324"/>
    </row>
    <row r="19" spans="1:22">
      <c r="A19" s="324"/>
      <c r="B19" s="324"/>
      <c r="C19" s="324"/>
      <c r="D19" s="324"/>
      <c r="E19" s="324"/>
      <c r="F19" s="324"/>
      <c r="G19" s="324"/>
      <c r="H19" s="324"/>
      <c r="I19" s="324"/>
      <c r="J19" s="324"/>
      <c r="K19" s="324"/>
      <c r="L19" s="324"/>
      <c r="M19" s="324"/>
      <c r="N19" s="324"/>
      <c r="O19" s="324"/>
      <c r="P19" s="324"/>
      <c r="Q19" s="324"/>
      <c r="R19" s="324"/>
      <c r="S19" s="324"/>
      <c r="T19" s="324"/>
    </row>
    <row r="20" spans="1:22">
      <c r="A20" s="324"/>
      <c r="B20" s="324"/>
      <c r="C20" s="324"/>
      <c r="D20" s="324"/>
      <c r="E20" s="324"/>
      <c r="F20" s="324"/>
      <c r="G20" s="324"/>
      <c r="H20" s="324"/>
      <c r="I20" s="324"/>
      <c r="J20" s="324"/>
      <c r="K20" s="324"/>
      <c r="L20" s="324"/>
      <c r="M20" s="324"/>
      <c r="N20" s="324"/>
      <c r="O20" s="324"/>
      <c r="P20" s="324"/>
      <c r="Q20" s="324"/>
      <c r="R20" s="324"/>
      <c r="S20" s="324"/>
      <c r="T20" s="324"/>
    </row>
    <row r="21" spans="1:22">
      <c r="A21" s="324"/>
      <c r="B21" s="324"/>
      <c r="C21" s="324"/>
      <c r="D21" s="324"/>
      <c r="E21" s="324"/>
      <c r="F21" s="324"/>
      <c r="G21" s="324"/>
      <c r="H21" s="324"/>
      <c r="I21" s="324"/>
      <c r="J21" s="324"/>
      <c r="K21" s="324"/>
      <c r="L21" s="324"/>
      <c r="M21" s="324"/>
      <c r="N21" s="324"/>
      <c r="O21" s="324"/>
      <c r="P21" s="324"/>
      <c r="Q21" s="324"/>
      <c r="R21" s="324"/>
      <c r="S21" s="324"/>
      <c r="T21" s="324"/>
      <c r="V21" s="300"/>
    </row>
    <row r="22" spans="1:22">
      <c r="A22" s="324"/>
      <c r="B22" s="324"/>
      <c r="C22" s="324"/>
      <c r="D22" s="324"/>
      <c r="E22" s="324"/>
      <c r="F22" s="324"/>
      <c r="G22" s="324"/>
      <c r="H22" s="324"/>
      <c r="I22" s="324"/>
      <c r="J22" s="324"/>
      <c r="K22" s="324"/>
      <c r="L22" s="324"/>
      <c r="M22" s="324"/>
      <c r="N22" s="324"/>
      <c r="O22" s="324"/>
      <c r="P22" s="324"/>
      <c r="Q22" s="324"/>
      <c r="R22" s="324"/>
      <c r="S22" s="324"/>
      <c r="T22" s="324"/>
    </row>
    <row r="23" spans="1:22">
      <c r="A23" s="324"/>
      <c r="B23" s="324"/>
      <c r="C23" s="324"/>
      <c r="D23" s="324"/>
      <c r="E23" s="324"/>
      <c r="F23" s="324"/>
      <c r="G23" s="324"/>
      <c r="H23" s="324"/>
      <c r="I23" s="324"/>
      <c r="J23" s="324"/>
      <c r="K23" s="324"/>
      <c r="L23" s="324"/>
      <c r="M23" s="324"/>
      <c r="N23" s="324"/>
      <c r="O23" s="324"/>
      <c r="P23" s="324"/>
      <c r="Q23" s="324"/>
      <c r="R23" s="324"/>
      <c r="S23" s="324"/>
      <c r="T23" s="324"/>
    </row>
    <row r="24" spans="1:22">
      <c r="A24" s="324"/>
      <c r="B24" s="324"/>
      <c r="C24" s="324"/>
      <c r="D24" s="324"/>
      <c r="E24" s="324"/>
      <c r="F24" s="324"/>
      <c r="G24" s="324"/>
      <c r="H24" s="324"/>
      <c r="I24" s="324"/>
      <c r="J24" s="324"/>
      <c r="K24" s="324"/>
      <c r="L24" s="324"/>
      <c r="M24" s="324"/>
      <c r="N24" s="324"/>
      <c r="O24" s="324"/>
      <c r="P24" s="324"/>
      <c r="Q24" s="324"/>
      <c r="R24" s="324"/>
      <c r="S24" s="324"/>
      <c r="T24" s="324"/>
      <c r="V24" s="300"/>
    </row>
    <row r="25" spans="1:22">
      <c r="A25" s="324"/>
      <c r="B25" s="324"/>
      <c r="C25" s="324"/>
      <c r="D25" s="324"/>
      <c r="E25" s="324"/>
      <c r="F25" s="324"/>
      <c r="G25" s="324"/>
      <c r="H25" s="324"/>
      <c r="I25" s="324"/>
      <c r="J25" s="324"/>
      <c r="K25" s="324"/>
      <c r="L25" s="324"/>
      <c r="M25" s="324"/>
      <c r="N25" s="324"/>
      <c r="O25" s="324"/>
      <c r="P25" s="324"/>
      <c r="Q25" s="324"/>
      <c r="R25" s="324"/>
      <c r="S25" s="324"/>
      <c r="T25" s="324"/>
    </row>
    <row r="26" spans="1:22">
      <c r="A26" s="324"/>
      <c r="B26" s="324"/>
      <c r="C26" s="324"/>
      <c r="D26" s="324"/>
      <c r="E26" s="324"/>
      <c r="F26" s="324"/>
      <c r="G26" s="324"/>
      <c r="H26" s="324"/>
      <c r="I26" s="324"/>
      <c r="J26" s="324"/>
      <c r="K26" s="324"/>
      <c r="L26" s="324"/>
      <c r="M26" s="324"/>
      <c r="N26" s="324"/>
      <c r="O26" s="324"/>
      <c r="P26" s="324"/>
      <c r="Q26" s="324"/>
      <c r="R26" s="324"/>
      <c r="S26" s="324"/>
      <c r="T26" s="324"/>
    </row>
    <row r="27" spans="1:22">
      <c r="A27" s="324"/>
      <c r="B27" s="324"/>
      <c r="C27" s="324"/>
      <c r="D27" s="324"/>
      <c r="E27" s="324"/>
      <c r="F27" s="324"/>
      <c r="G27" s="324"/>
      <c r="H27" s="324"/>
      <c r="I27" s="324"/>
      <c r="J27" s="324"/>
      <c r="K27" s="324"/>
      <c r="L27" s="324"/>
      <c r="M27" s="324"/>
      <c r="N27" s="324"/>
      <c r="O27" s="324"/>
      <c r="P27" s="324"/>
      <c r="Q27" s="324"/>
      <c r="R27" s="324"/>
      <c r="S27" s="324"/>
      <c r="T27" s="324"/>
    </row>
    <row r="28" spans="1:22">
      <c r="A28" s="324"/>
      <c r="B28" s="324"/>
      <c r="C28" s="324"/>
      <c r="D28" s="324"/>
      <c r="E28" s="324"/>
      <c r="F28" s="324"/>
      <c r="G28" s="324"/>
      <c r="H28" s="324"/>
      <c r="I28" s="324"/>
      <c r="J28" s="324"/>
      <c r="K28" s="324"/>
      <c r="L28" s="324"/>
      <c r="M28" s="324"/>
      <c r="N28" s="324"/>
      <c r="O28" s="324"/>
      <c r="P28" s="324"/>
      <c r="Q28" s="324"/>
      <c r="R28" s="324"/>
      <c r="S28" s="324"/>
      <c r="T28" s="324"/>
    </row>
    <row r="29" spans="1:22">
      <c r="A29" s="435" t="s">
        <v>1756</v>
      </c>
      <c r="B29" s="324"/>
      <c r="C29" s="324"/>
      <c r="D29" s="324"/>
      <c r="E29" s="324"/>
      <c r="F29" s="324"/>
      <c r="G29" s="324"/>
      <c r="H29" s="324"/>
      <c r="I29" s="324"/>
      <c r="J29" s="324"/>
      <c r="K29" s="324"/>
      <c r="L29" s="324"/>
      <c r="M29" s="324"/>
      <c r="N29" s="324"/>
      <c r="O29" s="324"/>
      <c r="P29" s="487"/>
      <c r="Q29" s="487"/>
      <c r="R29" s="324"/>
      <c r="S29" s="324"/>
      <c r="T29" s="324"/>
    </row>
    <row r="30" spans="1:22" s="289" customFormat="1" ht="13.5">
      <c r="A30" s="588"/>
      <c r="B30" s="588"/>
      <c r="C30" s="588"/>
      <c r="D30" s="588"/>
      <c r="E30" s="588"/>
      <c r="F30" s="588"/>
      <c r="G30" s="588"/>
      <c r="H30" s="588"/>
      <c r="I30" s="588"/>
      <c r="J30" s="588"/>
      <c r="K30" s="588"/>
      <c r="L30" s="588"/>
      <c r="M30" s="588"/>
      <c r="N30" s="588"/>
      <c r="O30" s="588"/>
      <c r="P30" s="588"/>
      <c r="Q30" s="588"/>
      <c r="R30" s="588"/>
      <c r="S30" s="588"/>
      <c r="T30" s="588"/>
    </row>
    <row r="31" spans="1:22" s="322" customFormat="1" ht="12">
      <c r="A31" s="556"/>
      <c r="B31" s="556"/>
      <c r="C31" s="556"/>
      <c r="D31" s="556"/>
      <c r="E31" s="556"/>
      <c r="F31" s="556"/>
      <c r="G31" s="556"/>
      <c r="H31" s="556"/>
      <c r="I31" s="556"/>
      <c r="J31" s="556"/>
      <c r="K31" s="556"/>
      <c r="L31" s="556"/>
      <c r="M31" s="556"/>
      <c r="N31" s="556"/>
      <c r="O31" s="556"/>
      <c r="P31" s="556"/>
      <c r="Q31" s="556"/>
      <c r="R31" s="556"/>
      <c r="S31" s="556"/>
      <c r="T31" s="556"/>
    </row>
    <row r="32" spans="1:22" s="228" customFormat="1" ht="12">
      <c r="A32" s="420"/>
      <c r="B32" s="420"/>
      <c r="C32" s="420"/>
      <c r="D32" s="420"/>
      <c r="E32" s="420"/>
      <c r="F32" s="420"/>
      <c r="G32" s="420"/>
      <c r="H32" s="420"/>
      <c r="I32" s="420"/>
      <c r="J32" s="420"/>
      <c r="K32" s="420"/>
      <c r="L32" s="420"/>
      <c r="M32" s="420"/>
      <c r="N32" s="420"/>
      <c r="O32" s="420"/>
      <c r="P32" s="420"/>
      <c r="Q32" s="420"/>
      <c r="R32" s="420"/>
      <c r="S32" s="420"/>
      <c r="T32" s="420"/>
    </row>
    <row r="33" spans="1:22" s="228" customFormat="1" ht="12">
      <c r="A33" s="420"/>
      <c r="B33" s="420"/>
      <c r="C33" s="420"/>
      <c r="D33" s="420"/>
      <c r="E33" s="420"/>
      <c r="F33" s="420"/>
      <c r="G33" s="420"/>
      <c r="H33" s="420"/>
      <c r="I33" s="420"/>
      <c r="J33" s="420"/>
      <c r="K33" s="420"/>
      <c r="L33" s="420"/>
      <c r="M33" s="420"/>
      <c r="N33" s="420"/>
      <c r="O33" s="420"/>
      <c r="P33" s="420"/>
      <c r="Q33" s="420"/>
      <c r="R33" s="420"/>
      <c r="S33" s="420"/>
      <c r="T33" s="420"/>
    </row>
    <row r="34" spans="1:22" s="228" customFormat="1" ht="12">
      <c r="A34" s="420"/>
      <c r="B34" s="420"/>
      <c r="C34" s="420"/>
      <c r="D34" s="420"/>
      <c r="E34" s="420"/>
      <c r="F34" s="420"/>
      <c r="G34" s="420"/>
      <c r="H34" s="420"/>
      <c r="I34" s="420"/>
      <c r="J34" s="420"/>
      <c r="K34" s="420"/>
      <c r="L34" s="420"/>
      <c r="M34" s="420"/>
      <c r="N34" s="420"/>
      <c r="O34" s="420"/>
      <c r="P34" s="420"/>
      <c r="Q34" s="420"/>
      <c r="R34" s="420"/>
      <c r="S34" s="420"/>
      <c r="T34" s="420"/>
    </row>
    <row r="35" spans="1:22" s="228" customFormat="1" ht="12">
      <c r="A35" s="420"/>
      <c r="B35" s="420"/>
      <c r="C35" s="420"/>
      <c r="D35" s="420"/>
      <c r="E35" s="420"/>
      <c r="F35" s="420"/>
      <c r="G35" s="420"/>
      <c r="H35" s="420"/>
      <c r="I35" s="420"/>
      <c r="J35" s="420"/>
      <c r="K35" s="420"/>
      <c r="L35" s="420"/>
      <c r="M35" s="420"/>
      <c r="N35" s="420"/>
      <c r="O35" s="420"/>
      <c r="P35" s="420"/>
      <c r="Q35" s="420"/>
      <c r="R35" s="420"/>
      <c r="S35" s="420"/>
      <c r="T35" s="420"/>
    </row>
    <row r="36" spans="1:22" s="228" customFormat="1" ht="12">
      <c r="A36" s="420"/>
      <c r="B36" s="420"/>
      <c r="C36" s="420"/>
      <c r="D36" s="420"/>
      <c r="E36" s="420"/>
      <c r="F36" s="420"/>
      <c r="G36" s="420"/>
      <c r="H36" s="420"/>
      <c r="I36" s="420"/>
      <c r="J36" s="420"/>
      <c r="K36" s="420"/>
      <c r="L36" s="420"/>
      <c r="M36" s="420"/>
      <c r="N36" s="420"/>
      <c r="O36" s="420"/>
      <c r="P36" s="420"/>
      <c r="Q36" s="420"/>
      <c r="R36" s="420"/>
      <c r="S36" s="420"/>
      <c r="T36" s="420"/>
    </row>
    <row r="37" spans="1:22">
      <c r="A37" s="324"/>
      <c r="B37" s="324"/>
      <c r="C37" s="324"/>
      <c r="D37" s="324"/>
      <c r="E37" s="324"/>
      <c r="F37" s="324"/>
      <c r="G37" s="324"/>
      <c r="H37" s="324"/>
      <c r="I37" s="324"/>
      <c r="J37" s="324"/>
      <c r="K37" s="324"/>
      <c r="L37" s="324"/>
      <c r="M37" s="324"/>
      <c r="N37" s="324"/>
      <c r="O37" s="324"/>
      <c r="P37" s="324"/>
      <c r="Q37" s="324"/>
      <c r="R37" s="324"/>
      <c r="S37" s="324"/>
      <c r="T37" s="324"/>
      <c r="V37" s="300"/>
    </row>
    <row r="38" spans="1:22">
      <c r="A38" s="324"/>
      <c r="B38" s="324"/>
      <c r="C38" s="324"/>
      <c r="D38" s="324"/>
      <c r="E38" s="324"/>
      <c r="F38" s="324"/>
      <c r="G38" s="324"/>
      <c r="H38" s="324"/>
      <c r="I38" s="324"/>
      <c r="J38" s="324"/>
      <c r="K38" s="324"/>
      <c r="L38" s="324"/>
      <c r="M38" s="324"/>
      <c r="N38" s="324"/>
      <c r="O38" s="324"/>
      <c r="P38" s="324"/>
      <c r="Q38" s="324"/>
      <c r="R38" s="324"/>
      <c r="S38" s="324"/>
      <c r="T38" s="324"/>
    </row>
    <row r="39" spans="1:22">
      <c r="A39" s="324"/>
      <c r="B39" s="324"/>
      <c r="C39" s="324"/>
      <c r="D39" s="324"/>
      <c r="E39" s="324"/>
      <c r="F39" s="324"/>
      <c r="G39" s="324"/>
      <c r="H39" s="324"/>
      <c r="I39" s="324"/>
      <c r="J39" s="324"/>
      <c r="K39" s="324"/>
      <c r="L39" s="324"/>
      <c r="M39" s="324"/>
      <c r="N39" s="324"/>
      <c r="O39" s="324"/>
      <c r="P39" s="324"/>
      <c r="Q39" s="324"/>
      <c r="R39" s="324"/>
      <c r="S39" s="324"/>
      <c r="T39" s="324"/>
    </row>
    <row r="40" spans="1:22">
      <c r="A40" s="324"/>
      <c r="B40" s="324"/>
      <c r="C40" s="324"/>
      <c r="D40" s="324"/>
      <c r="E40" s="324"/>
      <c r="F40" s="324"/>
      <c r="G40" s="324"/>
      <c r="H40" s="324"/>
      <c r="I40" s="324"/>
      <c r="J40" s="324"/>
      <c r="K40" s="324"/>
      <c r="L40" s="324"/>
      <c r="M40" s="324"/>
      <c r="N40" s="324"/>
      <c r="O40" s="324"/>
      <c r="P40" s="324"/>
      <c r="Q40" s="324"/>
      <c r="R40" s="324"/>
      <c r="S40" s="324"/>
      <c r="T40" s="324"/>
    </row>
    <row r="41" spans="1:22">
      <c r="A41" s="324"/>
      <c r="B41" s="324"/>
      <c r="C41" s="324"/>
      <c r="D41" s="324"/>
      <c r="E41" s="324"/>
      <c r="F41" s="324"/>
      <c r="G41" s="324"/>
      <c r="H41" s="324"/>
      <c r="I41" s="324"/>
      <c r="J41" s="324"/>
      <c r="K41" s="324"/>
      <c r="L41" s="324"/>
      <c r="M41" s="324"/>
      <c r="N41" s="324"/>
      <c r="O41" s="324"/>
      <c r="P41" s="324"/>
      <c r="Q41" s="324"/>
      <c r="R41" s="324"/>
      <c r="S41" s="324"/>
      <c r="T41" s="324"/>
    </row>
    <row r="42" spans="1:22">
      <c r="A42" s="324"/>
      <c r="B42" s="324"/>
      <c r="C42" s="324"/>
      <c r="D42" s="324"/>
      <c r="E42" s="324"/>
      <c r="F42" s="324"/>
      <c r="G42" s="324"/>
      <c r="H42" s="324"/>
      <c r="I42" s="324"/>
      <c r="J42" s="324"/>
      <c r="K42" s="324"/>
      <c r="L42" s="324"/>
      <c r="M42" s="324"/>
      <c r="N42" s="324"/>
      <c r="O42" s="324"/>
      <c r="P42" s="324"/>
      <c r="Q42" s="324"/>
      <c r="R42" s="324"/>
      <c r="S42" s="324"/>
      <c r="T42" s="324"/>
    </row>
    <row r="43" spans="1:22">
      <c r="A43" s="435" t="s">
        <v>1619</v>
      </c>
      <c r="B43" s="435"/>
      <c r="C43" s="435"/>
      <c r="D43" s="435"/>
      <c r="E43" s="435"/>
      <c r="F43" s="435"/>
      <c r="G43" s="435"/>
      <c r="H43" s="324"/>
      <c r="I43" s="324"/>
      <c r="J43" s="324"/>
      <c r="K43" s="324"/>
      <c r="L43" s="324"/>
      <c r="M43" s="324"/>
      <c r="N43" s="324"/>
      <c r="O43" s="324"/>
      <c r="P43" s="324"/>
      <c r="Q43" s="324"/>
      <c r="R43" s="324"/>
      <c r="S43" s="324"/>
      <c r="T43" s="324"/>
    </row>
    <row r="44" spans="1:22" ht="6.75" customHeight="1" thickBot="1">
      <c r="A44" s="435"/>
      <c r="B44" s="324"/>
      <c r="C44" s="324"/>
      <c r="D44" s="324"/>
      <c r="E44" s="436"/>
      <c r="F44" s="324"/>
      <c r="G44" s="324"/>
      <c r="H44" s="324"/>
      <c r="I44" s="324"/>
      <c r="J44" s="324"/>
      <c r="K44" s="324"/>
      <c r="L44" s="324"/>
      <c r="M44" s="324"/>
      <c r="N44" s="324"/>
      <c r="O44" s="324"/>
      <c r="P44" s="324"/>
      <c r="Q44" s="324"/>
      <c r="R44" s="324"/>
      <c r="S44" s="324"/>
      <c r="T44" s="324"/>
    </row>
    <row r="45" spans="1:22" ht="16.5" thickTop="1" thickBot="1">
      <c r="A45" s="435"/>
      <c r="B45" s="588"/>
      <c r="C45" s="588"/>
      <c r="D45" s="588"/>
      <c r="E45" s="436"/>
      <c r="F45" s="592"/>
      <c r="G45" s="1121" t="s">
        <v>116</v>
      </c>
      <c r="H45" s="1122"/>
      <c r="I45" s="1122"/>
      <c r="J45" s="1122"/>
      <c r="K45" s="1122"/>
      <c r="L45" s="1123"/>
      <c r="M45" s="584"/>
      <c r="N45" s="1124" t="s">
        <v>74</v>
      </c>
      <c r="O45" s="1125"/>
      <c r="P45" s="1125"/>
      <c r="Q45" s="1125"/>
      <c r="R45" s="1125"/>
      <c r="S45" s="1125"/>
      <c r="T45" s="1126"/>
    </row>
    <row r="46" spans="1:22" ht="15.75" thickTop="1">
      <c r="A46" s="556"/>
      <c r="B46" s="556"/>
      <c r="C46" s="556"/>
      <c r="D46" s="556"/>
      <c r="E46" s="556"/>
      <c r="F46" s="556"/>
      <c r="G46" s="1251"/>
      <c r="H46" s="1251"/>
      <c r="I46" s="1251"/>
      <c r="J46" s="1251"/>
      <c r="K46" s="1251"/>
      <c r="L46" s="1251"/>
      <c r="M46" s="556"/>
      <c r="N46" s="556"/>
      <c r="O46" s="1251"/>
      <c r="P46" s="1251"/>
      <c r="Q46" s="1251"/>
      <c r="R46" s="1251"/>
      <c r="S46" s="1251"/>
      <c r="T46" s="1251"/>
    </row>
    <row r="47" spans="1:22" ht="24" customHeight="1">
      <c r="A47" s="1259" t="s">
        <v>1530</v>
      </c>
      <c r="B47" s="1259"/>
      <c r="C47" s="1259"/>
      <c r="D47" s="1259"/>
      <c r="E47" s="1259"/>
      <c r="F47" s="1260"/>
      <c r="G47" s="1246" t="s">
        <v>1586</v>
      </c>
      <c r="H47" s="1247"/>
      <c r="I47" s="1246" t="s">
        <v>1884</v>
      </c>
      <c r="J47" s="1247"/>
      <c r="K47" s="892" t="s">
        <v>1531</v>
      </c>
      <c r="L47" s="893"/>
      <c r="M47" s="420"/>
      <c r="N47" s="420"/>
      <c r="O47" s="1246" t="s">
        <v>1586</v>
      </c>
      <c r="P47" s="1247"/>
      <c r="Q47" s="1246" t="s">
        <v>1884</v>
      </c>
      <c r="R47" s="1247"/>
      <c r="S47" s="892" t="s">
        <v>1531</v>
      </c>
      <c r="T47" s="893"/>
    </row>
    <row r="48" spans="1:22">
      <c r="A48" s="1248" t="s">
        <v>1246</v>
      </c>
      <c r="B48" s="1249"/>
      <c r="C48" s="1249"/>
      <c r="D48" s="1249"/>
      <c r="E48" s="1249"/>
      <c r="F48" s="1250"/>
      <c r="G48" s="887">
        <f>VLOOKUP($G$45,'D_Ch7-1'!$B$54:$AB$76,MATCH("Nb de nuités dans hotels N-1",'D_Ch7-1'!$B$5:$AB$5,0),FALSE)</f>
        <v>4288600</v>
      </c>
      <c r="H48" s="888"/>
      <c r="I48" s="864">
        <f>VLOOKUP($G$45,'D_Ch7-1'!$B$54:$AB$76,MATCH("Evolution nuit hotel",'D_Ch7-1'!$B$5:$AB$5,0),FALSE)</f>
        <v>4.8582582174340611E-2</v>
      </c>
      <c r="J48" s="865"/>
      <c r="K48" s="864">
        <f>VLOOKUP($G$45,'D_Ch7-1'!$B$54:$AB$76,MATCH("Taux d'occu moyen Hotel N-1",'D_Ch7-1'!$B$5:$AB$5,0),FALSE)</f>
        <v>0.62894166628519688</v>
      </c>
      <c r="L48" s="865"/>
      <c r="M48" s="420"/>
      <c r="N48" s="420"/>
      <c r="O48" s="887">
        <f>VLOOKUP($N$45,'D_Ch7-1'!$B$54:$AB$76,MATCH("Nb de nuités dans hotels N-1",'D_Ch7-1'!$B$5:$AB$5,0),FALSE)</f>
        <v>9626509</v>
      </c>
      <c r="P48" s="888"/>
      <c r="Q48" s="864">
        <f>VLOOKUP($N$45,'D_Ch7-1'!$B$54:$AB$76,MATCH("Evolution nuit hotel",'D_Ch7-1'!$B$5:$AB$5,0),FALSE)</f>
        <v>3.3694112088566985E-2</v>
      </c>
      <c r="R48" s="865"/>
      <c r="S48" s="864">
        <f>VLOOKUP($N$45,'D_Ch7-1'!$B$54:$AB$76,MATCH("Taux d'occu moyen Hotel N-1",'D_Ch7-1'!$B$5:$AB$5,0),FALSE)</f>
        <v>0.55540000279744473</v>
      </c>
      <c r="T48" s="865"/>
    </row>
    <row r="49" spans="1:20">
      <c r="A49" s="1248" t="s">
        <v>1247</v>
      </c>
      <c r="B49" s="1249"/>
      <c r="C49" s="1249"/>
      <c r="D49" s="1249"/>
      <c r="E49" s="1249"/>
      <c r="F49" s="1250"/>
      <c r="G49" s="887">
        <f>VLOOKUP($G$45,'D_Ch7-1'!$B$54:$AB$76,MATCH("Nb de nuités dans campings N-1",'D_Ch7-1'!$B$5:$AB$5,0),FALSE)</f>
        <v>4518867</v>
      </c>
      <c r="H49" s="888"/>
      <c r="I49" s="864">
        <f>VLOOKUP($G$45,'D_Ch7-1'!$B$54:$AB$76,MATCH("Evolution nuit camping",'D_Ch7-1'!$B$5:$AB$5,0),FALSE)</f>
        <v>0.12583431038065232</v>
      </c>
      <c r="J49" s="865"/>
      <c r="K49" s="864">
        <f>VLOOKUP($G$45,'D_Ch7-1'!$B$54:$AB$76,MATCH("Taux d'occu moyen camping N-1",'D_Ch7-1'!$B$5:$AB$5,0),FALSE)</f>
        <v>0.39009998321533201</v>
      </c>
      <c r="L49" s="865"/>
      <c r="M49" s="420"/>
      <c r="N49" s="420"/>
      <c r="O49" s="887">
        <f>VLOOKUP($N$45,'D_Ch7-1'!$B$54:$AB$76,MATCH("Nb de nuités dans campings N-1",'D_Ch7-1'!$B$5:$AB$5,0),FALSE)</f>
        <v>15608813</v>
      </c>
      <c r="P49" s="888"/>
      <c r="Q49" s="864">
        <f>VLOOKUP($N$45,'D_Ch7-1'!$B$54:$AB$76,MATCH("Evolution nuit camping",'D_Ch7-1'!$B$5:$AB$5,0),FALSE)</f>
        <v>5.1153872210644359E-2</v>
      </c>
      <c r="R49" s="865"/>
      <c r="S49" s="864">
        <f>VLOOKUP($N$45,'D_Ch7-1'!$B$54:$AB$76,MATCH("Taux d'occu moyen camping N-1",'D_Ch7-1'!$B$5:$AB$5,0),FALSE)</f>
        <v>0.39250000000000002</v>
      </c>
      <c r="T49" s="865"/>
    </row>
    <row r="50" spans="1:20" ht="8.25" customHeight="1">
      <c r="A50" s="324"/>
      <c r="B50" s="324"/>
      <c r="C50" s="324"/>
      <c r="D50" s="324"/>
      <c r="E50" s="324"/>
      <c r="F50" s="324"/>
      <c r="G50" s="324"/>
      <c r="H50" s="324"/>
      <c r="I50" s="324"/>
      <c r="J50" s="324"/>
      <c r="K50" s="324"/>
      <c r="L50" s="324"/>
      <c r="M50" s="324"/>
      <c r="N50" s="324"/>
      <c r="O50" s="324"/>
      <c r="P50" s="324"/>
      <c r="Q50" s="324"/>
      <c r="R50" s="324"/>
      <c r="S50" s="324"/>
      <c r="T50" s="324"/>
    </row>
    <row r="51" spans="1:20" ht="36" customHeight="1">
      <c r="A51" s="1244" t="s">
        <v>1476</v>
      </c>
      <c r="B51" s="1244"/>
      <c r="C51" s="1244"/>
      <c r="D51" s="1244"/>
      <c r="E51" s="1244"/>
      <c r="F51" s="1245"/>
      <c r="G51" s="1246" t="s">
        <v>1586</v>
      </c>
      <c r="H51" s="1247"/>
      <c r="I51" s="1246" t="s">
        <v>1884</v>
      </c>
      <c r="J51" s="1247"/>
      <c r="K51" s="1246" t="s">
        <v>1600</v>
      </c>
      <c r="L51" s="1247"/>
      <c r="M51" s="420"/>
      <c r="N51" s="420"/>
      <c r="O51" s="1246" t="s">
        <v>1586</v>
      </c>
      <c r="P51" s="1247"/>
      <c r="Q51" s="1246" t="s">
        <v>1884</v>
      </c>
      <c r="R51" s="1247"/>
      <c r="S51" s="1246" t="s">
        <v>1600</v>
      </c>
      <c r="T51" s="1247"/>
    </row>
    <row r="52" spans="1:20">
      <c r="A52" s="1248" t="s">
        <v>1246</v>
      </c>
      <c r="B52" s="1249"/>
      <c r="C52" s="1249"/>
      <c r="D52" s="1249"/>
      <c r="E52" s="1249"/>
      <c r="F52" s="1250"/>
      <c r="G52" s="887">
        <f>VLOOKUP($G$45,'D_Ch7-1'!$B$54:$AB$76,MATCH("Nuitées etrang H_N-1",'D_Ch7-1'!$B$5:$AB$5,0),FALSE)</f>
        <v>929258</v>
      </c>
      <c r="H52" s="888"/>
      <c r="I52" s="864">
        <f>VLOOKUP($G$45,'D_Ch7-1'!$B$54:$AB$76,MATCH("Evol Nuités Etrang Hotel",'D_Ch7-1'!$B$5:$AB$5,0),FALSE)</f>
        <v>7.8105567002654488E-2</v>
      </c>
      <c r="J52" s="865"/>
      <c r="K52" s="864">
        <f>VLOOKUP($G$45,'D_Ch7-1'!$B$54:$AB$76,MATCH("Part nuités étrnag H_N-1",'D_Ch7-1'!$B$5:$AB$5,0),FALSE)</f>
        <v>0.21668096814811361</v>
      </c>
      <c r="L52" s="865"/>
      <c r="M52" s="420"/>
      <c r="N52" s="420"/>
      <c r="O52" s="887">
        <f>VLOOKUP($N$45,'D_Ch7-1'!$B$54:$AB$76,MATCH("Nuitées etrang H_N-1",'D_Ch7-1'!$B$5:$AB$5,0),FALSE)</f>
        <v>1865897</v>
      </c>
      <c r="P52" s="888"/>
      <c r="Q52" s="864">
        <f>VLOOKUP($N$45,'D_Ch7-1'!$B$54:$AB$76,MATCH("Evol Nuités Etrang Hotel",'D_Ch7-1'!$B$5:$AB$5,0),FALSE)</f>
        <v>4.2752414781300506E-2</v>
      </c>
      <c r="R52" s="865"/>
      <c r="S52" s="864">
        <f>VLOOKUP($N$45,'D_Ch7-1'!$B$54:$AB$76,MATCH("Part nuités étrnag H_N-1",'D_Ch7-1'!$B$5:$AB$5,0),FALSE)</f>
        <v>0.19382904020554076</v>
      </c>
      <c r="T52" s="865"/>
    </row>
    <row r="53" spans="1:20">
      <c r="A53" s="1248" t="s">
        <v>1247</v>
      </c>
      <c r="B53" s="1249"/>
      <c r="C53" s="1249"/>
      <c r="D53" s="1249"/>
      <c r="E53" s="1249"/>
      <c r="F53" s="1250"/>
      <c r="G53" s="887">
        <f>VLOOKUP($G$45,'D_Ch7-1'!$B$54:$AB$76,MATCH("Nuitées etrang C_N-1",'D_Ch7-1'!$B$5:$AB$5,0),FALSE)</f>
        <v>1441446</v>
      </c>
      <c r="H53" s="888"/>
      <c r="I53" s="864">
        <f>VLOOKUP($G$45,'D_Ch7-1'!$B$54:$AB$76,MATCH("Evol nuités Etrang camping",'D_Ch7-1'!$B$5:$AB$5,0),FALSE)</f>
        <v>-9.9897595520851441E-3</v>
      </c>
      <c r="J53" s="865"/>
      <c r="K53" s="864">
        <f>VLOOKUP($G$45,'D_Ch7-1'!$B$54:$AB$76,MATCH("Part nuités étrang C_N-1",'D_Ch7-1'!$B$5:$AB$5,0),FALSE)</f>
        <v>0.31898394000088959</v>
      </c>
      <c r="L53" s="865"/>
      <c r="M53" s="420"/>
      <c r="N53" s="420"/>
      <c r="O53" s="887">
        <f>VLOOKUP($N$45,'D_Ch7-1'!$B$54:$AB$76,MATCH("Nuitées etrang C_N-1",'D_Ch7-1'!$B$5:$AB$5,0),FALSE)</f>
        <v>4818855</v>
      </c>
      <c r="P53" s="888"/>
      <c r="Q53" s="864">
        <f>VLOOKUP($N$45,'D_Ch7-1'!$B$54:$AB$76,MATCH("Evol nuités Etrang camping",'D_Ch7-1'!$B$5:$AB$5,0),FALSE)</f>
        <v>-6.2249434939699406E-3</v>
      </c>
      <c r="R53" s="865"/>
      <c r="S53" s="864">
        <f>VLOOKUP($N$45,'D_Ch7-1'!$B$54:$AB$76,MATCH("Part nuités étrang C_N-1",'D_Ch7-1'!$B$5:$AB$5,0),FALSE)</f>
        <v>0.30872655082740758</v>
      </c>
      <c r="T53" s="865"/>
    </row>
    <row r="54" spans="1:20" s="208" customFormat="1" ht="15" customHeight="1">
      <c r="A54" s="338"/>
      <c r="B54" s="450"/>
      <c r="C54" s="451"/>
      <c r="D54" s="451"/>
      <c r="E54" s="451"/>
      <c r="F54" s="1229" t="s">
        <v>1369</v>
      </c>
      <c r="G54" s="1230"/>
      <c r="H54" s="1230"/>
      <c r="I54" s="1230"/>
      <c r="J54" s="1230"/>
      <c r="K54" s="1230"/>
      <c r="L54" s="1230"/>
      <c r="M54" s="1230"/>
      <c r="N54" s="1230"/>
      <c r="O54" s="1230"/>
      <c r="P54" s="1230"/>
      <c r="Q54" s="1230"/>
      <c r="R54" s="1230"/>
      <c r="S54" s="1230"/>
      <c r="T54" s="1231"/>
    </row>
    <row r="55" spans="1:20" s="208" customFormat="1" ht="12.75" customHeight="1">
      <c r="A55" s="452"/>
      <c r="B55" s="451"/>
      <c r="C55" s="451"/>
      <c r="D55" s="451"/>
      <c r="E55" s="451"/>
      <c r="F55" s="985"/>
      <c r="G55" s="977"/>
      <c r="H55" s="977"/>
      <c r="I55" s="977"/>
      <c r="J55" s="977"/>
      <c r="K55" s="977"/>
      <c r="L55" s="977"/>
      <c r="M55" s="977"/>
      <c r="N55" s="977"/>
      <c r="O55" s="977"/>
      <c r="P55" s="977"/>
      <c r="Q55" s="977"/>
      <c r="R55" s="977"/>
      <c r="S55" s="977"/>
      <c r="T55" s="1232"/>
    </row>
    <row r="56" spans="1:20" s="208" customFormat="1" ht="15" customHeight="1">
      <c r="A56" s="453"/>
      <c r="B56" s="451"/>
      <c r="C56" s="451"/>
      <c r="D56" s="451"/>
      <c r="E56" s="451"/>
      <c r="F56" s="985"/>
      <c r="G56" s="977"/>
      <c r="H56" s="977"/>
      <c r="I56" s="977"/>
      <c r="J56" s="977"/>
      <c r="K56" s="977"/>
      <c r="L56" s="977"/>
      <c r="M56" s="977"/>
      <c r="N56" s="977"/>
      <c r="O56" s="977"/>
      <c r="P56" s="977"/>
      <c r="Q56" s="977"/>
      <c r="R56" s="977"/>
      <c r="S56" s="977"/>
      <c r="T56" s="1232"/>
    </row>
    <row r="57" spans="1:20" s="208" customFormat="1" ht="12.75" customHeight="1">
      <c r="A57" s="453"/>
      <c r="B57" s="451"/>
      <c r="C57" s="451"/>
      <c r="D57" s="451"/>
      <c r="E57" s="451"/>
      <c r="F57" s="1233"/>
      <c r="G57" s="1234"/>
      <c r="H57" s="1234"/>
      <c r="I57" s="1234"/>
      <c r="J57" s="1234"/>
      <c r="K57" s="1234"/>
      <c r="L57" s="1234"/>
      <c r="M57" s="1234"/>
      <c r="N57" s="1234"/>
      <c r="O57" s="1234"/>
      <c r="P57" s="1234"/>
      <c r="Q57" s="1234"/>
      <c r="R57" s="1234"/>
      <c r="S57" s="1234"/>
      <c r="T57" s="1235"/>
    </row>
    <row r="58" spans="1:20" s="208" customFormat="1" ht="5.25" customHeight="1">
      <c r="A58" s="454"/>
      <c r="B58" s="455"/>
      <c r="C58" s="454"/>
      <c r="D58" s="454"/>
      <c r="E58" s="454"/>
      <c r="F58" s="456"/>
      <c r="G58" s="456"/>
      <c r="H58" s="399"/>
      <c r="I58" s="399"/>
      <c r="J58" s="399"/>
      <c r="K58" s="399"/>
      <c r="L58" s="399"/>
      <c r="M58" s="399"/>
      <c r="N58" s="399"/>
      <c r="O58" s="399"/>
      <c r="P58" s="399"/>
      <c r="Q58" s="399"/>
      <c r="R58" s="399"/>
      <c r="S58" s="399"/>
      <c r="T58" s="399"/>
    </row>
    <row r="59" spans="1:20" s="208" customFormat="1" ht="15" customHeight="1">
      <c r="A59" s="875" t="s">
        <v>1239</v>
      </c>
      <c r="B59" s="875"/>
      <c r="C59" s="875"/>
      <c r="D59" s="875"/>
      <c r="E59" s="875"/>
      <c r="F59" s="875"/>
      <c r="G59" s="875"/>
      <c r="H59" s="875"/>
      <c r="I59" s="875"/>
      <c r="J59" s="875"/>
      <c r="K59" s="875"/>
      <c r="L59" s="875"/>
      <c r="M59" s="875"/>
      <c r="N59" s="875"/>
      <c r="O59" s="875"/>
      <c r="P59" s="875"/>
      <c r="Q59" s="875"/>
      <c r="R59" s="875"/>
      <c r="S59" s="875"/>
      <c r="T59" s="875"/>
    </row>
    <row r="60" spans="1:20" s="208" customFormat="1" ht="15" customHeight="1">
      <c r="A60" s="875"/>
      <c r="B60" s="875"/>
      <c r="C60" s="875"/>
      <c r="D60" s="875"/>
      <c r="E60" s="875"/>
      <c r="F60" s="875"/>
      <c r="G60" s="875"/>
      <c r="H60" s="875"/>
      <c r="I60" s="875"/>
      <c r="J60" s="875"/>
      <c r="K60" s="875"/>
      <c r="L60" s="875"/>
      <c r="M60" s="875"/>
      <c r="N60" s="875"/>
      <c r="O60" s="875"/>
      <c r="P60" s="875"/>
      <c r="Q60" s="875"/>
      <c r="R60" s="875"/>
      <c r="S60" s="875"/>
      <c r="T60" s="875"/>
    </row>
    <row r="61" spans="1:20">
      <c r="A61" s="324"/>
      <c r="B61" s="324"/>
      <c r="C61" s="324"/>
      <c r="D61" s="324"/>
      <c r="E61" s="324"/>
      <c r="F61" s="324"/>
      <c r="G61" s="324"/>
      <c r="H61" s="324"/>
      <c r="I61" s="324"/>
      <c r="J61" s="324"/>
      <c r="K61" s="324"/>
      <c r="L61" s="324"/>
      <c r="M61" s="324"/>
      <c r="N61" s="324"/>
      <c r="O61" s="324"/>
      <c r="P61" s="324"/>
      <c r="Q61" s="324"/>
      <c r="R61" s="324"/>
      <c r="S61" s="324"/>
      <c r="T61" s="324"/>
    </row>
    <row r="62" spans="1:20">
      <c r="A62" s="435" t="s">
        <v>1885</v>
      </c>
      <c r="B62" s="324"/>
      <c r="C62" s="324"/>
      <c r="D62" s="324"/>
      <c r="E62" s="324"/>
      <c r="F62" s="324"/>
      <c r="G62" s="324"/>
      <c r="H62" s="324"/>
      <c r="I62" s="324"/>
      <c r="J62" s="324"/>
      <c r="K62" s="324"/>
      <c r="L62" s="324"/>
      <c r="M62" s="324"/>
      <c r="N62" s="324"/>
      <c r="O62" s="324"/>
      <c r="P62" s="324"/>
      <c r="Q62" s="324"/>
      <c r="R62" s="324"/>
      <c r="S62" s="324"/>
      <c r="T62" s="324"/>
    </row>
    <row r="63" spans="1:20">
      <c r="A63" s="324"/>
      <c r="B63" s="324"/>
      <c r="C63" s="324"/>
      <c r="D63" s="324"/>
      <c r="E63" s="324"/>
      <c r="F63" s="324"/>
      <c r="G63" s="324"/>
      <c r="H63" s="324"/>
      <c r="I63" s="324"/>
      <c r="J63" s="324"/>
      <c r="K63" s="324"/>
      <c r="L63" s="324"/>
      <c r="M63" s="324"/>
      <c r="N63" s="324"/>
      <c r="O63" s="324"/>
      <c r="P63" s="324"/>
      <c r="Q63" s="324"/>
      <c r="R63" s="324"/>
      <c r="S63" s="324"/>
      <c r="T63" s="324"/>
    </row>
    <row r="64" spans="1:20">
      <c r="A64" s="324"/>
      <c r="B64" s="324"/>
      <c r="C64" s="324"/>
      <c r="D64" s="324"/>
      <c r="E64" s="324"/>
      <c r="F64" s="324"/>
      <c r="G64" s="324"/>
      <c r="H64" s="324"/>
      <c r="I64" s="324"/>
      <c r="J64" s="324"/>
      <c r="K64" s="324"/>
      <c r="L64" s="324"/>
      <c r="M64" s="324"/>
      <c r="N64" s="324"/>
      <c r="O64" s="324"/>
      <c r="P64" s="324"/>
      <c r="Q64" s="324"/>
      <c r="R64" s="324"/>
      <c r="S64" s="324"/>
      <c r="T64" s="324"/>
    </row>
    <row r="65" spans="1:20">
      <c r="A65" s="324"/>
      <c r="B65" s="324"/>
      <c r="C65" s="324"/>
      <c r="D65" s="324"/>
      <c r="E65" s="324"/>
      <c r="F65" s="324"/>
      <c r="G65" s="324"/>
      <c r="H65" s="324"/>
      <c r="I65" s="324"/>
      <c r="J65" s="324"/>
      <c r="K65" s="324"/>
      <c r="L65" s="324"/>
      <c r="M65" s="324"/>
      <c r="N65" s="324"/>
      <c r="O65" s="324"/>
      <c r="P65" s="324"/>
      <c r="Q65" s="324"/>
      <c r="R65" s="324"/>
      <c r="S65" s="324"/>
      <c r="T65" s="324"/>
    </row>
    <row r="66" spans="1:20">
      <c r="A66" s="324"/>
      <c r="B66" s="324"/>
      <c r="C66" s="324"/>
      <c r="D66" s="324"/>
      <c r="E66" s="324"/>
      <c r="F66" s="324"/>
      <c r="G66" s="324"/>
      <c r="H66" s="324"/>
      <c r="I66" s="324"/>
      <c r="J66" s="324"/>
      <c r="K66" s="324"/>
      <c r="L66" s="324"/>
      <c r="M66" s="324"/>
      <c r="N66" s="324"/>
      <c r="O66" s="324"/>
      <c r="P66" s="324"/>
      <c r="Q66" s="324"/>
      <c r="R66" s="324"/>
      <c r="S66" s="324"/>
      <c r="T66" s="324"/>
    </row>
    <row r="67" spans="1:20">
      <c r="A67" s="324"/>
      <c r="B67" s="324"/>
      <c r="C67" s="324"/>
      <c r="D67" s="324"/>
      <c r="E67" s="324"/>
      <c r="F67" s="324"/>
      <c r="G67" s="324"/>
      <c r="H67" s="324"/>
      <c r="I67" s="324"/>
      <c r="J67" s="324"/>
      <c r="K67" s="324"/>
      <c r="L67" s="324"/>
      <c r="M67" s="324"/>
      <c r="N67" s="324"/>
      <c r="O67" s="324"/>
      <c r="P67" s="324"/>
      <c r="Q67" s="324"/>
      <c r="R67" s="324"/>
      <c r="S67" s="324"/>
      <c r="T67" s="324"/>
    </row>
    <row r="68" spans="1:20">
      <c r="A68" s="324"/>
      <c r="B68" s="324"/>
      <c r="C68" s="324"/>
      <c r="D68" s="324"/>
      <c r="E68" s="324"/>
      <c r="F68" s="324"/>
      <c r="G68" s="324"/>
      <c r="H68" s="324"/>
      <c r="I68" s="324"/>
      <c r="J68" s="324"/>
      <c r="K68" s="324"/>
      <c r="L68" s="324"/>
      <c r="M68" s="324"/>
      <c r="N68" s="324"/>
      <c r="O68" s="324"/>
      <c r="P68" s="324"/>
      <c r="Q68" s="324"/>
      <c r="R68" s="324"/>
      <c r="S68" s="324"/>
      <c r="T68" s="324"/>
    </row>
    <row r="69" spans="1:20">
      <c r="A69" s="324"/>
      <c r="B69" s="324"/>
      <c r="C69" s="324"/>
      <c r="D69" s="324"/>
      <c r="E69" s="324"/>
      <c r="F69" s="324"/>
      <c r="G69" s="324"/>
      <c r="H69" s="324"/>
      <c r="I69" s="324"/>
      <c r="J69" s="324"/>
      <c r="K69" s="324"/>
      <c r="L69" s="324"/>
      <c r="M69" s="324"/>
      <c r="N69" s="324"/>
      <c r="O69" s="324"/>
      <c r="P69" s="324"/>
      <c r="Q69" s="324"/>
      <c r="R69" s="324"/>
      <c r="S69" s="324"/>
      <c r="T69" s="324"/>
    </row>
    <row r="70" spans="1:20">
      <c r="A70" s="324"/>
      <c r="B70" s="324"/>
      <c r="C70" s="324"/>
      <c r="D70" s="324"/>
      <c r="E70" s="324"/>
      <c r="F70" s="324"/>
      <c r="G70" s="324"/>
      <c r="H70" s="324"/>
      <c r="I70" s="324"/>
      <c r="J70" s="324"/>
      <c r="K70" s="324"/>
      <c r="L70" s="324"/>
      <c r="M70" s="324"/>
      <c r="N70" s="324"/>
      <c r="O70" s="324"/>
      <c r="P70" s="324"/>
      <c r="Q70" s="324"/>
      <c r="R70" s="324"/>
      <c r="S70" s="324"/>
      <c r="T70" s="324"/>
    </row>
    <row r="71" spans="1:20">
      <c r="A71" s="324"/>
      <c r="B71" s="324"/>
      <c r="C71" s="324"/>
      <c r="D71" s="324"/>
      <c r="E71" s="324"/>
      <c r="F71" s="324"/>
      <c r="G71" s="324"/>
      <c r="H71" s="324"/>
      <c r="I71" s="324"/>
      <c r="J71" s="324"/>
      <c r="K71" s="324"/>
      <c r="L71" s="324"/>
      <c r="M71" s="324"/>
      <c r="N71" s="324"/>
      <c r="O71" s="324"/>
      <c r="P71" s="324"/>
      <c r="Q71" s="324"/>
      <c r="R71" s="324"/>
      <c r="S71" s="324"/>
      <c r="T71" s="324"/>
    </row>
    <row r="72" spans="1:20">
      <c r="A72" s="324"/>
      <c r="B72" s="324"/>
      <c r="C72" s="324"/>
      <c r="D72" s="324"/>
      <c r="E72" s="324"/>
      <c r="F72" s="324"/>
      <c r="G72" s="324"/>
      <c r="H72" s="324"/>
      <c r="I72" s="324"/>
      <c r="J72" s="324"/>
      <c r="K72" s="324"/>
      <c r="L72" s="324"/>
      <c r="M72" s="324"/>
      <c r="N72" s="324"/>
      <c r="O72" s="324"/>
      <c r="P72" s="324"/>
      <c r="Q72" s="324"/>
      <c r="R72" s="324"/>
      <c r="S72" s="324"/>
      <c r="T72" s="324"/>
    </row>
    <row r="73" spans="1:20">
      <c r="A73" s="324"/>
      <c r="B73" s="324"/>
      <c r="C73" s="324"/>
      <c r="D73" s="324"/>
      <c r="E73" s="324"/>
      <c r="F73" s="324"/>
      <c r="G73" s="324"/>
      <c r="H73" s="324"/>
      <c r="I73" s="324"/>
      <c r="J73" s="324"/>
      <c r="K73" s="324"/>
      <c r="L73" s="324"/>
      <c r="M73" s="324"/>
      <c r="N73" s="324"/>
      <c r="O73" s="324"/>
      <c r="P73" s="324"/>
      <c r="Q73" s="324"/>
      <c r="R73" s="324"/>
      <c r="S73" s="324"/>
      <c r="T73" s="324"/>
    </row>
    <row r="74" spans="1:20">
      <c r="A74" s="324"/>
      <c r="B74" s="324"/>
      <c r="C74" s="324"/>
      <c r="D74" s="324"/>
      <c r="E74" s="324"/>
      <c r="F74" s="324"/>
      <c r="G74" s="324"/>
      <c r="H74" s="324"/>
      <c r="I74" s="324"/>
      <c r="J74" s="324"/>
      <c r="K74" s="324"/>
      <c r="L74" s="324"/>
      <c r="M74" s="324"/>
      <c r="N74" s="324"/>
      <c r="O74" s="324"/>
      <c r="P74" s="324"/>
      <c r="Q74" s="324"/>
      <c r="R74" s="324"/>
      <c r="S74" s="324"/>
      <c r="T74" s="324"/>
    </row>
    <row r="75" spans="1:20">
      <c r="A75" s="324"/>
      <c r="B75" s="324"/>
      <c r="C75" s="324"/>
      <c r="D75" s="324"/>
      <c r="E75" s="324"/>
      <c r="F75" s="324"/>
      <c r="G75" s="324"/>
      <c r="H75" s="324"/>
      <c r="I75" s="324"/>
      <c r="J75" s="324"/>
      <c r="K75" s="324"/>
      <c r="L75" s="324"/>
      <c r="M75" s="324"/>
      <c r="N75" s="324"/>
      <c r="O75" s="324"/>
      <c r="P75" s="324"/>
      <c r="Q75" s="324"/>
      <c r="R75" s="324"/>
      <c r="S75" s="324"/>
      <c r="T75" s="324"/>
    </row>
    <row r="76" spans="1:20">
      <c r="A76" s="324"/>
      <c r="B76" s="324"/>
      <c r="C76" s="324"/>
      <c r="D76" s="324"/>
      <c r="E76" s="324"/>
      <c r="F76" s="324"/>
      <c r="G76" s="324"/>
      <c r="H76" s="324"/>
      <c r="I76" s="324"/>
      <c r="J76" s="324"/>
      <c r="K76" s="324"/>
      <c r="L76" s="324"/>
      <c r="M76" s="324"/>
      <c r="N76" s="324"/>
      <c r="O76" s="324"/>
      <c r="P76" s="324"/>
      <c r="Q76" s="324"/>
      <c r="R76" s="324"/>
      <c r="S76" s="324"/>
      <c r="T76" s="324"/>
    </row>
    <row r="77" spans="1:20">
      <c r="A77" s="324"/>
      <c r="B77" s="324"/>
      <c r="C77" s="324"/>
      <c r="D77" s="324"/>
      <c r="E77" s="324"/>
      <c r="F77" s="324"/>
      <c r="G77" s="324"/>
      <c r="H77" s="324"/>
      <c r="I77" s="324"/>
      <c r="J77" s="324"/>
      <c r="K77" s="324"/>
      <c r="L77" s="324"/>
      <c r="M77" s="324"/>
      <c r="N77" s="324"/>
      <c r="O77" s="324"/>
      <c r="P77" s="324"/>
      <c r="Q77" s="324"/>
      <c r="R77" s="324"/>
      <c r="S77" s="324"/>
      <c r="T77" s="324"/>
    </row>
    <row r="78" spans="1:20">
      <c r="A78" s="324"/>
      <c r="B78" s="324"/>
      <c r="C78" s="324"/>
      <c r="D78" s="324"/>
      <c r="E78" s="324"/>
      <c r="F78" s="324"/>
      <c r="G78" s="324"/>
      <c r="H78" s="324"/>
      <c r="I78" s="324"/>
      <c r="J78" s="324"/>
      <c r="K78" s="324"/>
      <c r="L78" s="324"/>
      <c r="M78" s="324"/>
      <c r="N78" s="324"/>
      <c r="O78" s="324"/>
      <c r="P78" s="324"/>
      <c r="Q78" s="324"/>
      <c r="R78" s="324"/>
      <c r="S78" s="324"/>
      <c r="T78" s="324"/>
    </row>
    <row r="79" spans="1:20">
      <c r="A79" s="324"/>
      <c r="B79" s="324"/>
      <c r="C79" s="324"/>
      <c r="D79" s="324"/>
      <c r="E79" s="324"/>
      <c r="F79" s="324"/>
      <c r="G79" s="324"/>
      <c r="H79" s="324"/>
      <c r="I79" s="324"/>
      <c r="J79" s="324"/>
      <c r="K79" s="324"/>
      <c r="L79" s="324"/>
      <c r="M79" s="324"/>
      <c r="N79" s="324"/>
      <c r="O79" s="324"/>
      <c r="P79" s="324"/>
      <c r="Q79" s="324"/>
      <c r="R79" s="324"/>
      <c r="S79" s="324"/>
      <c r="T79" s="324"/>
    </row>
    <row r="80" spans="1:20">
      <c r="A80" s="324"/>
      <c r="B80" s="324"/>
      <c r="C80" s="324"/>
      <c r="D80" s="324"/>
      <c r="E80" s="324"/>
      <c r="F80" s="324"/>
      <c r="G80" s="324"/>
      <c r="H80" s="324"/>
      <c r="I80" s="324"/>
      <c r="J80" s="324"/>
      <c r="K80" s="324"/>
      <c r="L80" s="324"/>
      <c r="M80" s="324"/>
      <c r="N80" s="324"/>
      <c r="O80" s="324"/>
      <c r="P80" s="324"/>
      <c r="Q80" s="324"/>
      <c r="R80" s="324"/>
      <c r="S80" s="324"/>
      <c r="T80" s="324"/>
    </row>
    <row r="81" spans="1:22">
      <c r="A81" s="324"/>
      <c r="B81" s="324"/>
      <c r="C81" s="324"/>
      <c r="D81" s="324"/>
      <c r="E81" s="324"/>
      <c r="F81" s="324"/>
      <c r="G81" s="324"/>
      <c r="H81" s="324"/>
      <c r="I81" s="324"/>
      <c r="J81" s="324"/>
      <c r="K81" s="324"/>
      <c r="L81" s="324"/>
      <c r="M81" s="324"/>
      <c r="N81" s="324"/>
      <c r="O81" s="324"/>
      <c r="P81" s="324"/>
      <c r="Q81" s="324"/>
      <c r="R81" s="324"/>
      <c r="S81" s="324"/>
      <c r="T81" s="324"/>
    </row>
    <row r="82" spans="1:22">
      <c r="A82" s="324"/>
      <c r="B82" s="324"/>
      <c r="C82" s="324"/>
      <c r="D82" s="324"/>
      <c r="E82" s="324"/>
      <c r="F82" s="324"/>
      <c r="G82" s="324"/>
      <c r="H82" s="324"/>
      <c r="I82" s="324"/>
      <c r="J82" s="324"/>
      <c r="K82" s="324"/>
      <c r="L82" s="324"/>
      <c r="M82" s="324"/>
      <c r="N82" s="324"/>
      <c r="O82" s="324"/>
      <c r="P82" s="324"/>
      <c r="Q82" s="324"/>
      <c r="R82" s="324"/>
      <c r="S82" s="324"/>
      <c r="T82" s="324"/>
    </row>
    <row r="83" spans="1:22">
      <c r="A83" s="324"/>
      <c r="B83" s="324"/>
      <c r="C83" s="324"/>
      <c r="D83" s="324"/>
      <c r="E83" s="324"/>
      <c r="F83" s="324"/>
      <c r="G83" s="324"/>
      <c r="H83" s="324"/>
      <c r="I83" s="324"/>
      <c r="J83" s="324"/>
      <c r="K83" s="324"/>
      <c r="L83" s="324"/>
      <c r="M83" s="324"/>
      <c r="N83" s="324"/>
      <c r="O83" s="324"/>
      <c r="P83" s="324"/>
      <c r="Q83" s="324"/>
      <c r="R83" s="324"/>
      <c r="S83" s="324"/>
      <c r="T83" s="324"/>
    </row>
    <row r="84" spans="1:22">
      <c r="A84" s="324"/>
      <c r="B84" s="324"/>
      <c r="C84" s="324"/>
      <c r="D84" s="324"/>
      <c r="E84" s="324"/>
      <c r="F84" s="324"/>
      <c r="G84" s="324"/>
      <c r="H84" s="324"/>
      <c r="I84" s="324"/>
      <c r="J84" s="324"/>
      <c r="K84" s="324"/>
      <c r="L84" s="324"/>
      <c r="M84" s="324"/>
      <c r="N84" s="324"/>
      <c r="O84" s="324"/>
      <c r="P84" s="324"/>
      <c r="Q84" s="324"/>
      <c r="R84" s="324"/>
      <c r="S84" s="324"/>
      <c r="T84" s="324"/>
    </row>
    <row r="85" spans="1:22">
      <c r="A85" s="324"/>
      <c r="B85" s="324"/>
      <c r="C85" s="324"/>
      <c r="D85" s="324"/>
      <c r="E85" s="324"/>
      <c r="F85" s="324"/>
      <c r="G85" s="324"/>
      <c r="H85" s="324"/>
      <c r="I85" s="324"/>
      <c r="J85" s="324"/>
      <c r="K85" s="324"/>
      <c r="L85" s="324"/>
      <c r="M85" s="324"/>
      <c r="N85" s="324"/>
      <c r="O85" s="324"/>
      <c r="P85" s="324"/>
      <c r="Q85" s="324"/>
      <c r="R85" s="324"/>
      <c r="S85" s="324"/>
      <c r="T85" s="324"/>
    </row>
    <row r="86" spans="1:22">
      <c r="A86" s="324"/>
      <c r="B86" s="324"/>
      <c r="C86" s="324"/>
      <c r="D86" s="324"/>
      <c r="E86" s="324"/>
      <c r="F86" s="324"/>
      <c r="G86" s="324"/>
      <c r="H86" s="324"/>
      <c r="I86" s="324"/>
      <c r="J86" s="324"/>
      <c r="K86" s="324"/>
      <c r="L86" s="324"/>
      <c r="M86" s="324"/>
      <c r="N86" s="324"/>
      <c r="O86" s="324"/>
      <c r="P86" s="324"/>
      <c r="Q86" s="324"/>
      <c r="R86" s="324"/>
      <c r="S86" s="324"/>
      <c r="T86" s="324"/>
      <c r="V86" s="300"/>
    </row>
    <row r="87" spans="1:22">
      <c r="A87" s="324"/>
      <c r="B87" s="324"/>
      <c r="C87" s="324"/>
      <c r="D87" s="324"/>
      <c r="E87" s="324"/>
      <c r="F87" s="324"/>
      <c r="G87" s="324"/>
      <c r="H87" s="324"/>
      <c r="I87" s="324"/>
      <c r="J87" s="324"/>
      <c r="K87" s="324"/>
      <c r="L87" s="324"/>
      <c r="M87" s="324"/>
      <c r="N87" s="324"/>
      <c r="O87" s="324"/>
      <c r="P87" s="324"/>
      <c r="Q87" s="324"/>
      <c r="R87" s="324"/>
      <c r="S87" s="324"/>
      <c r="T87" s="324"/>
      <c r="V87" s="300"/>
    </row>
    <row r="88" spans="1:22">
      <c r="A88" s="324"/>
      <c r="B88" s="324"/>
      <c r="C88" s="324"/>
      <c r="D88" s="324"/>
      <c r="E88" s="324"/>
      <c r="F88" s="324"/>
      <c r="G88" s="324"/>
      <c r="H88" s="324"/>
      <c r="I88" s="324"/>
      <c r="J88" s="324"/>
      <c r="K88" s="324"/>
      <c r="L88" s="324"/>
      <c r="M88" s="324"/>
      <c r="N88" s="324"/>
      <c r="O88" s="324"/>
      <c r="P88" s="324"/>
      <c r="Q88" s="324"/>
      <c r="R88" s="324"/>
      <c r="S88" s="324"/>
      <c r="T88" s="324"/>
    </row>
    <row r="89" spans="1:22">
      <c r="A89" s="324"/>
      <c r="B89" s="324"/>
      <c r="C89" s="324"/>
      <c r="D89" s="324"/>
      <c r="E89" s="324"/>
      <c r="F89" s="324"/>
      <c r="G89" s="324"/>
      <c r="H89" s="324"/>
      <c r="I89" s="324"/>
      <c r="J89" s="324"/>
      <c r="K89" s="324"/>
      <c r="L89" s="324"/>
      <c r="M89" s="324"/>
      <c r="N89" s="324"/>
      <c r="O89" s="324"/>
      <c r="P89" s="324"/>
      <c r="Q89" s="324"/>
      <c r="R89" s="324"/>
      <c r="S89" s="324"/>
      <c r="T89" s="324"/>
    </row>
    <row r="90" spans="1:22">
      <c r="A90" s="324"/>
      <c r="B90" s="324"/>
      <c r="C90" s="324"/>
      <c r="D90" s="324"/>
      <c r="E90" s="324"/>
      <c r="F90" s="324"/>
      <c r="G90" s="324"/>
      <c r="H90" s="324"/>
      <c r="I90" s="324"/>
      <c r="J90" s="324"/>
      <c r="K90" s="324"/>
      <c r="L90" s="324"/>
      <c r="M90" s="324"/>
      <c r="N90" s="324"/>
      <c r="O90" s="324"/>
      <c r="P90" s="324"/>
      <c r="Q90" s="324"/>
      <c r="R90" s="324"/>
      <c r="S90" s="324"/>
      <c r="T90" s="324"/>
    </row>
    <row r="91" spans="1:22" ht="9.75" customHeight="1">
      <c r="A91" s="324"/>
      <c r="B91" s="324"/>
      <c r="C91" s="324"/>
      <c r="D91" s="324"/>
      <c r="E91" s="324"/>
      <c r="F91" s="324"/>
      <c r="G91" s="324"/>
      <c r="H91" s="324"/>
      <c r="I91" s="324"/>
      <c r="J91" s="324"/>
      <c r="K91" s="324"/>
      <c r="L91" s="324"/>
      <c r="M91" s="324"/>
      <c r="N91" s="324"/>
      <c r="O91" s="324"/>
      <c r="P91" s="324"/>
      <c r="Q91" s="324"/>
      <c r="R91" s="324"/>
      <c r="S91" s="324"/>
      <c r="T91" s="324"/>
    </row>
    <row r="92" spans="1:22" ht="6.75" customHeight="1">
      <c r="A92" s="324"/>
      <c r="B92" s="324"/>
      <c r="C92" s="324"/>
      <c r="D92" s="324"/>
      <c r="E92" s="324"/>
      <c r="F92" s="324"/>
      <c r="G92" s="324"/>
      <c r="H92" s="324"/>
      <c r="I92" s="324"/>
      <c r="J92" s="324"/>
      <c r="K92" s="324"/>
      <c r="L92" s="324"/>
      <c r="M92" s="324"/>
      <c r="N92" s="324"/>
      <c r="O92" s="324"/>
      <c r="P92" s="324"/>
      <c r="Q92" s="324"/>
      <c r="R92" s="324"/>
      <c r="S92" s="324"/>
      <c r="T92" s="324"/>
    </row>
    <row r="93" spans="1:22" s="228" customFormat="1" ht="34.5" customHeight="1">
      <c r="A93" s="420"/>
      <c r="B93" s="420"/>
      <c r="C93" s="1236" t="s">
        <v>850</v>
      </c>
      <c r="D93" s="1237"/>
      <c r="E93" s="1238" t="s">
        <v>1131</v>
      </c>
      <c r="F93" s="1236" t="s">
        <v>116</v>
      </c>
      <c r="G93" s="1237"/>
      <c r="H93" s="1238" t="s">
        <v>1131</v>
      </c>
      <c r="I93" s="1236" t="s">
        <v>1888</v>
      </c>
      <c r="J93" s="1237"/>
      <c r="K93" s="1238" t="s">
        <v>1131</v>
      </c>
      <c r="L93" s="1236" t="s">
        <v>857</v>
      </c>
      <c r="M93" s="1237"/>
      <c r="N93" s="1238" t="s">
        <v>1131</v>
      </c>
      <c r="O93" s="1236" t="s">
        <v>1943</v>
      </c>
      <c r="P93" s="1237"/>
      <c r="Q93" s="1238" t="s">
        <v>1131</v>
      </c>
      <c r="R93" s="882" t="s">
        <v>1944</v>
      </c>
      <c r="S93" s="883"/>
      <c r="T93" s="884" t="s">
        <v>1131</v>
      </c>
    </row>
    <row r="94" spans="1:22" s="228" customFormat="1" ht="12">
      <c r="A94" s="755" t="s">
        <v>1277</v>
      </c>
      <c r="B94" s="756"/>
      <c r="C94" s="1240">
        <v>22624</v>
      </c>
      <c r="D94" s="1241"/>
      <c r="E94" s="589">
        <f>C94/C$106</f>
        <v>8.4380128300760859E-2</v>
      </c>
      <c r="F94" s="1240">
        <v>72501</v>
      </c>
      <c r="G94" s="1241"/>
      <c r="H94" s="589">
        <f>F94/F$106</f>
        <v>7.8020396940781722E-2</v>
      </c>
      <c r="I94" s="1240">
        <v>34593</v>
      </c>
      <c r="J94" s="1241"/>
      <c r="K94" s="589">
        <f>I94/I$106</f>
        <v>6.8516592887489236E-2</v>
      </c>
      <c r="L94" s="1240">
        <v>14485</v>
      </c>
      <c r="M94" s="1241"/>
      <c r="N94" s="589">
        <f>L94/L$106</f>
        <v>0.12154598776568518</v>
      </c>
      <c r="O94" s="1240">
        <v>3835</v>
      </c>
      <c r="P94" s="1241"/>
      <c r="Q94" s="589">
        <f>O94/O$106</f>
        <v>8.7387490030762224E-2</v>
      </c>
      <c r="R94" s="1240">
        <v>39346</v>
      </c>
      <c r="S94" s="1241"/>
      <c r="T94" s="589">
        <f>R94/R$106</f>
        <v>7.7842581747966197E-2</v>
      </c>
    </row>
    <row r="95" spans="1:22" s="228" customFormat="1" ht="12">
      <c r="A95" s="755" t="s">
        <v>1278</v>
      </c>
      <c r="B95" s="756"/>
      <c r="C95" s="1240">
        <v>32369</v>
      </c>
      <c r="D95" s="1241"/>
      <c r="E95" s="589">
        <f t="shared" ref="E95:E101" si="0">C95/C$106</f>
        <v>0.12072579442040877</v>
      </c>
      <c r="F95" s="1240">
        <v>67783</v>
      </c>
      <c r="G95" s="1241"/>
      <c r="H95" s="589">
        <f t="shared" ref="H95:H101" si="1">F95/F$106</f>
        <v>7.2943222380891404E-2</v>
      </c>
      <c r="I95" s="1240">
        <v>27318</v>
      </c>
      <c r="J95" s="1241"/>
      <c r="K95" s="589">
        <f t="shared" ref="K95:K101" si="2">I95/I$106</f>
        <v>5.4107370985471942E-2</v>
      </c>
      <c r="L95" s="1240">
        <v>14042</v>
      </c>
      <c r="M95" s="1241"/>
      <c r="N95" s="589">
        <f t="shared" ref="N95:N101" si="3">L95/L$106</f>
        <v>0.1178287028102003</v>
      </c>
      <c r="O95" s="1240">
        <v>3974</v>
      </c>
      <c r="P95" s="1241"/>
      <c r="Q95" s="589">
        <f t="shared" ref="Q95:Q101" si="4">O95/O$106</f>
        <v>9.0554859291329615E-2</v>
      </c>
      <c r="R95" s="1240">
        <v>37768</v>
      </c>
      <c r="S95" s="1241"/>
      <c r="T95" s="589">
        <f t="shared" ref="T95:T101" si="5">R95/R$106</f>
        <v>7.4720648285904218E-2</v>
      </c>
    </row>
    <row r="96" spans="1:22" s="228" customFormat="1" ht="12">
      <c r="A96" s="755" t="s">
        <v>1279</v>
      </c>
      <c r="B96" s="756"/>
      <c r="C96" s="1240">
        <v>34575</v>
      </c>
      <c r="D96" s="1241"/>
      <c r="E96" s="589">
        <f t="shared" si="0"/>
        <v>0.12895345367745786</v>
      </c>
      <c r="F96" s="1240">
        <v>151057</v>
      </c>
      <c r="G96" s="1241"/>
      <c r="H96" s="589">
        <f t="shared" si="1"/>
        <v>0.16255675233008737</v>
      </c>
      <c r="I96" s="1240">
        <v>94079</v>
      </c>
      <c r="J96" s="1241"/>
      <c r="K96" s="589">
        <f t="shared" si="2"/>
        <v>0.1863374827931113</v>
      </c>
      <c r="L96" s="1240">
        <v>24866</v>
      </c>
      <c r="M96" s="1241"/>
      <c r="N96" s="589">
        <f t="shared" si="3"/>
        <v>0.20865464492796187</v>
      </c>
      <c r="O96" s="1240">
        <v>8355</v>
      </c>
      <c r="P96" s="1241"/>
      <c r="Q96" s="589">
        <f t="shared" si="4"/>
        <v>0.19038395807223424</v>
      </c>
      <c r="R96" s="1240">
        <v>102671</v>
      </c>
      <c r="S96" s="1241"/>
      <c r="T96" s="589">
        <f t="shared" si="5"/>
        <v>0.20312549460289323</v>
      </c>
    </row>
    <row r="97" spans="1:20" s="228" customFormat="1" ht="12">
      <c r="A97" s="755" t="s">
        <v>1280</v>
      </c>
      <c r="B97" s="756"/>
      <c r="C97" s="1240">
        <v>9311</v>
      </c>
      <c r="D97" s="1241"/>
      <c r="E97" s="589">
        <f t="shared" si="0"/>
        <v>3.472698791585857E-2</v>
      </c>
      <c r="F97" s="1240">
        <v>37261</v>
      </c>
      <c r="G97" s="1241"/>
      <c r="H97" s="589">
        <f t="shared" si="1"/>
        <v>4.0097626383228752E-2</v>
      </c>
      <c r="I97" s="1240">
        <v>21825</v>
      </c>
      <c r="J97" s="1241"/>
      <c r="K97" s="589">
        <f t="shared" si="2"/>
        <v>4.3227665706051875E-2</v>
      </c>
      <c r="L97" s="1240">
        <v>3937</v>
      </c>
      <c r="M97" s="1241"/>
      <c r="N97" s="589">
        <f t="shared" si="3"/>
        <v>3.3036006477977393E-2</v>
      </c>
      <c r="O97" s="1240">
        <v>2333</v>
      </c>
      <c r="P97" s="1241"/>
      <c r="Q97" s="589">
        <f t="shared" si="4"/>
        <v>5.3161672553264212E-2</v>
      </c>
      <c r="R97" s="1240">
        <v>15937</v>
      </c>
      <c r="S97" s="1241"/>
      <c r="T97" s="589">
        <f t="shared" si="5"/>
        <v>3.1529945237567664E-2</v>
      </c>
    </row>
    <row r="98" spans="1:20" s="228" customFormat="1" ht="12">
      <c r="A98" s="755" t="s">
        <v>1281</v>
      </c>
      <c r="B98" s="756"/>
      <c r="C98" s="1240">
        <v>12384</v>
      </c>
      <c r="D98" s="1241"/>
      <c r="E98" s="589">
        <f t="shared" si="0"/>
        <v>4.6188273907205729E-2</v>
      </c>
      <c r="F98" s="1240">
        <v>31566</v>
      </c>
      <c r="G98" s="1241"/>
      <c r="H98" s="589">
        <f t="shared" si="1"/>
        <v>3.3969074217358598E-2</v>
      </c>
      <c r="I98" s="1240">
        <v>15117</v>
      </c>
      <c r="J98" s="1241"/>
      <c r="K98" s="589">
        <f t="shared" si="2"/>
        <v>2.9941471820315518E-2</v>
      </c>
      <c r="L98" s="1240">
        <v>8109</v>
      </c>
      <c r="M98" s="1241"/>
      <c r="N98" s="589">
        <f t="shared" si="3"/>
        <v>6.8043936126471596E-2</v>
      </c>
      <c r="O98" s="1240">
        <v>2693</v>
      </c>
      <c r="P98" s="1241"/>
      <c r="Q98" s="589">
        <f t="shared" si="4"/>
        <v>6.136493106984163E-2</v>
      </c>
      <c r="R98" s="1240">
        <v>15600</v>
      </c>
      <c r="S98" s="1241"/>
      <c r="T98" s="589">
        <f t="shared" si="5"/>
        <v>3.0863220537494854E-2</v>
      </c>
    </row>
    <row r="99" spans="1:20" s="228" customFormat="1" ht="24" customHeight="1">
      <c r="A99" s="1217" t="s">
        <v>1282</v>
      </c>
      <c r="B99" s="1218"/>
      <c r="C99" s="1242">
        <v>59895</v>
      </c>
      <c r="D99" s="1243"/>
      <c r="E99" s="589">
        <f t="shared" si="0"/>
        <v>0.22338878114277189</v>
      </c>
      <c r="F99" s="1242">
        <v>156100</v>
      </c>
      <c r="G99" s="1243"/>
      <c r="H99" s="589">
        <f t="shared" si="1"/>
        <v>0.16798366867292902</v>
      </c>
      <c r="I99" s="1242">
        <v>80573</v>
      </c>
      <c r="J99" s="1243"/>
      <c r="K99" s="589">
        <f t="shared" si="2"/>
        <v>0.15958683660635589</v>
      </c>
      <c r="L99" s="1242">
        <v>15727</v>
      </c>
      <c r="M99" s="1243"/>
      <c r="N99" s="589">
        <f t="shared" si="3"/>
        <v>0.13196781150092723</v>
      </c>
      <c r="O99" s="1242">
        <v>7350</v>
      </c>
      <c r="P99" s="1243"/>
      <c r="Q99" s="589">
        <f t="shared" si="4"/>
        <v>0.16748319471345563</v>
      </c>
      <c r="R99" s="1242">
        <v>103923</v>
      </c>
      <c r="S99" s="1243"/>
      <c r="T99" s="589">
        <f t="shared" si="5"/>
        <v>0.20560246589218448</v>
      </c>
    </row>
    <row r="100" spans="1:20" s="228" customFormat="1" ht="12">
      <c r="A100" s="755" t="s">
        <v>1283</v>
      </c>
      <c r="B100" s="756"/>
      <c r="C100" s="1240">
        <v>13862</v>
      </c>
      <c r="D100" s="1241"/>
      <c r="E100" s="589">
        <f t="shared" si="0"/>
        <v>5.1700731015963002E-2</v>
      </c>
      <c r="F100" s="1240">
        <v>54298</v>
      </c>
      <c r="G100" s="1241"/>
      <c r="H100" s="589">
        <f t="shared" si="1"/>
        <v>5.8431628709818703E-2</v>
      </c>
      <c r="I100" s="1240">
        <v>27154</v>
      </c>
      <c r="J100" s="1241"/>
      <c r="K100" s="589">
        <f t="shared" si="2"/>
        <v>5.3782544539845704E-2</v>
      </c>
      <c r="L100" s="1240">
        <v>8936</v>
      </c>
      <c r="M100" s="1241"/>
      <c r="N100" s="589">
        <f t="shared" si="3"/>
        <v>7.4983427454205234E-2</v>
      </c>
      <c r="O100" s="1240">
        <v>2582</v>
      </c>
      <c r="P100" s="1241"/>
      <c r="Q100" s="589">
        <f t="shared" si="4"/>
        <v>5.8835593027230258E-2</v>
      </c>
      <c r="R100" s="1240">
        <v>36700</v>
      </c>
      <c r="S100" s="1241"/>
      <c r="T100" s="589">
        <f t="shared" si="5"/>
        <v>7.2607704726029565E-2</v>
      </c>
    </row>
    <row r="101" spans="1:20" s="228" customFormat="1" ht="24.75" customHeight="1">
      <c r="A101" s="1217" t="s">
        <v>1292</v>
      </c>
      <c r="B101" s="1218"/>
      <c r="C101" s="1242">
        <v>24614</v>
      </c>
      <c r="D101" s="1243"/>
      <c r="E101" s="589">
        <f t="shared" si="0"/>
        <v>9.1802178129195888E-2</v>
      </c>
      <c r="F101" s="1242">
        <v>132176</v>
      </c>
      <c r="G101" s="1243"/>
      <c r="H101" s="589">
        <f t="shared" si="1"/>
        <v>0.14223836893345973</v>
      </c>
      <c r="I101" s="1242">
        <v>62285</v>
      </c>
      <c r="J101" s="1243"/>
      <c r="K101" s="589">
        <f t="shared" si="2"/>
        <v>0.12336472662091368</v>
      </c>
      <c r="L101" s="1242">
        <v>16998</v>
      </c>
      <c r="M101" s="1243"/>
      <c r="N101" s="589">
        <f t="shared" si="3"/>
        <v>0.14263297894657348</v>
      </c>
      <c r="O101" s="1242">
        <v>6168</v>
      </c>
      <c r="P101" s="1243"/>
      <c r="Q101" s="589">
        <f t="shared" si="4"/>
        <v>0.14054916258402644</v>
      </c>
      <c r="R101" s="1242">
        <v>82263</v>
      </c>
      <c r="S101" s="1243"/>
      <c r="T101" s="589">
        <f t="shared" si="5"/>
        <v>0.16275007122281662</v>
      </c>
    </row>
    <row r="102" spans="1:20" s="228" customFormat="1" ht="12">
      <c r="A102" s="755" t="s">
        <v>1285</v>
      </c>
      <c r="B102" s="756"/>
      <c r="C102" s="1240">
        <v>40088</v>
      </c>
      <c r="D102" s="1241"/>
      <c r="E102" s="589">
        <f>C102/C$106</f>
        <v>0.14951514247351932</v>
      </c>
      <c r="F102" s="1240">
        <v>130514</v>
      </c>
      <c r="G102" s="1241"/>
      <c r="H102" s="589">
        <f>F102/F$106</f>
        <v>0.14044984326187482</v>
      </c>
      <c r="I102" s="1240">
        <v>76132</v>
      </c>
      <c r="J102" s="1241"/>
      <c r="K102" s="589">
        <f>I102/I$106</f>
        <v>0.1507907741366846</v>
      </c>
      <c r="L102" s="1240">
        <v>7249</v>
      </c>
      <c r="M102" s="1241"/>
      <c r="N102" s="589">
        <f>L102/L$106</f>
        <v>6.0827536438622841E-2</v>
      </c>
      <c r="O102" s="1240">
        <v>4221</v>
      </c>
      <c r="P102" s="1241"/>
      <c r="Q102" s="589">
        <f>O102/O$106</f>
        <v>9.6183206106870228E-2</v>
      </c>
      <c r="R102" s="1240">
        <v>45927</v>
      </c>
      <c r="S102" s="1241"/>
      <c r="T102" s="589">
        <f>R102/R$106</f>
        <v>9.0862508309328613E-2</v>
      </c>
    </row>
    <row r="103" spans="1:20" s="228" customFormat="1" ht="12" customHeight="1">
      <c r="A103" s="1225" t="s">
        <v>1917</v>
      </c>
      <c r="B103" s="1226"/>
      <c r="C103" s="1221">
        <v>16718</v>
      </c>
      <c r="D103" s="1222"/>
      <c r="E103" s="1219">
        <f>C103/C106</f>
        <v>6.2352677905415488E-2</v>
      </c>
      <c r="F103" s="1221">
        <v>82530</v>
      </c>
      <c r="G103" s="1222"/>
      <c r="H103" s="1219">
        <f>F103/F106</f>
        <v>8.8812890298378161E-2</v>
      </c>
      <c r="I103" s="1221">
        <v>58019</v>
      </c>
      <c r="J103" s="1222"/>
      <c r="K103" s="1219">
        <f>I103/I106</f>
        <v>0.11491527773651426</v>
      </c>
      <c r="L103" s="1221">
        <v>4009</v>
      </c>
      <c r="M103" s="1222"/>
      <c r="N103" s="1219">
        <f>L103/L106</f>
        <v>3.3640170172774035E-2</v>
      </c>
      <c r="O103" s="1221">
        <v>1644</v>
      </c>
      <c r="P103" s="1222"/>
      <c r="Q103" s="1219">
        <f>O103/O106</f>
        <v>3.7461547225703544E-2</v>
      </c>
      <c r="R103" s="1221">
        <v>20524</v>
      </c>
      <c r="S103" s="1222"/>
      <c r="T103" s="1219">
        <f>R103/R106</f>
        <v>4.0604919122534902E-2</v>
      </c>
    </row>
    <row r="104" spans="1:20" s="228" customFormat="1" ht="12" customHeight="1">
      <c r="A104" s="1227"/>
      <c r="B104" s="1228"/>
      <c r="C104" s="1223"/>
      <c r="D104" s="1224"/>
      <c r="E104" s="1220"/>
      <c r="F104" s="1223"/>
      <c r="G104" s="1224"/>
      <c r="H104" s="1220"/>
      <c r="I104" s="1223"/>
      <c r="J104" s="1224"/>
      <c r="K104" s="1220"/>
      <c r="L104" s="1223"/>
      <c r="M104" s="1224"/>
      <c r="N104" s="1220"/>
      <c r="O104" s="1223"/>
      <c r="P104" s="1224"/>
      <c r="Q104" s="1220"/>
      <c r="R104" s="1223"/>
      <c r="S104" s="1224"/>
      <c r="T104" s="1220"/>
    </row>
    <row r="105" spans="1:20" s="228" customFormat="1" ht="12">
      <c r="A105" s="755" t="s">
        <v>1287</v>
      </c>
      <c r="B105" s="756"/>
      <c r="C105" s="1240">
        <v>1680</v>
      </c>
      <c r="D105" s="1241"/>
      <c r="E105" s="589">
        <f>C105/C$106</f>
        <v>6.2658511114426375E-3</v>
      </c>
      <c r="F105" s="1240">
        <v>13471</v>
      </c>
      <c r="G105" s="1241"/>
      <c r="H105" s="589">
        <f>F105/F$106</f>
        <v>1.4496527871191716E-2</v>
      </c>
      <c r="I105" s="1240">
        <v>7790</v>
      </c>
      <c r="J105" s="1241"/>
      <c r="K105" s="589">
        <f>I105/I$106</f>
        <v>1.5429256167246006E-2</v>
      </c>
      <c r="L105" s="1240">
        <v>815</v>
      </c>
      <c r="M105" s="1241"/>
      <c r="N105" s="589">
        <f>L105/L$106</f>
        <v>6.8387973786008579E-3</v>
      </c>
      <c r="O105" s="1240">
        <v>730</v>
      </c>
      <c r="P105" s="1241"/>
      <c r="Q105" s="589">
        <f>O105/O$106</f>
        <v>1.6634385325281987E-2</v>
      </c>
      <c r="R105" s="1240">
        <v>4797</v>
      </c>
      <c r="S105" s="1241"/>
      <c r="T105" s="589">
        <f>R105/R$106</f>
        <v>9.490440315279668E-3</v>
      </c>
    </row>
    <row r="106" spans="1:20">
      <c r="A106" s="429" t="s">
        <v>1288</v>
      </c>
      <c r="B106" s="429"/>
      <c r="C106" s="1239">
        <f>SUM(C94:D105)</f>
        <v>268120</v>
      </c>
      <c r="D106" s="1239"/>
      <c r="E106" s="590">
        <f>C106/C$106</f>
        <v>1</v>
      </c>
      <c r="F106" s="1239">
        <f>SUM(F94:G105)</f>
        <v>929257</v>
      </c>
      <c r="G106" s="1239"/>
      <c r="H106" s="590">
        <f>F106/F$106</f>
        <v>1</v>
      </c>
      <c r="I106" s="1239">
        <f>SUM(I94:J105)</f>
        <v>504885</v>
      </c>
      <c r="J106" s="1239"/>
      <c r="K106" s="590">
        <f>I106/I$106</f>
        <v>1</v>
      </c>
      <c r="L106" s="1239">
        <f>SUM(L94:M105)</f>
        <v>119173</v>
      </c>
      <c r="M106" s="1239"/>
      <c r="N106" s="590">
        <f>L106/L$106</f>
        <v>1</v>
      </c>
      <c r="O106" s="1239">
        <f>SUM(O94:P105)</f>
        <v>43885</v>
      </c>
      <c r="P106" s="1239"/>
      <c r="Q106" s="590">
        <f>O106/O$106</f>
        <v>1</v>
      </c>
      <c r="R106" s="1239">
        <f>SUM(R94:S105)</f>
        <v>505456</v>
      </c>
      <c r="S106" s="1239"/>
      <c r="T106" s="416"/>
    </row>
    <row r="107" spans="1:20" hidden="1"/>
    <row r="108" spans="1:20" hidden="1"/>
    <row r="109" spans="1:20" hidden="1"/>
    <row r="110" spans="1:20" hidden="1"/>
    <row r="111" spans="1:20" hidden="1"/>
    <row r="112" spans="1:20"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sheetData>
  <sheetProtection sheet="1" objects="1" scenarios="1" autoFilter="0"/>
  <mergeCells count="154">
    <mergeCell ref="S47:T47"/>
    <mergeCell ref="S48:T48"/>
    <mergeCell ref="A48:F48"/>
    <mergeCell ref="A47:F47"/>
    <mergeCell ref="G47:H47"/>
    <mergeCell ref="I47:J47"/>
    <mergeCell ref="K47:L47"/>
    <mergeCell ref="O47:P47"/>
    <mergeCell ref="Q47:R47"/>
    <mergeCell ref="K48:L48"/>
    <mergeCell ref="I48:J48"/>
    <mergeCell ref="G48:H48"/>
    <mergeCell ref="O48:P48"/>
    <mergeCell ref="Q48:R48"/>
    <mergeCell ref="I53:J53"/>
    <mergeCell ref="O49:P49"/>
    <mergeCell ref="F1:T4"/>
    <mergeCell ref="A6:T7"/>
    <mergeCell ref="N9:T9"/>
    <mergeCell ref="G9:L9"/>
    <mergeCell ref="G45:L45"/>
    <mergeCell ref="N45:T45"/>
    <mergeCell ref="G46:L46"/>
    <mergeCell ref="O46:T46"/>
    <mergeCell ref="A13:F13"/>
    <mergeCell ref="G12:I12"/>
    <mergeCell ref="J12:L12"/>
    <mergeCell ref="M12:O12"/>
    <mergeCell ref="P12:R12"/>
    <mergeCell ref="G13:I13"/>
    <mergeCell ref="J13:L13"/>
    <mergeCell ref="M13:O13"/>
    <mergeCell ref="P13:R13"/>
    <mergeCell ref="A14:F14"/>
    <mergeCell ref="G14:I14"/>
    <mergeCell ref="J14:L14"/>
    <mergeCell ref="M14:O14"/>
    <mergeCell ref="P14:R14"/>
    <mergeCell ref="O93:Q93"/>
    <mergeCell ref="A51:F51"/>
    <mergeCell ref="G51:H51"/>
    <mergeCell ref="I51:J51"/>
    <mergeCell ref="K51:L51"/>
    <mergeCell ref="O51:P51"/>
    <mergeCell ref="Q49:R49"/>
    <mergeCell ref="S49:T49"/>
    <mergeCell ref="A52:F52"/>
    <mergeCell ref="A53:F53"/>
    <mergeCell ref="A49:F49"/>
    <mergeCell ref="K49:L49"/>
    <mergeCell ref="I49:J49"/>
    <mergeCell ref="G49:H49"/>
    <mergeCell ref="O52:P52"/>
    <mergeCell ref="Q52:R52"/>
    <mergeCell ref="S52:T52"/>
    <mergeCell ref="O53:P53"/>
    <mergeCell ref="Q51:R51"/>
    <mergeCell ref="S51:T51"/>
    <mergeCell ref="G52:H52"/>
    <mergeCell ref="I52:J52"/>
    <mergeCell ref="K52:L52"/>
    <mergeCell ref="G53:H53"/>
    <mergeCell ref="R105:S105"/>
    <mergeCell ref="R106:S106"/>
    <mergeCell ref="O94:P94"/>
    <mergeCell ref="O95:P95"/>
    <mergeCell ref="O96:P96"/>
    <mergeCell ref="O97:P97"/>
    <mergeCell ref="O98:P98"/>
    <mergeCell ref="O99:P99"/>
    <mergeCell ref="O100:P100"/>
    <mergeCell ref="O101:P101"/>
    <mergeCell ref="O102:P102"/>
    <mergeCell ref="O105:P105"/>
    <mergeCell ref="O106:P106"/>
    <mergeCell ref="R99:S99"/>
    <mergeCell ref="R100:S100"/>
    <mergeCell ref="R101:S101"/>
    <mergeCell ref="R102:S102"/>
    <mergeCell ref="R95:S95"/>
    <mergeCell ref="R96:S96"/>
    <mergeCell ref="R97:S97"/>
    <mergeCell ref="R98:S98"/>
    <mergeCell ref="R94:S94"/>
    <mergeCell ref="L105:M105"/>
    <mergeCell ref="L106:M106"/>
    <mergeCell ref="I93:K93"/>
    <mergeCell ref="I94:J94"/>
    <mergeCell ref="I95:J95"/>
    <mergeCell ref="I96:J96"/>
    <mergeCell ref="I97:J97"/>
    <mergeCell ref="I98:J98"/>
    <mergeCell ref="I99:J99"/>
    <mergeCell ref="I100:J100"/>
    <mergeCell ref="I101:J101"/>
    <mergeCell ref="I102:J102"/>
    <mergeCell ref="I105:J105"/>
    <mergeCell ref="I106:J106"/>
    <mergeCell ref="L98:M98"/>
    <mergeCell ref="L99:M99"/>
    <mergeCell ref="L100:M100"/>
    <mergeCell ref="L101:M101"/>
    <mergeCell ref="L102:M102"/>
    <mergeCell ref="L94:M94"/>
    <mergeCell ref="L95:M95"/>
    <mergeCell ref="L96:M96"/>
    <mergeCell ref="L97:M97"/>
    <mergeCell ref="L93:N93"/>
    <mergeCell ref="F106:G106"/>
    <mergeCell ref="C94:D94"/>
    <mergeCell ref="C95:D95"/>
    <mergeCell ref="C96:D96"/>
    <mergeCell ref="C97:D97"/>
    <mergeCell ref="C98:D98"/>
    <mergeCell ref="C99:D99"/>
    <mergeCell ref="C100:D100"/>
    <mergeCell ref="C101:D101"/>
    <mergeCell ref="C102:D102"/>
    <mergeCell ref="C105:D105"/>
    <mergeCell ref="C106:D106"/>
    <mergeCell ref="F100:G100"/>
    <mergeCell ref="F101:G101"/>
    <mergeCell ref="F102:G102"/>
    <mergeCell ref="F105:G105"/>
    <mergeCell ref="F95:G95"/>
    <mergeCell ref="F96:G96"/>
    <mergeCell ref="F97:G97"/>
    <mergeCell ref="F98:G98"/>
    <mergeCell ref="F99:G99"/>
    <mergeCell ref="F94:G94"/>
    <mergeCell ref="A9:C9"/>
    <mergeCell ref="A101:B101"/>
    <mergeCell ref="A99:B99"/>
    <mergeCell ref="N103:N104"/>
    <mergeCell ref="Q103:Q104"/>
    <mergeCell ref="T103:T104"/>
    <mergeCell ref="F103:G104"/>
    <mergeCell ref="I103:J104"/>
    <mergeCell ref="L103:M104"/>
    <mergeCell ref="O103:P104"/>
    <mergeCell ref="R103:S104"/>
    <mergeCell ref="A103:B104"/>
    <mergeCell ref="C103:D104"/>
    <mergeCell ref="E103:E104"/>
    <mergeCell ref="H103:H104"/>
    <mergeCell ref="K103:K104"/>
    <mergeCell ref="K53:L53"/>
    <mergeCell ref="R93:T93"/>
    <mergeCell ref="Q53:R53"/>
    <mergeCell ref="S53:T53"/>
    <mergeCell ref="F54:T57"/>
    <mergeCell ref="A59:T60"/>
    <mergeCell ref="C93:E93"/>
    <mergeCell ref="F93:H93"/>
  </mergeCells>
  <hyperlinks>
    <hyperlink ref="A11:G11" location="Glossaire!A297" display="Offre d'hébergement marchand en 2016"/>
    <hyperlink ref="A47:F47" location="Glossaire!A302" display="Fréquentation et taux d'occupation (T.O.)"/>
    <hyperlink ref="A43" location="Glossaire!I279" display="Zoom secteur touristiques aquitains"/>
    <hyperlink ref="A43:G43" location="Annexe!A33" display="Zoom secteurs touristiques aquitains"/>
    <hyperlink ref="A11" location="Glossaire!A288" display="Offre d'hébergement marchand en 2015"/>
    <hyperlink ref="G47:H47" location="Glossaire!A302" display="Nombre de nuitées"/>
    <hyperlink ref="A11:H11" location="Glossaire!A293" display="Offre d'hébergement marchand en 2015"/>
    <hyperlink ref="G51:H51" location="Glossaire!A302" display="Nombre de nuitées"/>
    <hyperlink ref="O47:P47" location="Glossaire!A302" display="Nombre de nuitées"/>
    <hyperlink ref="O51:P51" location="Glossaire!A302" display="Nombre de nuitées"/>
  </hyperlink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mars 2017</oddHeader>
    <oddFooter>&amp;C&amp;"-,Italique"&amp;8&amp;A&amp;R&amp;8Page &amp;P</oddFooter>
  </headerFooter>
  <rowBreaks count="1" manualBreakCount="1">
    <brk id="53"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'D_Ch7-1'!$B$54:$B$76</xm:f>
          </x14:formula1>
          <xm:sqref>G45:L45 N45:T45</xm:sqref>
        </x14:dataValidation>
        <x14:dataValidation type="list" allowBlank="1" showInputMessage="1" showErrorMessage="1">
          <x14:formula1>
            <xm:f>'D_Ch7-1'!$B$6:$B$53</xm:f>
          </x14:formula1>
          <xm:sqref>N9:T9 G9:L9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
  <sheetViews>
    <sheetView showGridLines="0" view="pageLayout" zoomScaleNormal="100" workbookViewId="0">
      <selection activeCell="A6" sqref="A6:T7"/>
    </sheetView>
  </sheetViews>
  <sheetFormatPr baseColWidth="10" defaultColWidth="0" defaultRowHeight="15" zeroHeight="1"/>
  <cols>
    <col min="1" max="19" width="4.7109375" style="324" customWidth="1"/>
    <col min="20" max="20" width="4" style="324" customWidth="1"/>
    <col min="21" max="21" width="1.85546875" customWidth="1"/>
    <col min="22" max="16384" width="11.42578125" hidden="1"/>
  </cols>
  <sheetData>
    <row r="1" spans="1:20" s="208" customFormat="1" ht="15.6" customHeight="1">
      <c r="A1" s="205"/>
      <c r="B1" s="206"/>
      <c r="C1" s="207"/>
      <c r="D1" s="207"/>
      <c r="E1" s="207"/>
      <c r="F1" s="1229" t="s">
        <v>1369</v>
      </c>
      <c r="G1" s="1230"/>
      <c r="H1" s="1230"/>
      <c r="I1" s="1230"/>
      <c r="J1" s="1230"/>
      <c r="K1" s="1230"/>
      <c r="L1" s="1230"/>
      <c r="M1" s="1230"/>
      <c r="N1" s="1230"/>
      <c r="O1" s="1230"/>
      <c r="P1" s="1230"/>
      <c r="Q1" s="1230"/>
      <c r="R1" s="1230"/>
      <c r="S1" s="1230"/>
      <c r="T1" s="1231"/>
    </row>
    <row r="2" spans="1:20" s="208" customFormat="1" ht="15.6" customHeight="1">
      <c r="A2" s="209"/>
      <c r="B2" s="207"/>
      <c r="C2" s="207"/>
      <c r="D2" s="207"/>
      <c r="E2" s="207"/>
      <c r="F2" s="985"/>
      <c r="G2" s="977"/>
      <c r="H2" s="977"/>
      <c r="I2" s="977"/>
      <c r="J2" s="977"/>
      <c r="K2" s="977"/>
      <c r="L2" s="977"/>
      <c r="M2" s="977"/>
      <c r="N2" s="977"/>
      <c r="O2" s="977"/>
      <c r="P2" s="977"/>
      <c r="Q2" s="977"/>
      <c r="R2" s="977"/>
      <c r="S2" s="977"/>
      <c r="T2" s="1232"/>
    </row>
    <row r="3" spans="1:20" s="208" customFormat="1" ht="15.6" customHeight="1">
      <c r="A3" s="210"/>
      <c r="B3" s="207"/>
      <c r="C3" s="207"/>
      <c r="D3" s="207"/>
      <c r="E3" s="207"/>
      <c r="F3" s="985"/>
      <c r="G3" s="977"/>
      <c r="H3" s="977"/>
      <c r="I3" s="977"/>
      <c r="J3" s="977"/>
      <c r="K3" s="977"/>
      <c r="L3" s="977"/>
      <c r="M3" s="977"/>
      <c r="N3" s="977"/>
      <c r="O3" s="977"/>
      <c r="P3" s="977"/>
      <c r="Q3" s="977"/>
      <c r="R3" s="977"/>
      <c r="S3" s="977"/>
      <c r="T3" s="1232"/>
    </row>
    <row r="4" spans="1:20" s="208" customFormat="1" ht="15.6" customHeight="1">
      <c r="A4" s="210"/>
      <c r="B4" s="207"/>
      <c r="C4" s="207"/>
      <c r="D4" s="207"/>
      <c r="E4" s="207"/>
      <c r="F4" s="1233"/>
      <c r="G4" s="1234"/>
      <c r="H4" s="1234"/>
      <c r="I4" s="1234"/>
      <c r="J4" s="1234"/>
      <c r="K4" s="1234"/>
      <c r="L4" s="1234"/>
      <c r="M4" s="1234"/>
      <c r="N4" s="1234"/>
      <c r="O4" s="1234"/>
      <c r="P4" s="1234"/>
      <c r="Q4" s="1234"/>
      <c r="R4" s="1234"/>
      <c r="S4" s="1234"/>
      <c r="T4" s="1235"/>
    </row>
    <row r="5" spans="1:20" s="208" customFormat="1" ht="5.25" customHeight="1">
      <c r="A5" s="211"/>
      <c r="B5" s="212"/>
      <c r="C5" s="211"/>
      <c r="D5" s="211"/>
      <c r="E5" s="211"/>
      <c r="F5" s="213"/>
      <c r="G5" s="213"/>
      <c r="H5" s="214"/>
      <c r="I5" s="214"/>
      <c r="J5" s="214"/>
      <c r="K5" s="214"/>
      <c r="L5" s="214"/>
      <c r="M5" s="214"/>
      <c r="N5" s="214"/>
      <c r="O5" s="214"/>
      <c r="P5" s="214"/>
      <c r="Q5" s="214"/>
      <c r="R5" s="214"/>
      <c r="S5" s="214"/>
      <c r="T5" s="214"/>
    </row>
    <row r="6" spans="1:20" s="208" customFormat="1" ht="15" customHeight="1">
      <c r="A6" s="875" t="s">
        <v>1601</v>
      </c>
      <c r="B6" s="875"/>
      <c r="C6" s="875"/>
      <c r="D6" s="875"/>
      <c r="E6" s="875"/>
      <c r="F6" s="875"/>
      <c r="G6" s="875"/>
      <c r="H6" s="875"/>
      <c r="I6" s="875"/>
      <c r="J6" s="875"/>
      <c r="K6" s="875"/>
      <c r="L6" s="875"/>
      <c r="M6" s="875"/>
      <c r="N6" s="875"/>
      <c r="O6" s="875"/>
      <c r="P6" s="875"/>
      <c r="Q6" s="875"/>
      <c r="R6" s="875"/>
      <c r="S6" s="875"/>
      <c r="T6" s="875"/>
    </row>
    <row r="7" spans="1:20" s="208" customFormat="1" ht="15" customHeight="1">
      <c r="A7" s="875"/>
      <c r="B7" s="875"/>
      <c r="C7" s="875"/>
      <c r="D7" s="875"/>
      <c r="E7" s="875"/>
      <c r="F7" s="875"/>
      <c r="G7" s="875"/>
      <c r="H7" s="875"/>
      <c r="I7" s="875"/>
      <c r="J7" s="875"/>
      <c r="K7" s="875"/>
      <c r="L7" s="875"/>
      <c r="M7" s="875"/>
      <c r="N7" s="875"/>
      <c r="O7" s="875"/>
      <c r="P7" s="875"/>
      <c r="Q7" s="875"/>
      <c r="R7" s="875"/>
      <c r="S7" s="875"/>
      <c r="T7" s="875"/>
    </row>
    <row r="8" spans="1:20"/>
    <row r="9" spans="1:20"/>
    <row r="10" spans="1:20"/>
    <row r="11" spans="1:20"/>
    <row r="12" spans="1:20">
      <c r="T12" s="614"/>
    </row>
    <row r="13" spans="1:20"/>
    <row r="14" spans="1:20"/>
    <row r="15" spans="1:20"/>
    <row r="16" spans="1:20"/>
    <row r="17"/>
    <row r="18"/>
    <row r="19"/>
    <row r="20"/>
    <row r="21"/>
    <row r="22"/>
    <row r="23"/>
    <row r="24"/>
    <row r="25"/>
    <row r="26"/>
    <row r="27"/>
    <row r="28"/>
    <row r="29"/>
    <row r="30"/>
    <row r="31"/>
    <row r="32"/>
    <row r="33" spans="1:20">
      <c r="A33" s="1261" t="s">
        <v>1544</v>
      </c>
      <c r="B33" s="1261"/>
      <c r="C33" s="1261"/>
      <c r="D33" s="1261"/>
      <c r="E33" s="1261"/>
      <c r="F33" s="1261"/>
      <c r="G33" s="1261"/>
      <c r="H33" s="1261"/>
      <c r="I33" s="1261"/>
      <c r="J33" s="1261"/>
      <c r="K33" s="1261"/>
      <c r="L33" s="1261"/>
      <c r="M33" s="1261"/>
      <c r="N33" s="1261"/>
      <c r="O33" s="1261"/>
      <c r="P33" s="1261"/>
      <c r="Q33" s="1261"/>
      <c r="R33" s="1261"/>
      <c r="S33" s="1261"/>
      <c r="T33" s="1261"/>
    </row>
    <row r="34" spans="1:20"/>
    <row r="35" spans="1:20"/>
    <row r="36" spans="1:20"/>
    <row r="37" spans="1:20"/>
    <row r="38" spans="1:20"/>
    <row r="39" spans="1:20"/>
    <row r="40" spans="1:20"/>
    <row r="41" spans="1:20"/>
    <row r="42" spans="1:20"/>
    <row r="43" spans="1:20"/>
    <row r="44" spans="1:20"/>
    <row r="45" spans="1:20"/>
    <row r="46" spans="1:20"/>
    <row r="47" spans="1:20"/>
    <row r="48" spans="1:20"/>
    <row r="49" spans="1:20"/>
    <row r="50" spans="1:20"/>
    <row r="51" spans="1:20"/>
    <row r="52" spans="1:20"/>
    <row r="53" spans="1:20" s="208" customFormat="1" ht="16.7" customHeight="1">
      <c r="A53" s="338"/>
      <c r="B53" s="450"/>
      <c r="C53" s="451"/>
      <c r="D53" s="451"/>
      <c r="E53" s="451"/>
      <c r="F53" s="1229" t="s">
        <v>1369</v>
      </c>
      <c r="G53" s="1230"/>
      <c r="H53" s="1230"/>
      <c r="I53" s="1230"/>
      <c r="J53" s="1230"/>
      <c r="K53" s="1230"/>
      <c r="L53" s="1230"/>
      <c r="M53" s="1230"/>
      <c r="N53" s="1230"/>
      <c r="O53" s="1230"/>
      <c r="P53" s="1230"/>
      <c r="Q53" s="1230"/>
      <c r="R53" s="1230"/>
      <c r="S53" s="1230"/>
      <c r="T53" s="1231"/>
    </row>
    <row r="54" spans="1:20" s="208" customFormat="1" ht="16.7" customHeight="1">
      <c r="A54" s="452"/>
      <c r="B54" s="451"/>
      <c r="C54" s="451"/>
      <c r="D54" s="451"/>
      <c r="E54" s="451"/>
      <c r="F54" s="985"/>
      <c r="G54" s="977"/>
      <c r="H54" s="977"/>
      <c r="I54" s="977"/>
      <c r="J54" s="977"/>
      <c r="K54" s="977"/>
      <c r="L54" s="977"/>
      <c r="M54" s="977"/>
      <c r="N54" s="977"/>
      <c r="O54" s="977"/>
      <c r="P54" s="977"/>
      <c r="Q54" s="977"/>
      <c r="R54" s="977"/>
      <c r="S54" s="977"/>
      <c r="T54" s="1232"/>
    </row>
    <row r="55" spans="1:20" s="208" customFormat="1" ht="16.7" customHeight="1">
      <c r="A55" s="453"/>
      <c r="B55" s="451"/>
      <c r="C55" s="451"/>
      <c r="D55" s="451"/>
      <c r="E55" s="451"/>
      <c r="F55" s="985"/>
      <c r="G55" s="977"/>
      <c r="H55" s="977"/>
      <c r="I55" s="977"/>
      <c r="J55" s="977"/>
      <c r="K55" s="977"/>
      <c r="L55" s="977"/>
      <c r="M55" s="977"/>
      <c r="N55" s="977"/>
      <c r="O55" s="977"/>
      <c r="P55" s="977"/>
      <c r="Q55" s="977"/>
      <c r="R55" s="977"/>
      <c r="S55" s="977"/>
      <c r="T55" s="1232"/>
    </row>
    <row r="56" spans="1:20" s="208" customFormat="1" ht="16.7" customHeight="1">
      <c r="A56" s="453"/>
      <c r="B56" s="451"/>
      <c r="C56" s="451"/>
      <c r="D56" s="451"/>
      <c r="E56" s="451"/>
      <c r="F56" s="1233"/>
      <c r="G56" s="1234"/>
      <c r="H56" s="1234"/>
      <c r="I56" s="1234"/>
      <c r="J56" s="1234"/>
      <c r="K56" s="1234"/>
      <c r="L56" s="1234"/>
      <c r="M56" s="1234"/>
      <c r="N56" s="1234"/>
      <c r="O56" s="1234"/>
      <c r="P56" s="1234"/>
      <c r="Q56" s="1234"/>
      <c r="R56" s="1234"/>
      <c r="S56" s="1234"/>
      <c r="T56" s="1235"/>
    </row>
    <row r="57" spans="1:20" s="208" customFormat="1" ht="5.25" customHeight="1">
      <c r="A57" s="454"/>
      <c r="B57" s="455"/>
      <c r="C57" s="454"/>
      <c r="D57" s="454"/>
      <c r="E57" s="454"/>
      <c r="F57" s="456"/>
      <c r="G57" s="456"/>
      <c r="H57" s="399"/>
      <c r="I57" s="399"/>
      <c r="J57" s="399"/>
      <c r="K57" s="399"/>
      <c r="L57" s="399"/>
      <c r="M57" s="399"/>
      <c r="N57" s="399"/>
      <c r="O57" s="399"/>
      <c r="P57" s="399"/>
      <c r="Q57" s="399"/>
      <c r="R57" s="399"/>
      <c r="S57" s="399"/>
      <c r="T57" s="399"/>
    </row>
    <row r="58" spans="1:20" s="208" customFormat="1" ht="15" customHeight="1">
      <c r="A58" s="875" t="s">
        <v>1848</v>
      </c>
      <c r="B58" s="875"/>
      <c r="C58" s="875"/>
      <c r="D58" s="875"/>
      <c r="E58" s="875"/>
      <c r="F58" s="875"/>
      <c r="G58" s="875"/>
      <c r="H58" s="875"/>
      <c r="I58" s="875"/>
      <c r="J58" s="875"/>
      <c r="K58" s="875"/>
      <c r="L58" s="875"/>
      <c r="M58" s="875"/>
      <c r="N58" s="875"/>
      <c r="O58" s="875"/>
      <c r="P58" s="875"/>
      <c r="Q58" s="875"/>
      <c r="R58" s="875"/>
      <c r="S58" s="875"/>
      <c r="T58" s="875"/>
    </row>
    <row r="59" spans="1:20" s="208" customFormat="1" ht="15" customHeight="1">
      <c r="A59" s="875"/>
      <c r="B59" s="875"/>
      <c r="C59" s="875"/>
      <c r="D59" s="875"/>
      <c r="E59" s="875"/>
      <c r="F59" s="875"/>
      <c r="G59" s="875"/>
      <c r="H59" s="875"/>
      <c r="I59" s="875"/>
      <c r="J59" s="875"/>
      <c r="K59" s="875"/>
      <c r="L59" s="875"/>
      <c r="M59" s="875"/>
      <c r="N59" s="875"/>
      <c r="O59" s="875"/>
      <c r="P59" s="875"/>
      <c r="Q59" s="875"/>
      <c r="R59" s="875"/>
      <c r="S59" s="875"/>
      <c r="T59" s="875"/>
    </row>
    <row r="60" spans="1:20" ht="15.75" thickBot="1"/>
    <row r="61" spans="1:20" ht="16.5" thickTop="1" thickBot="1">
      <c r="A61" s="889" t="s">
        <v>1407</v>
      </c>
      <c r="B61" s="890"/>
      <c r="C61" s="891"/>
      <c r="K61" s="1262" t="s">
        <v>61</v>
      </c>
      <c r="L61" s="1263"/>
      <c r="M61" s="1263"/>
      <c r="N61" s="1264"/>
      <c r="O61" s="587"/>
      <c r="P61" s="587"/>
      <c r="Q61" s="1265" t="s">
        <v>39</v>
      </c>
      <c r="R61" s="1266"/>
      <c r="S61" s="1266"/>
      <c r="T61" s="1267"/>
    </row>
    <row r="62" spans="1:20" ht="15.75" thickTop="1"/>
    <row r="63" spans="1:20" ht="33.75" customHeight="1">
      <c r="L63" s="882" t="s">
        <v>904</v>
      </c>
      <c r="M63" s="884"/>
      <c r="N63" s="1236" t="s">
        <v>1138</v>
      </c>
      <c r="O63" s="1238"/>
      <c r="P63" s="593"/>
      <c r="Q63" s="1236" t="s">
        <v>904</v>
      </c>
      <c r="R63" s="1238"/>
      <c r="S63" s="1236" t="s">
        <v>1138</v>
      </c>
      <c r="T63" s="1238"/>
    </row>
    <row r="64" spans="1:20">
      <c r="A64" s="594" t="s">
        <v>508</v>
      </c>
      <c r="B64" s="532"/>
      <c r="C64" s="532"/>
      <c r="D64" s="532"/>
      <c r="E64" s="532"/>
      <c r="F64" s="532"/>
      <c r="G64" s="498"/>
      <c r="H64" s="414"/>
      <c r="I64" s="414"/>
      <c r="J64" s="595"/>
      <c r="K64" s="415"/>
      <c r="L64" s="887">
        <f>VLOOKUP($K$61,D_Annexe!$B$4:$AO$52,MATCH("Agriculture",D_Annexe!$B$4:$AO$4,0),FALSE)</f>
        <v>8156</v>
      </c>
      <c r="M64" s="888"/>
      <c r="N64" s="864">
        <f>VLOOKUP($K$61,D_Annexe!$B$4:$AO$52,MATCH("Agriculture",D_Annexe!$B$4:$AO$4,0),FALSE)/VLOOKUP($K$61,D_Annexe!$B$4:$AO$52,MATCH("Postes des Ets actifs N-1",D_Annexe!$B$4:$AO$4,0),FALSE)</f>
        <v>1.8127868597401731E-2</v>
      </c>
      <c r="O64" s="865"/>
      <c r="Q64" s="887">
        <f>VLOOKUP($Q$61,D_Annexe!$B$4:$AO$52,MATCH("Agriculture",D_Annexe!$B$4:$AO$4,0),FALSE)</f>
        <v>3188</v>
      </c>
      <c r="R64" s="888"/>
      <c r="S64" s="864">
        <f>VLOOKUP($Q$61,D_Annexe!$B$4:$AO$52,MATCH("Agriculture",D_Annexe!$B$4:$AO$4,0),FALSE)/VLOOKUP($Q$61,D_Annexe!$B$4:$AO$52,MATCH("Postes des Ets actifs N-1",D_Annexe!$B$4:$AO$4,0),FALSE)</f>
        <v>8.5861877649517637E-3</v>
      </c>
      <c r="T64" s="865"/>
    </row>
    <row r="65" spans="1:20">
      <c r="A65" s="594" t="s">
        <v>1330</v>
      </c>
      <c r="B65" s="532"/>
      <c r="C65" s="532"/>
      <c r="D65" s="532"/>
      <c r="E65" s="532"/>
      <c r="F65" s="532"/>
      <c r="G65" s="498"/>
      <c r="H65" s="414"/>
      <c r="I65" s="414"/>
      <c r="J65" s="595"/>
      <c r="K65" s="415"/>
      <c r="L65" s="887">
        <f>VLOOKUP($K$61,D_Annexe!$B$4:$AO$52,MATCH("Industries extractives",D_Annexe!$B$4:$AO$4,0),FALSE)</f>
        <v>242</v>
      </c>
      <c r="M65" s="888"/>
      <c r="N65" s="864">
        <f>VLOOKUP($K$61,D_Annexe!$B$4:$AO$52,MATCH("Industries extractives",D_Annexe!$B$4:$AO$4,0),FALSE)/VLOOKUP($K$61,D_Annexe!$B$4:$AO$52,MATCH("Postes des Ets actifs N-1",D_Annexe!$B$4:$AO$4,0),FALSE)</f>
        <v>5.3787937721569629E-4</v>
      </c>
      <c r="O65" s="865"/>
      <c r="Q65" s="887">
        <f>VLOOKUP($Q$61,D_Annexe!$B$4:$AO$52,MATCH("Industries extractives",D_Annexe!$B$4:$AO$4,0),FALSE)</f>
        <v>268</v>
      </c>
      <c r="R65" s="888"/>
      <c r="S65" s="864">
        <f>VLOOKUP($Q$61,D_Annexe!$B$4:$AO$52,MATCH("Industries extractives",D_Annexe!$B$4:$AO$4,0),FALSE)/VLOOKUP($Q$61,D_Annexe!$B$4:$AO$52,MATCH("Postes des Ets actifs N-1",D_Annexe!$B$4:$AO$4,0),FALSE)</f>
        <v>7.2179997522179185E-4</v>
      </c>
      <c r="T65" s="865"/>
    </row>
    <row r="66" spans="1:20">
      <c r="A66" s="594" t="s">
        <v>1343</v>
      </c>
      <c r="B66" s="532"/>
      <c r="C66" s="532"/>
      <c r="D66" s="532"/>
      <c r="E66" s="532"/>
      <c r="F66" s="532"/>
      <c r="G66" s="498"/>
      <c r="H66" s="414"/>
      <c r="I66" s="414"/>
      <c r="J66" s="595"/>
      <c r="K66" s="415"/>
      <c r="L66" s="887">
        <f>VLOOKUP($K$61,D_Annexe!$B$4:$AO$52,MATCH("Fab aliments, boiss",D_Annexe!$B$4:$AO$4,0),FALSE)</f>
        <v>6338</v>
      </c>
      <c r="M66" s="888"/>
      <c r="N66" s="864">
        <f>VLOOKUP($K$61,D_Annexe!$B$4:$AO$52,MATCH("Fab aliments, boiss",D_Annexe!$B$4:$AO$4,0),FALSE)/VLOOKUP($K$61,D_Annexe!$B$4:$AO$52,MATCH("Postes des Ets actifs N-1",D_Annexe!$B$4:$AO$4,0),FALSE)</f>
        <v>1.4087105342120178E-2</v>
      </c>
      <c r="O66" s="865"/>
      <c r="Q66" s="887">
        <f>VLOOKUP($Q$61,D_Annexe!$B$4:$AO$52,MATCH("Fab aliments, boiss",D_Annexe!$B$4:$AO$4,0),FALSE)</f>
        <v>7301</v>
      </c>
      <c r="R66" s="888"/>
      <c r="S66" s="864">
        <f>VLOOKUP($Q$61,D_Annexe!$B$4:$AO$52,MATCH("Fab aliments, boiss",D_Annexe!$B$4:$AO$4,0),FALSE)/VLOOKUP($Q$61,D_Annexe!$B$4:$AO$52,MATCH("Postes des Ets actifs N-1",D_Annexe!$B$4:$AO$4,0),FALSE)</f>
        <v>1.9663662757814563E-2</v>
      </c>
      <c r="T66" s="865"/>
    </row>
    <row r="67" spans="1:20">
      <c r="A67" s="594" t="s">
        <v>1344</v>
      </c>
      <c r="B67" s="532"/>
      <c r="C67" s="532"/>
      <c r="D67" s="532"/>
      <c r="E67" s="532"/>
      <c r="F67" s="532"/>
      <c r="G67" s="498"/>
      <c r="H67" s="414"/>
      <c r="I67" s="414"/>
      <c r="J67" s="595"/>
      <c r="K67" s="415"/>
      <c r="L67" s="887">
        <f>VLOOKUP($K$61,D_Annexe!$B$4:$AO$52,MATCH("Fab textiles",D_Annexe!$B$4:$AO$4,0),FALSE)</f>
        <v>303</v>
      </c>
      <c r="M67" s="888"/>
      <c r="N67" s="864">
        <f>VLOOKUP($K$61,D_Annexe!$B$4:$AO$52,MATCH("Fab textiles",D_Annexe!$B$4:$AO$4,0),FALSE)/VLOOKUP($K$61,D_Annexe!$B$4:$AO$52,MATCH("Postes des Ets actifs N-1",D_Annexe!$B$4:$AO$4,0),FALSE)</f>
        <v>6.7346054254692554E-4</v>
      </c>
      <c r="O67" s="865"/>
      <c r="Q67" s="887">
        <f>VLOOKUP($Q$61,D_Annexe!$B$4:$AO$52,MATCH("Fab textiles",D_Annexe!$B$4:$AO$4,0),FALSE)</f>
        <v>1045</v>
      </c>
      <c r="R67" s="888"/>
      <c r="S67" s="864">
        <f>VLOOKUP($Q$61,D_Annexe!$B$4:$AO$52,MATCH("Fab textiles",D_Annexe!$B$4:$AO$4,0),FALSE)/VLOOKUP($Q$61,D_Annexe!$B$4:$AO$52,MATCH("Postes des Ets actifs N-1",D_Annexe!$B$4:$AO$4,0),FALSE)</f>
        <v>2.8144812466670615E-3</v>
      </c>
      <c r="T67" s="865"/>
    </row>
    <row r="68" spans="1:20">
      <c r="A68" s="594" t="s">
        <v>1331</v>
      </c>
      <c r="B68" s="532"/>
      <c r="C68" s="532"/>
      <c r="D68" s="532"/>
      <c r="E68" s="532"/>
      <c r="F68" s="532"/>
      <c r="G68" s="498"/>
      <c r="H68" s="414"/>
      <c r="I68" s="414"/>
      <c r="J68" s="595"/>
      <c r="K68" s="415"/>
      <c r="L68" s="887">
        <f>VLOOKUP($K$61,D_Annexe!$B$4:$AO$52,MATCH("Travail bois",D_Annexe!$B$4:$AO$4,0),FALSE)</f>
        <v>3241</v>
      </c>
      <c r="M68" s="888"/>
      <c r="N68" s="864">
        <f>VLOOKUP($K$61,D_Annexe!$B$4:$AO$52,MATCH("Travail bois",D_Annexe!$B$4:$AO$4,0),FALSE)/VLOOKUP($K$61,D_Annexe!$B$4:$AO$52,MATCH("Postes des Ets actifs N-1",D_Annexe!$B$4:$AO$4,0),FALSE)</f>
        <v>7.2035828989920319E-3</v>
      </c>
      <c r="O68" s="865"/>
      <c r="Q68" s="887">
        <f>VLOOKUP($Q$61,D_Annexe!$B$4:$AO$52,MATCH("Travail bois",D_Annexe!$B$4:$AO$4,0),FALSE)</f>
        <v>2767</v>
      </c>
      <c r="R68" s="888"/>
      <c r="S68" s="864">
        <f>VLOOKUP($Q$61,D_Annexe!$B$4:$AO$52,MATCH("Travail bois",D_Annexe!$B$4:$AO$4,0),FALSE)/VLOOKUP($Q$61,D_Annexe!$B$4:$AO$52,MATCH("Postes des Ets actifs N-1",D_Annexe!$B$4:$AO$4,0),FALSE)</f>
        <v>7.452315415816038E-3</v>
      </c>
      <c r="T68" s="865"/>
    </row>
    <row r="69" spans="1:20">
      <c r="A69" s="594" t="s">
        <v>683</v>
      </c>
      <c r="B69" s="532"/>
      <c r="C69" s="532"/>
      <c r="D69" s="532"/>
      <c r="E69" s="532"/>
      <c r="F69" s="532"/>
      <c r="G69" s="498"/>
      <c r="H69" s="414"/>
      <c r="I69" s="414"/>
      <c r="J69" s="595"/>
      <c r="K69" s="415"/>
      <c r="L69" s="887">
        <f>VLOOKUP($K$61,D_Annexe!$B$4:$AO$52,MATCH("Cokéfaction et raffinage",D_Annexe!$B$4:$AO$4,0),FALSE)</f>
        <v>0</v>
      </c>
      <c r="M69" s="888"/>
      <c r="N69" s="864">
        <f>VLOOKUP($K$61,D_Annexe!$B$4:$AO$52,MATCH("Cokéfaction et raffinage",D_Annexe!$B$4:$AO$4,0),FALSE)/VLOOKUP($K$61,D_Annexe!$B$4:$AO$52,MATCH("Postes des Ets actifs N-1",D_Annexe!$B$4:$AO$4,0),FALSE)</f>
        <v>0</v>
      </c>
      <c r="O69" s="865"/>
      <c r="Q69" s="887">
        <f>VLOOKUP($Q$61,D_Annexe!$B$4:$AO$52,MATCH("Cokéfaction et raffinage",D_Annexe!$B$4:$AO$4,0),FALSE)</f>
        <v>179</v>
      </c>
      <c r="R69" s="888"/>
      <c r="S69" s="864">
        <f>VLOOKUP($Q$61,D_Annexe!$B$4:$AO$52,MATCH("Cokéfaction et raffinage",D_Annexe!$B$4:$AO$4,0),FALSE)/VLOOKUP($Q$61,D_Annexe!$B$4:$AO$52,MATCH("Postes des Ets actifs N-1",D_Annexe!$B$4:$AO$4,0),FALSE)</f>
        <v>4.8209774464440578E-4</v>
      </c>
      <c r="T69" s="865"/>
    </row>
    <row r="70" spans="1:20">
      <c r="A70" s="594" t="s">
        <v>693</v>
      </c>
      <c r="B70" s="532"/>
      <c r="C70" s="532"/>
      <c r="D70" s="532"/>
      <c r="E70" s="532"/>
      <c r="F70" s="532"/>
      <c r="G70" s="498"/>
      <c r="H70" s="414"/>
      <c r="I70" s="414"/>
      <c r="J70" s="595"/>
      <c r="K70" s="415"/>
      <c r="L70" s="887">
        <f>VLOOKUP($K$61,D_Annexe!$B$4:$AO$52,MATCH("Industrie chimique",D_Annexe!$B$4:$AO$4,0),FALSE)</f>
        <v>2336</v>
      </c>
      <c r="M70" s="888"/>
      <c r="N70" s="864">
        <f>VLOOKUP($K$61,D_Annexe!$B$4:$AO$52,MATCH("Industrie chimique",D_Annexe!$B$4:$AO$4,0),FALSE)/VLOOKUP($K$61,D_Annexe!$B$4:$AO$52,MATCH("Postes des Ets actifs N-1",D_Annexe!$B$4:$AO$4,0),FALSE)</f>
        <v>5.1920918395696961E-3</v>
      </c>
      <c r="O70" s="865"/>
      <c r="Q70" s="887">
        <f>VLOOKUP($Q$61,D_Annexe!$B$4:$AO$52,MATCH("Industrie chimique",D_Annexe!$B$4:$AO$4,0),FALSE)</f>
        <v>551</v>
      </c>
      <c r="R70" s="888"/>
      <c r="S70" s="864">
        <f>VLOOKUP($Q$61,D_Annexe!$B$4:$AO$52,MATCH("Industrie chimique",D_Annexe!$B$4:$AO$4,0),FALSE)/VLOOKUP($Q$61,D_Annexe!$B$4:$AO$52,MATCH("Postes des Ets actifs N-1",D_Annexe!$B$4:$AO$4,0),FALSE)</f>
        <v>1.4839992027880871E-3</v>
      </c>
      <c r="T70" s="865"/>
    </row>
    <row r="71" spans="1:20">
      <c r="A71" s="594" t="s">
        <v>694</v>
      </c>
      <c r="B71" s="532"/>
      <c r="C71" s="532"/>
      <c r="D71" s="532"/>
      <c r="E71" s="532"/>
      <c r="F71" s="532"/>
      <c r="G71" s="498"/>
      <c r="H71" s="414"/>
      <c r="I71" s="414"/>
      <c r="J71" s="595"/>
      <c r="K71" s="415"/>
      <c r="L71" s="887">
        <f>VLOOKUP($K$61,D_Annexe!$B$4:$AO$52,MATCH("Industrie pharmaceutique",D_Annexe!$B$4:$AO$4,0),FALSE)</f>
        <v>1333</v>
      </c>
      <c r="M71" s="888"/>
      <c r="N71" s="864">
        <f>VLOOKUP($K$61,D_Annexe!$B$4:$AO$52,MATCH("Industrie pharmaceutique",D_Annexe!$B$4:$AO$4,0),FALSE)/VLOOKUP($K$61,D_Annexe!$B$4:$AO$52,MATCH("Postes des Ets actifs N-1",D_Annexe!$B$4:$AO$4,0),FALSE)</f>
        <v>2.9627818587955501E-3</v>
      </c>
      <c r="O71" s="865"/>
      <c r="Q71" s="887">
        <f>VLOOKUP($Q$61,D_Annexe!$B$4:$AO$52,MATCH("Industrie pharmaceutique",D_Annexe!$B$4:$AO$4,0),FALSE)</f>
        <v>135</v>
      </c>
      <c r="R71" s="888"/>
      <c r="S71" s="864">
        <f>VLOOKUP($Q$61,D_Annexe!$B$4:$AO$52,MATCH("Industrie pharmaceutique",D_Annexe!$B$4:$AO$4,0),FALSE)/VLOOKUP($Q$61,D_Annexe!$B$4:$AO$52,MATCH("Postes des Ets actifs N-1",D_Annexe!$B$4:$AO$4,0),FALSE)</f>
        <v>3.635932711005295E-4</v>
      </c>
      <c r="T71" s="865"/>
    </row>
    <row r="72" spans="1:20">
      <c r="A72" s="594" t="s">
        <v>1345</v>
      </c>
      <c r="B72" s="532"/>
      <c r="C72" s="532"/>
      <c r="D72" s="532"/>
      <c r="E72" s="532"/>
      <c r="F72" s="532"/>
      <c r="G72" s="498"/>
      <c r="H72" s="414"/>
      <c r="I72" s="414"/>
      <c r="J72" s="595"/>
      <c r="K72" s="415"/>
      <c r="L72" s="887">
        <f>VLOOKUP($K$61,D_Annexe!$B$4:$AO$52,MATCH("Fab ps caou, plas,",D_Annexe!$B$4:$AO$4,0),FALSE)</f>
        <v>1672</v>
      </c>
      <c r="M72" s="888"/>
      <c r="N72" s="864">
        <f>VLOOKUP($K$61,D_Annexe!$B$4:$AO$52,MATCH("Fab ps caou, plas,",D_Annexe!$B$4:$AO$4,0),FALSE)/VLOOKUP($K$61,D_Annexe!$B$4:$AO$52,MATCH("Postes des Ets actifs N-1",D_Annexe!$B$4:$AO$4,0),FALSE)</f>
        <v>3.7162575153084471E-3</v>
      </c>
      <c r="O72" s="865"/>
      <c r="Q72" s="887">
        <f>VLOOKUP($Q$61,D_Annexe!$B$4:$AO$52,MATCH("Fab ps caou, plas,",D_Annexe!$B$4:$AO$4,0),FALSE)</f>
        <v>3180</v>
      </c>
      <c r="R72" s="888"/>
      <c r="S72" s="864">
        <f>VLOOKUP($Q$61,D_Annexe!$B$4:$AO$52,MATCH("Fab ps caou, plas,",D_Annexe!$B$4:$AO$4,0),FALSE)/VLOOKUP($Q$61,D_Annexe!$B$4:$AO$52,MATCH("Postes des Ets actifs N-1",D_Annexe!$B$4:$AO$4,0),FALSE)</f>
        <v>8.5646414970346942E-3</v>
      </c>
      <c r="T72" s="865"/>
    </row>
    <row r="73" spans="1:20">
      <c r="A73" s="594" t="s">
        <v>1349</v>
      </c>
      <c r="B73" s="532"/>
      <c r="C73" s="532"/>
      <c r="D73" s="532"/>
      <c r="E73" s="532"/>
      <c r="F73" s="532"/>
      <c r="G73" s="498"/>
      <c r="H73" s="414"/>
      <c r="I73" s="414"/>
      <c r="J73" s="595"/>
      <c r="K73" s="415"/>
      <c r="L73" s="887">
        <f>VLOOKUP($K$61,D_Annexe!$B$4:$AO$52,MATCH("Métallurgie et fab ps mét sauf machines",D_Annexe!$B$4:$AO$4,0),FALSE)</f>
        <v>3187</v>
      </c>
      <c r="M73" s="888"/>
      <c r="N73" s="864">
        <f>VLOOKUP($K$61,D_Annexe!$B$4:$AO$52,MATCH("Métallurgie et fab ps mét sauf machines",D_Annexe!$B$4:$AO$4,0),FALSE)/VLOOKUP($K$61,D_Annexe!$B$4:$AO$52,MATCH("Postes des Ets actifs N-1",D_Annexe!$B$4:$AO$4,0),FALSE)</f>
        <v>7.0835602280430749E-3</v>
      </c>
      <c r="O73" s="865"/>
      <c r="Q73" s="887">
        <f>VLOOKUP($Q$61,D_Annexe!$B$4:$AO$52,MATCH("Métallurgie et fab ps mét sauf machines",D_Annexe!$B$4:$AO$4,0),FALSE)</f>
        <v>5797</v>
      </c>
      <c r="R73" s="888"/>
      <c r="S73" s="864">
        <f>VLOOKUP($Q$61,D_Annexe!$B$4:$AO$52,MATCH("Métallurgie et fab ps mét sauf machines",D_Annexe!$B$4:$AO$4,0),FALSE)/VLOOKUP($Q$61,D_Annexe!$B$4:$AO$52,MATCH("Postes des Ets actifs N-1",D_Annexe!$B$4:$AO$4,0),FALSE)</f>
        <v>1.56129643894057E-2</v>
      </c>
      <c r="T73" s="865"/>
    </row>
    <row r="74" spans="1:20">
      <c r="A74" s="594" t="s">
        <v>1332</v>
      </c>
      <c r="B74" s="532"/>
      <c r="C74" s="532"/>
      <c r="D74" s="532"/>
      <c r="E74" s="532"/>
      <c r="F74" s="532"/>
      <c r="G74" s="498"/>
      <c r="H74" s="414"/>
      <c r="I74" s="414"/>
      <c r="J74" s="595"/>
      <c r="K74" s="415"/>
      <c r="L74" s="887">
        <f>VLOOKUP($K$61,D_Annexe!$B$4:$AO$52,MATCH("Fab prod informat, électroniq",D_Annexe!$B$4:$AO$4,0),FALSE)</f>
        <v>2919</v>
      </c>
      <c r="M74" s="888"/>
      <c r="N74" s="864">
        <f>VLOOKUP($K$61,D_Annexe!$B$4:$AO$52,MATCH("Fab prod informat, électroniq",D_Annexe!$B$4:$AO$4,0),FALSE)/VLOOKUP($K$61,D_Annexe!$B$4:$AO$52,MATCH("Postes des Ets actifs N-1",D_Annexe!$B$4:$AO$4,0),FALSE)</f>
        <v>6.4878921574075101E-3</v>
      </c>
      <c r="O74" s="865"/>
      <c r="Q74" s="887">
        <f>VLOOKUP($Q$61,D_Annexe!$B$4:$AO$52,MATCH("Fab prod informat, électroniq",D_Annexe!$B$4:$AO$4,0),FALSE)</f>
        <v>1737</v>
      </c>
      <c r="R74" s="888"/>
      <c r="S74" s="864">
        <f>VLOOKUP($Q$61,D_Annexe!$B$4:$AO$52,MATCH("Fab prod informat, électroniq",D_Annexe!$B$4:$AO$4,0),FALSE)/VLOOKUP($Q$61,D_Annexe!$B$4:$AO$52,MATCH("Postes des Ets actifs N-1",D_Annexe!$B$4:$AO$4,0),FALSE)</f>
        <v>4.6782334214934794E-3</v>
      </c>
      <c r="T74" s="865"/>
    </row>
    <row r="75" spans="1:20">
      <c r="A75" s="594" t="s">
        <v>695</v>
      </c>
      <c r="B75" s="532"/>
      <c r="C75" s="532"/>
      <c r="D75" s="532"/>
      <c r="E75" s="532"/>
      <c r="F75" s="532"/>
      <c r="G75" s="498"/>
      <c r="H75" s="414"/>
      <c r="I75" s="414"/>
      <c r="J75" s="595"/>
      <c r="K75" s="415"/>
      <c r="L75" s="887">
        <f>VLOOKUP($K$61,D_Annexe!$B$4:$AO$52,MATCH("Fabrication d'équipements électriques",D_Annexe!$B$4:$AO$4,0),FALSE)</f>
        <v>1306</v>
      </c>
      <c r="M75" s="888"/>
      <c r="N75" s="864">
        <f>VLOOKUP($K$61,D_Annexe!$B$4:$AO$52,MATCH("Fabrication d'équipements électriques",D_Annexe!$B$4:$AO$4,0),FALSE)/VLOOKUP($K$61,D_Annexe!$B$4:$AO$52,MATCH("Postes des Ets actifs N-1",D_Annexe!$B$4:$AO$4,0),FALSE)</f>
        <v>2.9027705233210716E-3</v>
      </c>
      <c r="O75" s="865"/>
      <c r="Q75" s="887">
        <f>VLOOKUP($Q$61,D_Annexe!$B$4:$AO$52,MATCH("Fabrication d'équipements électriques",D_Annexe!$B$4:$AO$4,0),FALSE)</f>
        <v>770</v>
      </c>
      <c r="R75" s="888"/>
      <c r="S75" s="864">
        <f>VLOOKUP($Q$61,D_Annexe!$B$4:$AO$52,MATCH("Fabrication d'équipements électriques",D_Annexe!$B$4:$AO$4,0),FALSE)/VLOOKUP($Q$61,D_Annexe!$B$4:$AO$52,MATCH("Postes des Ets actifs N-1",D_Annexe!$B$4:$AO$4,0),FALSE)</f>
        <v>2.0738282870178351E-3</v>
      </c>
      <c r="T75" s="865"/>
    </row>
    <row r="76" spans="1:20">
      <c r="A76" s="594" t="s">
        <v>1333</v>
      </c>
      <c r="B76" s="532"/>
      <c r="C76" s="532"/>
      <c r="D76" s="532"/>
      <c r="E76" s="532"/>
      <c r="F76" s="532"/>
      <c r="G76" s="498"/>
      <c r="H76" s="414"/>
      <c r="I76" s="414"/>
      <c r="J76" s="595"/>
      <c r="K76" s="415"/>
      <c r="L76" s="887">
        <f>VLOOKUP($K$61,D_Annexe!$B$4:$AO$52,MATCH("Fabric de machines ",D_Annexe!$B$4:$AO$4,0),FALSE)</f>
        <v>1700</v>
      </c>
      <c r="M76" s="888"/>
      <c r="N76" s="864">
        <f>VLOOKUP($K$61,D_Annexe!$B$4:$AO$52,MATCH("Fabric de machines ",D_Annexe!$B$4:$AO$4,0),FALSE)/VLOOKUP($K$61,D_Annexe!$B$4:$AO$52,MATCH("Postes des Ets actifs N-1",D_Annexe!$B$4:$AO$4,0),FALSE)</f>
        <v>3.7784914928375361E-3</v>
      </c>
      <c r="O76" s="865"/>
      <c r="Q76" s="887">
        <f>VLOOKUP($Q$61,D_Annexe!$B$4:$AO$52,MATCH("Fabric de machines ",D_Annexe!$B$4:$AO$4,0),FALSE)</f>
        <v>2217</v>
      </c>
      <c r="R76" s="888"/>
      <c r="S76" s="864">
        <f>VLOOKUP($Q$61,D_Annexe!$B$4:$AO$52,MATCH("Fabric de machines ",D_Annexe!$B$4:$AO$4,0),FALSE)/VLOOKUP($Q$61,D_Annexe!$B$4:$AO$52,MATCH("Postes des Ets actifs N-1",D_Annexe!$B$4:$AO$4,0),FALSE)</f>
        <v>5.9710094965175842E-3</v>
      </c>
      <c r="T76" s="865"/>
    </row>
    <row r="77" spans="1:20">
      <c r="A77" s="594" t="s">
        <v>685</v>
      </c>
      <c r="B77" s="532"/>
      <c r="C77" s="532"/>
      <c r="D77" s="532"/>
      <c r="E77" s="532"/>
      <c r="F77" s="532"/>
      <c r="G77" s="498"/>
      <c r="H77" s="414"/>
      <c r="I77" s="414"/>
      <c r="J77" s="595"/>
      <c r="K77" s="415"/>
      <c r="L77" s="887">
        <f>VLOOKUP($K$61,D_Annexe!$B$4:$AO$52,MATCH("Fabrication de matériels de transport",D_Annexe!$B$4:$AO$4,0),FALSE)</f>
        <v>8512</v>
      </c>
      <c r="M77" s="888"/>
      <c r="N77" s="864">
        <f>VLOOKUP($K$61,D_Annexe!$B$4:$AO$52,MATCH("Fabrication de matériels de transport",D_Annexe!$B$4:$AO$4,0),FALSE)/VLOOKUP($K$61,D_Annexe!$B$4:$AO$52,MATCH("Postes des Ets actifs N-1",D_Annexe!$B$4:$AO$4,0),FALSE)</f>
        <v>1.8919129168843005E-2</v>
      </c>
      <c r="O77" s="865"/>
      <c r="Q77" s="887">
        <f>VLOOKUP($Q$61,D_Annexe!$B$4:$AO$52,MATCH("Fabrication de matériels de transport",D_Annexe!$B$4:$AO$4,0),FALSE)</f>
        <v>4258</v>
      </c>
      <c r="R77" s="888"/>
      <c r="S77" s="864">
        <f>VLOOKUP($Q$61,D_Annexe!$B$4:$AO$52,MATCH("Fabrication de matériels de transport",D_Annexe!$B$4:$AO$4,0),FALSE)/VLOOKUP($Q$61,D_Annexe!$B$4:$AO$52,MATCH("Postes des Ets actifs N-1",D_Annexe!$B$4:$AO$4,0),FALSE)</f>
        <v>1.1468001098859664E-2</v>
      </c>
      <c r="T77" s="865"/>
    </row>
    <row r="78" spans="1:20">
      <c r="A78" s="594" t="s">
        <v>1346</v>
      </c>
      <c r="B78" s="532"/>
      <c r="C78" s="532"/>
      <c r="D78" s="532"/>
      <c r="E78" s="532"/>
      <c r="F78" s="532"/>
      <c r="G78" s="498"/>
      <c r="H78" s="414"/>
      <c r="I78" s="414"/>
      <c r="J78" s="595"/>
      <c r="K78" s="415"/>
      <c r="L78" s="887">
        <f>VLOOKUP($K$61,D_Annexe!$B$4:$AO$52,MATCH("Aut ind manuf",D_Annexe!$B$4:$AO$4,0),FALSE)</f>
        <v>4980</v>
      </c>
      <c r="M78" s="888"/>
      <c r="N78" s="864">
        <f>VLOOKUP($K$61,D_Annexe!$B$4:$AO$52,MATCH("Aut ind manuf",D_Annexe!$B$4:$AO$4,0),FALSE)/VLOOKUP($K$61,D_Annexe!$B$4:$AO$52,MATCH("Postes des Ets actifs N-1",D_Annexe!$B$4:$AO$4,0),FALSE)</f>
        <v>1.106875743195937E-2</v>
      </c>
      <c r="O78" s="865"/>
      <c r="Q78" s="887">
        <f>VLOOKUP($Q$61,D_Annexe!$B$4:$AO$52,MATCH("Aut ind manuf",D_Annexe!$B$4:$AO$4,0),FALSE)</f>
        <v>5025</v>
      </c>
      <c r="R78" s="888"/>
      <c r="S78" s="864">
        <f>VLOOKUP($Q$61,D_Annexe!$B$4:$AO$52,MATCH("Aut ind manuf",D_Annexe!$B$4:$AO$4,0),FALSE)/VLOOKUP($Q$61,D_Annexe!$B$4:$AO$52,MATCH("Postes des Ets actifs N-1",D_Annexe!$B$4:$AO$4,0),FALSE)</f>
        <v>1.3533749535408599E-2</v>
      </c>
      <c r="T78" s="865"/>
    </row>
    <row r="79" spans="1:20">
      <c r="A79" s="594" t="s">
        <v>1347</v>
      </c>
      <c r="B79" s="532"/>
      <c r="C79" s="532"/>
      <c r="D79" s="532"/>
      <c r="E79" s="532"/>
      <c r="F79" s="532"/>
      <c r="G79" s="498"/>
      <c r="H79" s="414"/>
      <c r="I79" s="414"/>
      <c r="J79" s="595"/>
      <c r="K79" s="415"/>
      <c r="L79" s="887">
        <f>VLOOKUP($K$61,D_Annexe!$B$4:$AO$52,MATCH("Prdn  distr élec gaz vap ",D_Annexe!$B$4:$AO$4,0),FALSE)</f>
        <v>3486</v>
      </c>
      <c r="M79" s="888"/>
      <c r="N79" s="864">
        <f>VLOOKUP($K$61,D_Annexe!$B$4:$AO$52,MATCH("Prdn  distr élec gaz vap ",D_Annexe!$B$4:$AO$4,0),FALSE)/VLOOKUP($K$61,D_Annexe!$B$4:$AO$52,MATCH("Postes des Ets actifs N-1",D_Annexe!$B$4:$AO$4,0),FALSE)</f>
        <v>7.7481302023715594E-3</v>
      </c>
      <c r="O79" s="865"/>
      <c r="Q79" s="887">
        <f>VLOOKUP($Q$61,D_Annexe!$B$4:$AO$52,MATCH("Prdn  distr élec gaz vap ",D_Annexe!$B$4:$AO$4,0),FALSE)</f>
        <v>4179</v>
      </c>
      <c r="R79" s="888"/>
      <c r="S79" s="864">
        <f>VLOOKUP($Q$61,D_Annexe!$B$4:$AO$52,MATCH("Prdn  distr élec gaz vap ",D_Annexe!$B$4:$AO$4,0),FALSE)/VLOOKUP($Q$61,D_Annexe!$B$4:$AO$52,MATCH("Postes des Ets actifs N-1",D_Annexe!$B$4:$AO$4,0),FALSE)</f>
        <v>1.1255231703178614E-2</v>
      </c>
      <c r="T79" s="865"/>
    </row>
    <row r="80" spans="1:20">
      <c r="A80" s="594" t="s">
        <v>1350</v>
      </c>
      <c r="B80" s="532"/>
      <c r="C80" s="532"/>
      <c r="D80" s="532"/>
      <c r="E80" s="532"/>
      <c r="F80" s="532"/>
      <c r="G80" s="498"/>
      <c r="H80" s="414"/>
      <c r="I80" s="414"/>
      <c r="J80" s="595"/>
      <c r="K80" s="415"/>
      <c r="L80" s="887">
        <f>VLOOKUP($K$61,D_Annexe!$B$4:$AO$52,MATCH("Gestion eau, déchets  dépollution",D_Annexe!$B$4:$AO$4,0),FALSE)</f>
        <v>4403</v>
      </c>
      <c r="M80" s="888"/>
      <c r="N80" s="864">
        <f>VLOOKUP($K$61,D_Annexe!$B$4:$AO$52,MATCH("Gestion eau, déchets  dépollution",D_Annexe!$B$4:$AO$4,0),FALSE)/VLOOKUP($K$61,D_Annexe!$B$4:$AO$52,MATCH("Postes des Ets actifs N-1",D_Annexe!$B$4:$AO$4,0),FALSE)</f>
        <v>9.7862929664492178E-3</v>
      </c>
      <c r="O80" s="865"/>
      <c r="Q80" s="887">
        <f>VLOOKUP($Q$61,D_Annexe!$B$4:$AO$52,MATCH("Gestion eau, déchets  dépollution",D_Annexe!$B$4:$AO$4,0),FALSE)</f>
        <v>2841</v>
      </c>
      <c r="R80" s="888"/>
      <c r="S80" s="864">
        <f>VLOOKUP($Q$61,D_Annexe!$B$4:$AO$52,MATCH("Gestion eau, déchets  dépollution",D_Annexe!$B$4:$AO$4,0),FALSE)/VLOOKUP($Q$61,D_Annexe!$B$4:$AO$52,MATCH("Postes des Ets actifs N-1",D_Annexe!$B$4:$AO$4,0),FALSE)</f>
        <v>7.6516183940489209E-3</v>
      </c>
      <c r="T80" s="865"/>
    </row>
    <row r="81" spans="1:20">
      <c r="A81" s="594" t="s">
        <v>1334</v>
      </c>
      <c r="B81" s="532"/>
      <c r="C81" s="532"/>
      <c r="D81" s="532"/>
      <c r="E81" s="532"/>
      <c r="F81" s="532"/>
      <c r="G81" s="498"/>
      <c r="H81" s="414"/>
      <c r="I81" s="414"/>
      <c r="J81" s="595"/>
      <c r="K81" s="415"/>
      <c r="L81" s="887">
        <f>VLOOKUP($K$61,D_Annexe!$B$4:$AO$52,MATCH("Construction",D_Annexe!$B$4:$AO$4,0),FALSE)</f>
        <v>28555</v>
      </c>
      <c r="M81" s="888"/>
      <c r="N81" s="864">
        <f>VLOOKUP($K$61,D_Annexe!$B$4:$AO$52,MATCH("Construction",D_Annexe!$B$4:$AO$4,0),FALSE)/VLOOKUP($K$61,D_Annexe!$B$4:$AO$52,MATCH("Postes des Ets actifs N-1",D_Annexe!$B$4:$AO$4,0),FALSE)</f>
        <v>6.3467543869397555E-2</v>
      </c>
      <c r="O81" s="865"/>
      <c r="Q81" s="887">
        <f>VLOOKUP($Q$61,D_Annexe!$B$4:$AO$52,MATCH("Construction",D_Annexe!$B$4:$AO$4,0),FALSE)</f>
        <v>24344</v>
      </c>
      <c r="R81" s="888"/>
      <c r="S81" s="864">
        <f>VLOOKUP($Q$61,D_Annexe!$B$4:$AO$52,MATCH("Construction",D_Annexe!$B$4:$AO$4,0),FALSE)/VLOOKUP($Q$61,D_Annexe!$B$4:$AO$52,MATCH("Postes des Ets actifs N-1",D_Annexe!$B$4:$AO$4,0),FALSE)</f>
        <v>6.556529327163918E-2</v>
      </c>
      <c r="T81" s="865"/>
    </row>
    <row r="82" spans="1:20">
      <c r="A82" s="594" t="s">
        <v>511</v>
      </c>
      <c r="B82" s="532"/>
      <c r="C82" s="532"/>
      <c r="D82" s="532"/>
      <c r="E82" s="532"/>
      <c r="F82" s="532"/>
      <c r="G82" s="498"/>
      <c r="H82" s="414"/>
      <c r="I82" s="414"/>
      <c r="J82" s="595"/>
      <c r="K82" s="415"/>
      <c r="L82" s="887">
        <f>VLOOKUP($K$61,D_Annexe!$B$4:$AO$52,MATCH("Commerce ; répar automobile  motocycle",D_Annexe!$B$4:$AO$4,0),FALSE)</f>
        <v>60583</v>
      </c>
      <c r="M82" s="888"/>
      <c r="N82" s="864">
        <f>VLOOKUP($K$61,D_Annexe!$B$4:$AO$52,MATCH("Commerce ; répar automobile  motocycle",D_Annexe!$B$4:$AO$4,0),FALSE)/VLOOKUP($K$61,D_Annexe!$B$4:$AO$52,MATCH("Postes des Ets actifs N-1",D_Annexe!$B$4:$AO$4,0),FALSE)</f>
        <v>0.13465432359445673</v>
      </c>
      <c r="O82" s="865"/>
      <c r="Q82" s="887">
        <f>VLOOKUP($Q$61,D_Annexe!$B$4:$AO$52,MATCH("Commerce ; répar automobile  motocycle",D_Annexe!$B$4:$AO$4,0),FALSE)</f>
        <v>49726</v>
      </c>
      <c r="R82" s="888"/>
      <c r="S82" s="864">
        <f>VLOOKUP($Q$61,D_Annexe!$B$4:$AO$52,MATCH("Commerce ; répar automobile  motocycle",D_Annexe!$B$4:$AO$4,0),FALSE)/VLOOKUP($Q$61,D_Annexe!$B$4:$AO$52,MATCH("Postes des Ets actifs N-1",D_Annexe!$B$4:$AO$4,0),FALSE)</f>
        <v>0.133926214805518</v>
      </c>
      <c r="T82" s="865"/>
    </row>
    <row r="83" spans="1:20">
      <c r="A83" s="594" t="s">
        <v>1335</v>
      </c>
      <c r="B83" s="532"/>
      <c r="C83" s="532"/>
      <c r="D83" s="532"/>
      <c r="E83" s="532"/>
      <c r="F83" s="532"/>
      <c r="G83" s="498"/>
      <c r="H83" s="414"/>
      <c r="I83" s="414"/>
      <c r="J83" s="595"/>
      <c r="K83" s="415"/>
      <c r="L83" s="887">
        <f>VLOOKUP($K$61,D_Annexe!$B$4:$AO$52,MATCH("Transports et entreposage",D_Annexe!$B$4:$AO$4,0),FALSE)</f>
        <v>30618</v>
      </c>
      <c r="M83" s="888"/>
      <c r="N83" s="864">
        <f>VLOOKUP($K$61,D_Annexe!$B$4:$AO$52,MATCH("Transports et entreposage",D_Annexe!$B$4:$AO$4,0),FALSE)/VLOOKUP($K$61,D_Annexe!$B$4:$AO$52,MATCH("Postes des Ets actifs N-1",D_Annexe!$B$4:$AO$4,0),FALSE)</f>
        <v>6.805285442805864E-2</v>
      </c>
      <c r="O83" s="865"/>
      <c r="Q83" s="887">
        <f>VLOOKUP($Q$61,D_Annexe!$B$4:$AO$52,MATCH("Transports et entreposage",D_Annexe!$B$4:$AO$4,0),FALSE)</f>
        <v>23632</v>
      </c>
      <c r="R83" s="888"/>
      <c r="S83" s="864">
        <f>VLOOKUP($Q$61,D_Annexe!$B$4:$AO$52,MATCH("Transports et entreposage",D_Annexe!$B$4:$AO$4,0),FALSE)/VLOOKUP($Q$61,D_Annexe!$B$4:$AO$52,MATCH("Postes des Ets actifs N-1",D_Annexe!$B$4:$AO$4,0),FALSE)</f>
        <v>6.3647675427020101E-2</v>
      </c>
      <c r="T83" s="865"/>
    </row>
    <row r="84" spans="1:20">
      <c r="A84" s="594" t="s">
        <v>513</v>
      </c>
      <c r="B84" s="532"/>
      <c r="C84" s="532"/>
      <c r="D84" s="532"/>
      <c r="E84" s="532"/>
      <c r="F84" s="532"/>
      <c r="G84" s="498"/>
      <c r="H84" s="414"/>
      <c r="I84" s="414"/>
      <c r="J84" s="595"/>
      <c r="K84" s="415"/>
      <c r="L84" s="887">
        <f>VLOOKUP($K$61,D_Annexe!$B$4:$AO$52,MATCH("Hébergement et restauration",D_Annexe!$B$4:$AO$4,0),FALSE)</f>
        <v>18412</v>
      </c>
      <c r="M84" s="888"/>
      <c r="N84" s="864">
        <f>VLOOKUP($K$61,D_Annexe!$B$4:$AO$52,MATCH("Hébergement et restauration",D_Annexe!$B$4:$AO$4,0),FALSE)/VLOOKUP($K$61,D_Annexe!$B$4:$AO$52,MATCH("Postes des Ets actifs N-1",D_Annexe!$B$4:$AO$4,0),FALSE)</f>
        <v>4.0923285509485124E-2</v>
      </c>
      <c r="O84" s="865"/>
      <c r="Q84" s="887">
        <f>VLOOKUP($Q$61,D_Annexe!$B$4:$AO$52,MATCH("Hébergement et restauration",D_Annexe!$B$4:$AO$4,0),FALSE)</f>
        <v>11519</v>
      </c>
      <c r="R84" s="888"/>
      <c r="S84" s="864">
        <f>VLOOKUP($Q$61,D_Annexe!$B$4:$AO$52,MATCH("Hébergement et restauration",D_Annexe!$B$4:$AO$4,0),FALSE)/VLOOKUP($Q$61,D_Annexe!$B$4:$AO$52,MATCH("Postes des Ets actifs N-1",D_Annexe!$B$4:$AO$4,0),FALSE)</f>
        <v>3.1023932517088883E-2</v>
      </c>
      <c r="T84" s="865"/>
    </row>
    <row r="85" spans="1:20">
      <c r="A85" s="594" t="s">
        <v>1336</v>
      </c>
      <c r="B85" s="532"/>
      <c r="C85" s="532"/>
      <c r="D85" s="532"/>
      <c r="E85" s="532"/>
      <c r="F85" s="532"/>
      <c r="G85" s="498"/>
      <c r="H85" s="414"/>
      <c r="I85" s="414"/>
      <c r="J85" s="595"/>
      <c r="K85" s="415"/>
      <c r="L85" s="887">
        <f>VLOOKUP($K$61,D_Annexe!$B$4:$AO$52,MATCH("Édition, audiovisuel et diffusion",D_Annexe!$B$4:$AO$4,0),FALSE)</f>
        <v>3126</v>
      </c>
      <c r="M85" s="888"/>
      <c r="N85" s="864">
        <f>VLOOKUP($K$61,D_Annexe!$B$4:$AO$52,MATCH("Édition, audiovisuel et diffusion",D_Annexe!$B$4:$AO$4,0),FALSE)/VLOOKUP($K$61,D_Annexe!$B$4:$AO$52,MATCH("Postes des Ets actifs N-1",D_Annexe!$B$4:$AO$4,0),FALSE)</f>
        <v>6.9479790627118452E-3</v>
      </c>
      <c r="O85" s="865"/>
      <c r="Q85" s="887">
        <f>VLOOKUP($Q$61,D_Annexe!$B$4:$AO$52,MATCH("Édition, audiovisuel et diffusion",D_Annexe!$B$4:$AO$4,0),FALSE)</f>
        <v>2834</v>
      </c>
      <c r="R85" s="888"/>
      <c r="S85" s="864">
        <f>VLOOKUP($Q$61,D_Annexe!$B$4:$AO$52,MATCH("Édition, audiovisuel et diffusion",D_Annexe!$B$4:$AO$4,0),FALSE)/VLOOKUP($Q$61,D_Annexe!$B$4:$AO$52,MATCH("Postes des Ets actifs N-1",D_Annexe!$B$4:$AO$4,0),FALSE)</f>
        <v>7.6327654096214857E-3</v>
      </c>
      <c r="T85" s="865"/>
    </row>
    <row r="86" spans="1:20">
      <c r="A86" s="594" t="s">
        <v>697</v>
      </c>
      <c r="B86" s="532"/>
      <c r="C86" s="532"/>
      <c r="D86" s="532"/>
      <c r="E86" s="532"/>
      <c r="F86" s="532"/>
      <c r="G86" s="498"/>
      <c r="H86" s="414"/>
      <c r="I86" s="414"/>
      <c r="J86" s="595"/>
      <c r="K86" s="415"/>
      <c r="L86" s="887">
        <f>VLOOKUP($K$61,D_Annexe!$B$4:$AO$52,MATCH("Télécommunications",D_Annexe!$B$4:$AO$4,0),FALSE)</f>
        <v>4505</v>
      </c>
      <c r="M86" s="888"/>
      <c r="N86" s="864">
        <f>VLOOKUP($K$61,D_Annexe!$B$4:$AO$52,MATCH("Télécommunications",D_Annexe!$B$4:$AO$4,0),FALSE)/VLOOKUP($K$61,D_Annexe!$B$4:$AO$52,MATCH("Postes des Ets actifs N-1",D_Annexe!$B$4:$AO$4,0),FALSE)</f>
        <v>1.001300245601947E-2</v>
      </c>
      <c r="O86" s="865"/>
      <c r="Q86" s="887">
        <f>VLOOKUP($Q$61,D_Annexe!$B$4:$AO$52,MATCH("Télécommunications",D_Annexe!$B$4:$AO$4,0),FALSE)</f>
        <v>3688</v>
      </c>
      <c r="R86" s="888"/>
      <c r="S86" s="864">
        <f>VLOOKUP($Q$61,D_Annexe!$B$4:$AO$52,MATCH("Télécommunications",D_Annexe!$B$4:$AO$4,0),FALSE)/VLOOKUP($Q$61,D_Annexe!$B$4:$AO$52,MATCH("Postes des Ets actifs N-1",D_Annexe!$B$4:$AO$4,0),FALSE)</f>
        <v>9.9328295097685388E-3</v>
      </c>
      <c r="T86" s="865"/>
    </row>
    <row r="87" spans="1:20">
      <c r="A87" s="594" t="s">
        <v>1337</v>
      </c>
      <c r="B87" s="532"/>
      <c r="C87" s="532"/>
      <c r="D87" s="532"/>
      <c r="E87" s="532"/>
      <c r="F87" s="532"/>
      <c r="G87" s="498"/>
      <c r="H87" s="414"/>
      <c r="I87" s="414"/>
      <c r="J87" s="595"/>
      <c r="K87" s="415"/>
      <c r="L87" s="887">
        <f>VLOOKUP($K$61,D_Annexe!$B$4:$AO$52,MATCH("Act informatique et d'information",D_Annexe!$B$4:$AO$4,0),FALSE)</f>
        <v>9291</v>
      </c>
      <c r="M87" s="888"/>
      <c r="N87" s="864">
        <f>VLOOKUP($K$61,D_Annexe!$B$4:$AO$52,MATCH("Act informatique et d'information",D_Annexe!$B$4:$AO$4,0),FALSE)/VLOOKUP($K$61,D_Annexe!$B$4:$AO$52,MATCH("Postes des Ets actifs N-1",D_Annexe!$B$4:$AO$4,0),FALSE)</f>
        <v>2.0650567329384438E-2</v>
      </c>
      <c r="O87" s="865"/>
      <c r="Q87" s="887">
        <f>VLOOKUP($Q$61,D_Annexe!$B$4:$AO$52,MATCH("Act informatique et d'information",D_Annexe!$B$4:$AO$4,0),FALSE)</f>
        <v>15175</v>
      </c>
      <c r="R87" s="888"/>
      <c r="S87" s="864">
        <f>VLOOKUP($Q$61,D_Annexe!$B$4:$AO$52,MATCH("Act informatique et d'information",D_Annexe!$B$4:$AO$4,0),FALSE)/VLOOKUP($Q$61,D_Annexe!$B$4:$AO$52,MATCH("Postes des Ets actifs N-1",D_Annexe!$B$4:$AO$4,0),FALSE)</f>
        <v>4.0870576955189149E-2</v>
      </c>
      <c r="T87" s="865"/>
    </row>
    <row r="88" spans="1:20">
      <c r="A88" s="594" t="s">
        <v>515</v>
      </c>
      <c r="B88" s="532"/>
      <c r="C88" s="532"/>
      <c r="D88" s="532"/>
      <c r="E88" s="532"/>
      <c r="F88" s="532"/>
      <c r="G88" s="498"/>
      <c r="H88" s="414"/>
      <c r="I88" s="414"/>
      <c r="J88" s="595"/>
      <c r="K88" s="415"/>
      <c r="L88" s="887">
        <f>VLOOKUP($K$61,D_Annexe!$B$4:$AO$52,MATCH("Activités financières et d'assurance",D_Annexe!$B$4:$AO$4,0),FALSE)</f>
        <v>18962</v>
      </c>
      <c r="M88" s="888"/>
      <c r="N88" s="864">
        <f>VLOOKUP($K$61,D_Annexe!$B$4:$AO$52,MATCH("Activités financières et d'assurance",D_Annexe!$B$4:$AO$4,0),FALSE)/VLOOKUP($K$61,D_Annexe!$B$4:$AO$52,MATCH("Postes des Ets actifs N-1",D_Annexe!$B$4:$AO$4,0),FALSE)</f>
        <v>4.2145738639520799E-2</v>
      </c>
      <c r="O88" s="865"/>
      <c r="Q88" s="887">
        <f>VLOOKUP($Q$61,D_Annexe!$B$4:$AO$52,MATCH("Activités financières et d'assurance",D_Annexe!$B$4:$AO$4,0),FALSE)</f>
        <v>17486</v>
      </c>
      <c r="R88" s="888"/>
      <c r="S88" s="864">
        <f>VLOOKUP($Q$61,D_Annexe!$B$4:$AO$52,MATCH("Activités financières et d'assurance",D_Annexe!$B$4:$AO$4,0),FALSE)/VLOOKUP($Q$61,D_Annexe!$B$4:$AO$52,MATCH("Postes des Ets actifs N-1",D_Annexe!$B$4:$AO$4,0),FALSE)</f>
        <v>4.7094755099732287E-2</v>
      </c>
      <c r="T88" s="865"/>
    </row>
    <row r="89" spans="1:20">
      <c r="A89" s="594" t="s">
        <v>516</v>
      </c>
      <c r="B89" s="532"/>
      <c r="C89" s="532"/>
      <c r="D89" s="532"/>
      <c r="E89" s="532"/>
      <c r="F89" s="532"/>
      <c r="G89" s="498"/>
      <c r="H89" s="414"/>
      <c r="I89" s="414"/>
      <c r="J89" s="595"/>
      <c r="K89" s="415"/>
      <c r="L89" s="887">
        <f>VLOOKUP($K$61,D_Annexe!$B$4:$AO$52,MATCH("Activités immobilières",D_Annexe!$B$4:$AO$4,0),FALSE)</f>
        <v>5318</v>
      </c>
      <c r="M89" s="888"/>
      <c r="N89" s="864">
        <f>VLOOKUP($K$61,D_Annexe!$B$4:$AO$52,MATCH("Activités immobilières",D_Annexe!$B$4:$AO$4,0),FALSE)/VLOOKUP($K$61,D_Annexe!$B$4:$AO$52,MATCH("Postes des Ets actifs N-1",D_Annexe!$B$4:$AO$4,0),FALSE)</f>
        <v>1.1820010446417657E-2</v>
      </c>
      <c r="O89" s="865"/>
      <c r="Q89" s="887">
        <f>VLOOKUP($Q$61,D_Annexe!$B$4:$AO$52,MATCH("Activités immobilières",D_Annexe!$B$4:$AO$4,0),FALSE)</f>
        <v>3533</v>
      </c>
      <c r="R89" s="888"/>
      <c r="S89" s="864">
        <f>VLOOKUP($Q$61,D_Annexe!$B$4:$AO$52,MATCH("Activités immobilières",D_Annexe!$B$4:$AO$4,0),FALSE)/VLOOKUP($Q$61,D_Annexe!$B$4:$AO$52,MATCH("Postes des Ets actifs N-1",D_Annexe!$B$4:$AO$4,0),FALSE)</f>
        <v>9.5153705688753379E-3</v>
      </c>
      <c r="T89" s="865"/>
    </row>
    <row r="90" spans="1:20">
      <c r="A90" s="594" t="s">
        <v>1368</v>
      </c>
      <c r="B90" s="532"/>
      <c r="C90" s="532"/>
      <c r="D90" s="532"/>
      <c r="E90" s="532"/>
      <c r="F90" s="532"/>
      <c r="G90" s="498"/>
      <c r="H90" s="414"/>
      <c r="I90" s="414"/>
      <c r="J90" s="595"/>
      <c r="K90" s="415"/>
      <c r="L90" s="887">
        <f>VLOOKUP($K$61,D_Annexe!$B$4:$AO$52,MATCH("Act juri, compta, gest, arch, ingé",D_Annexe!$B$4:$AO$4,0),FALSE)</f>
        <v>18292</v>
      </c>
      <c r="M90" s="888"/>
      <c r="N90" s="864">
        <f>VLOOKUP($K$61,D_Annexe!$B$4:$AO$52,MATCH("Act juri, compta, gest, arch, ingé",D_Annexe!$B$4:$AO$4,0),FALSE)/VLOOKUP($K$61,D_Annexe!$B$4:$AO$52,MATCH("Postes des Ets actifs N-1",D_Annexe!$B$4:$AO$4,0),FALSE)</f>
        <v>4.0656568462931884E-2</v>
      </c>
      <c r="O90" s="865"/>
      <c r="Q90" s="887">
        <f>VLOOKUP($Q$61,D_Annexe!$B$4:$AO$52,MATCH("Act juri, compta, gest, arch, ingé",D_Annexe!$B$4:$AO$4,0),FALSE)</f>
        <v>19031</v>
      </c>
      <c r="R90" s="888"/>
      <c r="S90" s="864">
        <f>VLOOKUP($Q$61,D_Annexe!$B$4:$AO$52,MATCH("Act juri, compta, gest, arch, ingé",D_Annexe!$B$4:$AO$4,0),FALSE)/VLOOKUP($Q$61,D_Annexe!$B$4:$AO$52,MATCH("Postes des Ets actifs N-1",D_Annexe!$B$4:$AO$4,0),FALSE)</f>
        <v>5.1255878091216123E-2</v>
      </c>
      <c r="T90" s="865"/>
    </row>
    <row r="91" spans="1:20">
      <c r="A91" s="594" t="s">
        <v>699</v>
      </c>
      <c r="B91" s="532"/>
      <c r="C91" s="532"/>
      <c r="D91" s="532"/>
      <c r="E91" s="532"/>
      <c r="F91" s="532"/>
      <c r="G91" s="498"/>
      <c r="H91" s="414"/>
      <c r="I91" s="414"/>
      <c r="J91" s="595"/>
      <c r="K91" s="415"/>
      <c r="L91" s="887">
        <f>VLOOKUP($K$61,D_Annexe!$B$4:$AO$52,MATCH("Recherche-développement scientifique",D_Annexe!$B$4:$AO$4,0),FALSE)</f>
        <v>5138</v>
      </c>
      <c r="M91" s="888"/>
      <c r="N91" s="864">
        <f>VLOOKUP($K$61,D_Annexe!$B$4:$AO$52,MATCH("Recherche-développement scientifique",D_Annexe!$B$4:$AO$4,0),FALSE)/VLOOKUP($K$61,D_Annexe!$B$4:$AO$52,MATCH("Postes des Ets actifs N-1",D_Annexe!$B$4:$AO$4,0),FALSE)</f>
        <v>1.14199348765878E-2</v>
      </c>
      <c r="O91" s="865"/>
      <c r="Q91" s="887">
        <f>VLOOKUP($Q$61,D_Annexe!$B$4:$AO$52,MATCH("Recherche-développement scientifique",D_Annexe!$B$4:$AO$4,0),FALSE)</f>
        <v>2718</v>
      </c>
      <c r="R91" s="888"/>
      <c r="S91" s="864">
        <f>VLOOKUP($Q$61,D_Annexe!$B$4:$AO$52,MATCH("Recherche-développement scientifique",D_Annexe!$B$4:$AO$4,0),FALSE)/VLOOKUP($Q$61,D_Annexe!$B$4:$AO$52,MATCH("Postes des Ets actifs N-1",D_Annexe!$B$4:$AO$4,0),FALSE)</f>
        <v>7.3203445248239936E-3</v>
      </c>
      <c r="T91" s="865"/>
    </row>
    <row r="92" spans="1:20">
      <c r="A92" s="594" t="s">
        <v>1338</v>
      </c>
      <c r="B92" s="532"/>
      <c r="C92" s="532"/>
      <c r="D92" s="532"/>
      <c r="E92" s="532"/>
      <c r="F92" s="532"/>
      <c r="G92" s="498"/>
      <c r="H92" s="414"/>
      <c r="I92" s="414"/>
      <c r="J92" s="595"/>
      <c r="K92" s="415"/>
      <c r="L92" s="887">
        <f>VLOOKUP($K$61,D_Annexe!$B$4:$AO$52,MATCH("Autres act spécial, scientif et tech",D_Annexe!$B$4:$AO$4,0),FALSE)</f>
        <v>3688</v>
      </c>
      <c r="M92" s="888"/>
      <c r="N92" s="864">
        <f>VLOOKUP($K$61,D_Annexe!$B$4:$AO$52,MATCH("Autres act spécial, scientif et tech",D_Annexe!$B$4:$AO$4,0),FALSE)/VLOOKUP($K$61,D_Annexe!$B$4:$AO$52,MATCH("Postes des Ets actifs N-1",D_Annexe!$B$4:$AO$4,0),FALSE)</f>
        <v>8.197103897402842E-3</v>
      </c>
      <c r="O92" s="865"/>
      <c r="Q92" s="887">
        <f>VLOOKUP($Q$61,D_Annexe!$B$4:$AO$52,MATCH("Autres act spécial, scientif et tech",D_Annexe!$B$4:$AO$4,0),FALSE)</f>
        <v>3481</v>
      </c>
      <c r="R92" s="888"/>
      <c r="S92" s="864">
        <f>VLOOKUP($Q$61,D_Annexe!$B$4:$AO$52,MATCH("Autres act spécial, scientif et tech",D_Annexe!$B$4:$AO$4,0),FALSE)/VLOOKUP($Q$61,D_Annexe!$B$4:$AO$52,MATCH("Postes des Ets actifs N-1",D_Annexe!$B$4:$AO$4,0),FALSE)</f>
        <v>9.375319827414394E-3</v>
      </c>
      <c r="T92" s="865"/>
    </row>
    <row r="93" spans="1:20">
      <c r="A93" s="594" t="s">
        <v>1339</v>
      </c>
      <c r="B93" s="532"/>
      <c r="C93" s="532"/>
      <c r="D93" s="532"/>
      <c r="E93" s="532"/>
      <c r="F93" s="532"/>
      <c r="G93" s="498"/>
      <c r="H93" s="414"/>
      <c r="I93" s="414"/>
      <c r="J93" s="595"/>
      <c r="K93" s="415"/>
      <c r="L93" s="887">
        <f>VLOOKUP($K$61,D_Annexe!$B$4:$AO$52,MATCH("Act de svices administratifs  soutien",D_Annexe!$B$4:$AO$4,0),FALSE)</f>
        <v>27182</v>
      </c>
      <c r="M93" s="888"/>
      <c r="N93" s="864">
        <f>VLOOKUP($K$61,D_Annexe!$B$4:$AO$52,MATCH("Act de svices administratifs  soutien",D_Annexe!$B$4:$AO$4,0),FALSE)/VLOOKUP($K$61,D_Annexe!$B$4:$AO$52,MATCH("Postes des Ets actifs N-1",D_Annexe!$B$4:$AO$4,0),FALSE)</f>
        <v>6.0415856328417589E-2</v>
      </c>
      <c r="O93" s="865"/>
      <c r="Q93" s="887">
        <f>VLOOKUP($Q$61,D_Annexe!$B$4:$AO$52,MATCH("Act de svices administratifs  soutien",D_Annexe!$B$4:$AO$4,0),FALSE)</f>
        <v>22381</v>
      </c>
      <c r="R93" s="888"/>
      <c r="S93" s="864">
        <f>VLOOKUP($Q$61,D_Annexe!$B$4:$AO$52,MATCH("Act de svices administratifs  soutien",D_Annexe!$B$4:$AO$4,0),FALSE)/VLOOKUP($Q$61,D_Annexe!$B$4:$AO$52,MATCH("Postes des Ets actifs N-1",D_Annexe!$B$4:$AO$4,0),FALSE)</f>
        <v>6.0278377781488521E-2</v>
      </c>
      <c r="T93" s="865"/>
    </row>
    <row r="94" spans="1:20">
      <c r="A94" s="594" t="s">
        <v>1525</v>
      </c>
      <c r="B94" s="532"/>
      <c r="C94" s="532"/>
      <c r="D94" s="532"/>
      <c r="E94" s="532"/>
      <c r="F94" s="532"/>
      <c r="G94" s="498"/>
      <c r="H94" s="414"/>
      <c r="I94" s="414"/>
      <c r="J94" s="595"/>
      <c r="K94" s="415"/>
      <c r="L94" s="887">
        <f>VLOOKUP($K$61,D_Annexe!$B$4:$AO$52,MATCH("Support service public",D_Annexe!$B$4:$AO$4,0),FALSE)</f>
        <v>48309</v>
      </c>
      <c r="M94" s="888"/>
      <c r="N94" s="864">
        <f>VLOOKUP($K$61,D_Annexe!$B$4:$AO$52,MATCH("Support service public",D_Annexe!$B$4:$AO$4,0),FALSE)/VLOOKUP($K$61,D_Annexe!$B$4:$AO$52,MATCH("Postes des Ets actifs N-1",D_Annexe!$B$4:$AO$4,0),FALSE)</f>
        <v>0.10737361501616972</v>
      </c>
      <c r="O94" s="865"/>
      <c r="Q94" s="887">
        <f>VLOOKUP($Q$61,D_Annexe!$B$4:$AO$52,MATCH("Support service public",D_Annexe!$B$4:$AO$4,0),FALSE)</f>
        <v>37942</v>
      </c>
      <c r="R94" s="888"/>
      <c r="S94" s="864">
        <f>VLOOKUP($Q$61,D_Annexe!$B$4:$AO$52,MATCH("Support service public",D_Annexe!$B$4:$AO$4,0),FALSE)/VLOOKUP($Q$61,D_Annexe!$B$4:$AO$52,MATCH("Postes des Ets actifs N-1",D_Annexe!$B$4:$AO$4,0),FALSE)</f>
        <v>0.10218856216367622</v>
      </c>
      <c r="T94" s="865"/>
    </row>
    <row r="95" spans="1:20">
      <c r="A95" s="594" t="s">
        <v>702</v>
      </c>
      <c r="B95" s="532"/>
      <c r="C95" s="532"/>
      <c r="D95" s="532"/>
      <c r="E95" s="532"/>
      <c r="F95" s="532"/>
      <c r="G95" s="498"/>
      <c r="H95" s="414"/>
      <c r="I95" s="414"/>
      <c r="J95" s="595"/>
      <c r="K95" s="415"/>
      <c r="L95" s="887">
        <f>VLOOKUP($K$61,D_Annexe!$B$4:$AO$52,MATCH("Enseignement",D_Annexe!$B$4:$AO$4,0),FALSE)</f>
        <v>37541</v>
      </c>
      <c r="M95" s="888"/>
      <c r="N95" s="864">
        <f>VLOOKUP($K$61,D_Annexe!$B$4:$AO$52,MATCH("Enseignement",D_Annexe!$B$4:$AO$4,0),FALSE)/VLOOKUP($K$61,D_Annexe!$B$4:$AO$52,MATCH("Postes des Ets actifs N-1",D_Annexe!$B$4:$AO$4,0),FALSE)</f>
        <v>8.3440205372125847E-2</v>
      </c>
      <c r="O95" s="865"/>
      <c r="Q95" s="887">
        <f>VLOOKUP($Q$61,D_Annexe!$B$4:$AO$52,MATCH("Enseignement",D_Annexe!$B$4:$AO$4,0),FALSE)</f>
        <v>30500</v>
      </c>
      <c r="R95" s="888"/>
      <c r="S95" s="864">
        <f>VLOOKUP($Q$61,D_Annexe!$B$4:$AO$52,MATCH("Enseignement",D_Annexe!$B$4:$AO$4,0),FALSE)/VLOOKUP($Q$61,D_Annexe!$B$4:$AO$52,MATCH("Postes des Ets actifs N-1",D_Annexe!$B$4:$AO$4,0),FALSE)</f>
        <v>8.2145146433823327E-2</v>
      </c>
      <c r="T95" s="865"/>
    </row>
    <row r="96" spans="1:20">
      <c r="A96" s="594" t="s">
        <v>703</v>
      </c>
      <c r="B96" s="532"/>
      <c r="C96" s="532"/>
      <c r="D96" s="532"/>
      <c r="E96" s="532"/>
      <c r="F96" s="532"/>
      <c r="G96" s="498"/>
      <c r="H96" s="414"/>
      <c r="I96" s="414"/>
      <c r="J96" s="595"/>
      <c r="K96" s="415"/>
      <c r="L96" s="887">
        <f>VLOOKUP($K$61,D_Annexe!$B$4:$AO$52,MATCH("Activités pour la santé humaine",D_Annexe!$B$4:$AO$4,0),FALSE)</f>
        <v>32247</v>
      </c>
      <c r="M96" s="888"/>
      <c r="N96" s="864">
        <f>VLOOKUP($K$61,D_Annexe!$B$4:$AO$52,MATCH("Activités pour la santé humaine",D_Annexe!$B$4:$AO$4,0),FALSE)/VLOOKUP($K$61,D_Annexe!$B$4:$AO$52,MATCH("Postes des Ets actifs N-1",D_Annexe!$B$4:$AO$4,0),FALSE)</f>
        <v>7.1673538335018841E-2</v>
      </c>
      <c r="O96" s="865"/>
      <c r="Q96" s="887">
        <f>VLOOKUP($Q$61,D_Annexe!$B$4:$AO$52,MATCH("Activités pour la santé humaine",D_Annexe!$B$4:$AO$4,0),FALSE)</f>
        <v>21932</v>
      </c>
      <c r="R96" s="888"/>
      <c r="S96" s="864">
        <f>VLOOKUP($Q$61,D_Annexe!$B$4:$AO$52,MATCH("Activités pour la santé humaine",D_Annexe!$B$4:$AO$4,0),FALSE)/VLOOKUP($Q$61,D_Annexe!$B$4:$AO$52,MATCH("Postes des Ets actifs N-1",D_Annexe!$B$4:$AO$4,0),FALSE)</f>
        <v>5.9069093494643059E-2</v>
      </c>
      <c r="T96" s="865"/>
    </row>
    <row r="97" spans="1:20">
      <c r="A97" s="594" t="s">
        <v>1340</v>
      </c>
      <c r="B97" s="532"/>
      <c r="C97" s="532"/>
      <c r="D97" s="532"/>
      <c r="E97" s="532"/>
      <c r="F97" s="532"/>
      <c r="G97" s="498"/>
      <c r="H97" s="414"/>
      <c r="I97" s="414"/>
      <c r="J97" s="595"/>
      <c r="K97" s="415"/>
      <c r="L97" s="887">
        <f>VLOOKUP($K$61,D_Annexe!$B$4:$AO$52,MATCH("Héb méd-soc ",D_Annexe!$B$4:$AO$4,0),FALSE)</f>
        <v>29424</v>
      </c>
      <c r="M97" s="888"/>
      <c r="N97" s="864">
        <f>VLOOKUP($K$61,D_Annexe!$B$4:$AO$52,MATCH("Héb méd-soc ",D_Annexe!$B$4:$AO$4,0),FALSE)/VLOOKUP($K$61,D_Annexe!$B$4:$AO$52,MATCH("Postes des Ets actifs N-1",D_Annexe!$B$4:$AO$4,0),FALSE)</f>
        <v>6.5399019814853923E-2</v>
      </c>
      <c r="O97" s="865"/>
      <c r="Q97" s="887">
        <f>VLOOKUP($Q$61,D_Annexe!$B$4:$AO$52,MATCH("Héb méd-soc ",D_Annexe!$B$4:$AO$4,0),FALSE)</f>
        <v>22775</v>
      </c>
      <c r="R97" s="888"/>
      <c r="S97" s="864">
        <f>VLOOKUP($Q$61,D_Annexe!$B$4:$AO$52,MATCH("Héb méd-soc ",D_Annexe!$B$4:$AO$4,0),FALSE)/VLOOKUP($Q$61,D_Annexe!$B$4:$AO$52,MATCH("Postes des Ets actifs N-1",D_Annexe!$B$4:$AO$4,0),FALSE)</f>
        <v>6.1339531476404141E-2</v>
      </c>
      <c r="T97" s="865"/>
    </row>
    <row r="98" spans="1:20">
      <c r="A98" s="594" t="s">
        <v>1341</v>
      </c>
      <c r="B98" s="532"/>
      <c r="C98" s="532"/>
      <c r="D98" s="532"/>
      <c r="E98" s="532"/>
      <c r="F98" s="532"/>
      <c r="G98" s="498"/>
      <c r="H98" s="414"/>
      <c r="I98" s="414"/>
      <c r="J98" s="595"/>
      <c r="K98" s="415"/>
      <c r="L98" s="887">
        <f>VLOOKUP($K$61,D_Annexe!$B$4:$AO$52,MATCH("Arts, spectacles ",D_Annexe!$B$4:$AO$4,0),FALSE)</f>
        <v>5665</v>
      </c>
      <c r="M98" s="888"/>
      <c r="N98" s="864">
        <f>VLOOKUP($K$61,D_Annexe!$B$4:$AO$52,MATCH("Arts, spectacles ",D_Annexe!$B$4:$AO$4,0),FALSE)/VLOOKUP($K$61,D_Annexe!$B$4:$AO$52,MATCH("Postes des Ets actifs N-1",D_Annexe!$B$4:$AO$4,0),FALSE)</f>
        <v>1.2591267239367435E-2</v>
      </c>
      <c r="O98" s="865"/>
      <c r="Q98" s="887">
        <f>VLOOKUP($Q$61,D_Annexe!$B$4:$AO$52,MATCH("Arts, spectacles ",D_Annexe!$B$4:$AO$4,0),FALSE)</f>
        <v>5316</v>
      </c>
      <c r="R98" s="888"/>
      <c r="S98" s="864">
        <f>VLOOKUP($Q$61,D_Annexe!$B$4:$AO$52,MATCH("Arts, spectacles ",D_Annexe!$B$4:$AO$4,0),FALSE)/VLOOKUP($Q$61,D_Annexe!$B$4:$AO$52,MATCH("Postes des Ets actifs N-1",D_Annexe!$B$4:$AO$4,0),FALSE)</f>
        <v>1.4317495030891962E-2</v>
      </c>
      <c r="T98" s="865"/>
    </row>
    <row r="99" spans="1:20">
      <c r="A99" s="594" t="s">
        <v>1342</v>
      </c>
      <c r="B99" s="532"/>
      <c r="C99" s="532"/>
      <c r="D99" s="532"/>
      <c r="E99" s="532"/>
      <c r="F99" s="532"/>
      <c r="G99" s="498"/>
      <c r="H99" s="414"/>
      <c r="I99" s="414"/>
      <c r="J99" s="595"/>
      <c r="K99" s="415"/>
      <c r="L99" s="887">
        <f>VLOOKUP($K$61,D_Annexe!$B$4:$AO$52,MATCH("Autres activités de services",D_Annexe!$B$4:$AO$4,0),FALSE)</f>
        <v>8912</v>
      </c>
      <c r="M99" s="888"/>
      <c r="N99" s="864">
        <f>VLOOKUP($K$61,D_Annexe!$B$4:$AO$52,MATCH("Autres activités de services",D_Annexe!$B$4:$AO$4,0),FALSE)/VLOOKUP($K$61,D_Annexe!$B$4:$AO$52,MATCH("Postes des Ets actifs N-1",D_Annexe!$B$4:$AO$4,0),FALSE)</f>
        <v>1.9808185990687129E-2</v>
      </c>
      <c r="O99" s="865"/>
      <c r="Q99" s="887">
        <f>VLOOKUP($Q$61,D_Annexe!$B$4:$AO$52,MATCH("Autres activités de services",D_Annexe!$B$4:$AO$4,0),FALSE)</f>
        <v>7832</v>
      </c>
      <c r="R99" s="888"/>
      <c r="S99" s="864">
        <f>VLOOKUP($Q$61,D_Annexe!$B$4:$AO$52,MATCH("Autres activités de services",D_Annexe!$B$4:$AO$4,0),FALSE)/VLOOKUP($Q$61,D_Annexe!$B$4:$AO$52,MATCH("Postes des Ets actifs N-1",D_Annexe!$B$4:$AO$4,0),FALSE)</f>
        <v>2.1093796290809978E-2</v>
      </c>
      <c r="T99" s="865"/>
    </row>
    <row r="100" spans="1:20">
      <c r="A100" s="594" t="s">
        <v>1348</v>
      </c>
      <c r="B100" s="532"/>
      <c r="C100" s="532"/>
      <c r="D100" s="532"/>
      <c r="E100" s="532"/>
      <c r="F100" s="532"/>
      <c r="G100" s="498"/>
      <c r="H100" s="414"/>
      <c r="I100" s="414"/>
      <c r="J100" s="595"/>
      <c r="K100" s="415"/>
      <c r="L100" s="887">
        <f>VLOOKUP($K$61,D_Annexe!$B$4:$AO$52,MATCH("Act ménages",D_Annexe!$B$4:$AO$4,0),FALSE)</f>
        <v>0</v>
      </c>
      <c r="M100" s="888"/>
      <c r="N100" s="864">
        <f>VLOOKUP($K$61,D_Annexe!$B$4:$AO$52,MATCH("Act ménages",D_Annexe!$B$4:$AO$4,0),FALSE)/VLOOKUP($K$61,D_Annexe!$B$4:$AO$52,MATCH("Postes des Ets actifs N-1",D_Annexe!$B$4:$AO$4,0),FALSE)</f>
        <v>0</v>
      </c>
      <c r="O100" s="865"/>
      <c r="Q100" s="887">
        <f>VLOOKUP($Q$61,D_Annexe!$B$4:$AO$52,MATCH("Act ménages",D_Annexe!$B$4:$AO$4,0),FALSE)</f>
        <v>0</v>
      </c>
      <c r="R100" s="888"/>
      <c r="S100" s="864">
        <f>VLOOKUP($Q$61,D_Annexe!$B$4:$AO$52,MATCH("Act ménages",D_Annexe!$B$4:$AO$4,0),FALSE)/VLOOKUP($Q$61,D_Annexe!$B$4:$AO$52,MATCH("Postes des Ets actifs N-1",D_Annexe!$B$4:$AO$4,0),FALSE)</f>
        <v>0</v>
      </c>
      <c r="T100" s="865"/>
    </row>
    <row r="101" spans="1:20">
      <c r="A101" s="594" t="s">
        <v>704</v>
      </c>
      <c r="B101" s="532"/>
      <c r="C101" s="532"/>
      <c r="D101" s="532"/>
      <c r="E101" s="532"/>
      <c r="F101" s="532"/>
      <c r="G101" s="498"/>
      <c r="H101" s="414"/>
      <c r="I101" s="414"/>
      <c r="J101" s="595"/>
      <c r="K101" s="415"/>
      <c r="L101" s="887">
        <f>VLOOKUP($K$61,D_Annexe!$B$4:$AO$52,MATCH("Activités extra-territoriales",D_Annexe!$B$4:$AO$4,0),FALSE)</f>
        <v>33</v>
      </c>
      <c r="M101" s="888"/>
      <c r="N101" s="864">
        <f>VLOOKUP($K$61,D_Annexe!$B$4:$AO$52,MATCH("Activités extra-territoriales",D_Annexe!$B$4:$AO$4,0),FALSE)/VLOOKUP($K$61,D_Annexe!$B$4:$AO$52,MATCH("Postes des Ets actifs N-1",D_Annexe!$B$4:$AO$4,0),FALSE)</f>
        <v>7.3347187802140403E-5</v>
      </c>
      <c r="O101" s="865"/>
      <c r="Q101" s="887">
        <f>VLOOKUP($Q$61,D_Annexe!$B$4:$AO$52,MATCH("Activités extra-territoriales",D_Annexe!$B$4:$AO$4,0),FALSE)</f>
        <v>11</v>
      </c>
      <c r="R101" s="888"/>
      <c r="S101" s="864">
        <f>VLOOKUP($Q$61,D_Annexe!$B$4:$AO$52,MATCH("Activités extra-territoriales",D_Annexe!$B$4:$AO$4,0),FALSE)/VLOOKUP($Q$61,D_Annexe!$B$4:$AO$52,MATCH("Postes des Ets actifs N-1",D_Annexe!$B$4:$AO$4,0),FALSE)</f>
        <v>2.9626118385969072E-5</v>
      </c>
      <c r="T101" s="865"/>
    </row>
    <row r="102" spans="1:20"/>
    <row r="103" spans="1:20"/>
    <row r="104" spans="1:20" hidden="1"/>
    <row r="105" spans="1:20" hidden="1"/>
    <row r="106" spans="1:20" hidden="1"/>
  </sheetData>
  <sheetProtection sheet="1" objects="1" scenarios="1" autoFilter="0"/>
  <mergeCells count="164">
    <mergeCell ref="L101:M101"/>
    <mergeCell ref="N101:O101"/>
    <mergeCell ref="Q101:R101"/>
    <mergeCell ref="S101:T101"/>
    <mergeCell ref="L99:M99"/>
    <mergeCell ref="N99:O99"/>
    <mergeCell ref="Q99:R99"/>
    <mergeCell ref="S99:T99"/>
    <mergeCell ref="L100:M100"/>
    <mergeCell ref="N100:O100"/>
    <mergeCell ref="Q100:R100"/>
    <mergeCell ref="S100:T100"/>
    <mergeCell ref="L97:M97"/>
    <mergeCell ref="N97:O97"/>
    <mergeCell ref="Q97:R97"/>
    <mergeCell ref="S97:T97"/>
    <mergeCell ref="L98:M98"/>
    <mergeCell ref="N98:O98"/>
    <mergeCell ref="Q98:R98"/>
    <mergeCell ref="S98:T98"/>
    <mergeCell ref="L95:M95"/>
    <mergeCell ref="N95:O95"/>
    <mergeCell ref="Q95:R95"/>
    <mergeCell ref="S95:T95"/>
    <mergeCell ref="L96:M96"/>
    <mergeCell ref="N96:O96"/>
    <mergeCell ref="Q96:R96"/>
    <mergeCell ref="S96:T96"/>
    <mergeCell ref="L93:M93"/>
    <mergeCell ref="N93:O93"/>
    <mergeCell ref="Q93:R93"/>
    <mergeCell ref="S93:T93"/>
    <mergeCell ref="L94:M94"/>
    <mergeCell ref="N94:O94"/>
    <mergeCell ref="Q94:R94"/>
    <mergeCell ref="S94:T94"/>
    <mergeCell ref="L91:M91"/>
    <mergeCell ref="N91:O91"/>
    <mergeCell ref="Q91:R91"/>
    <mergeCell ref="S91:T91"/>
    <mergeCell ref="L92:M92"/>
    <mergeCell ref="N92:O92"/>
    <mergeCell ref="Q92:R92"/>
    <mergeCell ref="S92:T92"/>
    <mergeCell ref="Q90:R90"/>
    <mergeCell ref="S90:T90"/>
    <mergeCell ref="L90:M90"/>
    <mergeCell ref="N90:O90"/>
    <mergeCell ref="L88:M88"/>
    <mergeCell ref="N88:O88"/>
    <mergeCell ref="Q88:R88"/>
    <mergeCell ref="S88:T88"/>
    <mergeCell ref="L89:M89"/>
    <mergeCell ref="N89:O89"/>
    <mergeCell ref="Q89:R89"/>
    <mergeCell ref="S89:T89"/>
    <mergeCell ref="L86:M86"/>
    <mergeCell ref="N86:O86"/>
    <mergeCell ref="Q86:R86"/>
    <mergeCell ref="S86:T86"/>
    <mergeCell ref="L87:M87"/>
    <mergeCell ref="N87:O87"/>
    <mergeCell ref="Q87:R87"/>
    <mergeCell ref="S87:T87"/>
    <mergeCell ref="L84:M84"/>
    <mergeCell ref="N84:O84"/>
    <mergeCell ref="Q84:R84"/>
    <mergeCell ref="S84:T84"/>
    <mergeCell ref="L85:M85"/>
    <mergeCell ref="N85:O85"/>
    <mergeCell ref="Q85:R85"/>
    <mergeCell ref="S85:T85"/>
    <mergeCell ref="L82:M82"/>
    <mergeCell ref="N82:O82"/>
    <mergeCell ref="Q82:R82"/>
    <mergeCell ref="S82:T82"/>
    <mergeCell ref="L83:M83"/>
    <mergeCell ref="N83:O83"/>
    <mergeCell ref="Q83:R83"/>
    <mergeCell ref="S83:T83"/>
    <mergeCell ref="L80:M80"/>
    <mergeCell ref="N80:O80"/>
    <mergeCell ref="Q80:R80"/>
    <mergeCell ref="S80:T80"/>
    <mergeCell ref="L81:M81"/>
    <mergeCell ref="N81:O81"/>
    <mergeCell ref="Q81:R81"/>
    <mergeCell ref="S81:T81"/>
    <mergeCell ref="L79:M79"/>
    <mergeCell ref="N79:O79"/>
    <mergeCell ref="Q79:R79"/>
    <mergeCell ref="S79:T79"/>
    <mergeCell ref="Q76:R76"/>
    <mergeCell ref="S76:T76"/>
    <mergeCell ref="L77:M77"/>
    <mergeCell ref="N77:O77"/>
    <mergeCell ref="Q77:R77"/>
    <mergeCell ref="S77:T77"/>
    <mergeCell ref="L78:M78"/>
    <mergeCell ref="N78:O78"/>
    <mergeCell ref="Q78:R78"/>
    <mergeCell ref="S78:T78"/>
    <mergeCell ref="L76:M76"/>
    <mergeCell ref="N76:O76"/>
    <mergeCell ref="L75:M75"/>
    <mergeCell ref="N75:O75"/>
    <mergeCell ref="Q75:R75"/>
    <mergeCell ref="S75:T75"/>
    <mergeCell ref="L73:M73"/>
    <mergeCell ref="N73:O73"/>
    <mergeCell ref="Q73:R73"/>
    <mergeCell ref="S73:T73"/>
    <mergeCell ref="L74:M74"/>
    <mergeCell ref="N74:O74"/>
    <mergeCell ref="Q74:R74"/>
    <mergeCell ref="S74:T74"/>
    <mergeCell ref="L65:M65"/>
    <mergeCell ref="N65:O65"/>
    <mergeCell ref="Q65:R65"/>
    <mergeCell ref="S65:T65"/>
    <mergeCell ref="L71:M71"/>
    <mergeCell ref="N71:O71"/>
    <mergeCell ref="Q71:R71"/>
    <mergeCell ref="S71:T71"/>
    <mergeCell ref="L72:M72"/>
    <mergeCell ref="N72:O72"/>
    <mergeCell ref="L66:M66"/>
    <mergeCell ref="N66:O66"/>
    <mergeCell ref="Q66:R66"/>
    <mergeCell ref="S66:T66"/>
    <mergeCell ref="Q72:R72"/>
    <mergeCell ref="S72:T72"/>
    <mergeCell ref="L69:M69"/>
    <mergeCell ref="N69:O69"/>
    <mergeCell ref="Q69:R69"/>
    <mergeCell ref="S69:T69"/>
    <mergeCell ref="L70:M70"/>
    <mergeCell ref="N70:O70"/>
    <mergeCell ref="Q70:R70"/>
    <mergeCell ref="S70:T70"/>
    <mergeCell ref="L67:M67"/>
    <mergeCell ref="N67:O67"/>
    <mergeCell ref="Q67:R67"/>
    <mergeCell ref="S67:T67"/>
    <mergeCell ref="L68:M68"/>
    <mergeCell ref="N68:O68"/>
    <mergeCell ref="Q68:R68"/>
    <mergeCell ref="S68:T68"/>
    <mergeCell ref="F1:T4"/>
    <mergeCell ref="A6:T7"/>
    <mergeCell ref="A33:T33"/>
    <mergeCell ref="N63:O63"/>
    <mergeCell ref="S63:T63"/>
    <mergeCell ref="L64:M64"/>
    <mergeCell ref="N64:O64"/>
    <mergeCell ref="Q64:R64"/>
    <mergeCell ref="S64:T64"/>
    <mergeCell ref="F53:T56"/>
    <mergeCell ref="A58:T59"/>
    <mergeCell ref="L63:M63"/>
    <mergeCell ref="Q63:R63"/>
    <mergeCell ref="K61:N61"/>
    <mergeCell ref="Q61:T61"/>
    <mergeCell ref="A61:C61"/>
  </mergeCells>
  <pageMargins left="0.23622047244094491" right="0.23622047244094491" top="0.55118110236220474" bottom="0.55118110236220474" header="0.11811023622047245" footer="0.11811023622047245"/>
  <pageSetup paperSize="9" orientation="portrait" r:id="rId1"/>
  <headerFooter>
    <oddHeader>&amp;C&amp;"Arial,Gras"&amp;10Tableau de bord / Mise à jour mars 2017</oddHeader>
    <oddFooter>&amp;C&amp;"-,Italique"&amp;8&amp;A&amp;R&amp;8Page &amp;P</oddFooter>
  </headerFooter>
  <rowBreaks count="1" manualBreakCount="1">
    <brk id="52"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D_Annexe!$B$5:$B$52</xm:f>
          </x14:formula1>
          <xm:sqref>K61:N61 Q61:T61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3"/>
  <sheetViews>
    <sheetView showGridLines="0" view="pageLayout" topLeftCell="A33" zoomScaleNormal="100" workbookViewId="0">
      <selection activeCell="A57" sqref="A57"/>
    </sheetView>
  </sheetViews>
  <sheetFormatPr baseColWidth="10" defaultColWidth="0" defaultRowHeight="15" zeroHeight="1"/>
  <cols>
    <col min="1" max="7" width="13.85546875" customWidth="1"/>
    <col min="8" max="8" width="0" style="236" hidden="1" customWidth="1"/>
    <col min="9" max="18" width="0" hidden="1" customWidth="1"/>
    <col min="19" max="16384" width="11.42578125" hidden="1"/>
  </cols>
  <sheetData>
    <row r="1" spans="1:18" s="324" customFormat="1" ht="15" customHeight="1">
      <c r="A1" s="610"/>
      <c r="B1" s="611"/>
      <c r="C1" s="1229" t="s">
        <v>1369</v>
      </c>
      <c r="D1" s="1230"/>
      <c r="E1" s="1230"/>
      <c r="F1" s="1230"/>
      <c r="G1" s="1230"/>
      <c r="H1" s="236"/>
      <c r="I1"/>
      <c r="J1"/>
      <c r="K1"/>
      <c r="L1"/>
      <c r="M1"/>
      <c r="N1"/>
      <c r="O1"/>
      <c r="P1"/>
      <c r="Q1"/>
      <c r="R1"/>
    </row>
    <row r="2" spans="1:18" s="324" customFormat="1" ht="18.75" customHeight="1">
      <c r="A2" s="610"/>
      <c r="B2" s="611"/>
      <c r="C2" s="985"/>
      <c r="D2" s="977"/>
      <c r="E2" s="977"/>
      <c r="F2" s="977"/>
      <c r="G2" s="977"/>
      <c r="H2" s="236"/>
      <c r="I2"/>
      <c r="J2"/>
      <c r="K2"/>
      <c r="L2"/>
      <c r="M2"/>
      <c r="N2"/>
      <c r="O2"/>
      <c r="P2"/>
      <c r="Q2"/>
      <c r="R2"/>
    </row>
    <row r="3" spans="1:18" s="324" customFormat="1" ht="14.25" customHeight="1">
      <c r="A3" s="610"/>
      <c r="B3" s="612"/>
      <c r="C3" s="985"/>
      <c r="D3" s="977"/>
      <c r="E3" s="977"/>
      <c r="F3" s="977"/>
      <c r="G3" s="977"/>
      <c r="H3" s="236"/>
      <c r="I3"/>
      <c r="J3"/>
      <c r="K3"/>
      <c r="L3"/>
      <c r="M3"/>
      <c r="N3"/>
      <c r="O3"/>
      <c r="P3"/>
      <c r="Q3"/>
      <c r="R3"/>
    </row>
    <row r="4" spans="1:18" s="324" customFormat="1" ht="21">
      <c r="A4" s="610"/>
      <c r="B4" s="610"/>
      <c r="C4" s="1233"/>
      <c r="D4" s="1234"/>
      <c r="E4" s="1234"/>
      <c r="F4" s="1234"/>
      <c r="G4" s="1234"/>
      <c r="H4" s="236"/>
      <c r="I4"/>
      <c r="J4"/>
      <c r="K4"/>
      <c r="L4"/>
      <c r="M4"/>
      <c r="N4"/>
      <c r="O4"/>
      <c r="P4"/>
      <c r="Q4"/>
      <c r="R4"/>
    </row>
    <row r="5" spans="1:18" s="324" customFormat="1" ht="8.25" customHeight="1">
      <c r="A5" s="323"/>
      <c r="B5" s="323"/>
      <c r="C5" s="323"/>
      <c r="D5" s="323"/>
      <c r="E5" s="323"/>
      <c r="F5" s="323"/>
      <c r="G5" s="323"/>
      <c r="H5" s="236"/>
      <c r="I5"/>
      <c r="J5"/>
      <c r="K5"/>
      <c r="L5"/>
      <c r="M5"/>
      <c r="N5"/>
      <c r="O5"/>
    </row>
    <row r="6" spans="1:18" s="324" customFormat="1" ht="15" customHeight="1">
      <c r="A6" s="875" t="s">
        <v>1370</v>
      </c>
      <c r="B6" s="875"/>
      <c r="C6" s="875"/>
      <c r="D6" s="875"/>
      <c r="E6" s="875"/>
      <c r="F6" s="875"/>
      <c r="G6" s="875"/>
      <c r="H6" s="236"/>
      <c r="I6"/>
      <c r="J6"/>
      <c r="K6"/>
      <c r="L6"/>
      <c r="M6"/>
      <c r="N6"/>
      <c r="O6"/>
    </row>
    <row r="7" spans="1:18" s="324" customFormat="1" ht="15" customHeight="1">
      <c r="A7" s="875"/>
      <c r="B7" s="875"/>
      <c r="C7" s="875"/>
      <c r="D7" s="875"/>
      <c r="E7" s="875"/>
      <c r="F7" s="875"/>
      <c r="G7" s="875"/>
      <c r="H7" s="236"/>
      <c r="I7"/>
      <c r="J7"/>
      <c r="K7"/>
      <c r="L7"/>
      <c r="M7"/>
      <c r="N7"/>
      <c r="O7"/>
    </row>
    <row r="8" spans="1:18" ht="21" customHeight="1">
      <c r="A8" s="348" t="s">
        <v>1134</v>
      </c>
      <c r="B8" s="324"/>
      <c r="C8" s="324"/>
      <c r="D8" s="324"/>
      <c r="E8" s="324"/>
      <c r="F8" s="324"/>
      <c r="G8" s="324"/>
    </row>
    <row r="9" spans="1:18">
      <c r="A9" s="952" t="s">
        <v>2023</v>
      </c>
      <c r="B9" s="952"/>
      <c r="C9" s="952"/>
      <c r="D9" s="937" t="s">
        <v>2024</v>
      </c>
      <c r="E9" s="937"/>
      <c r="F9" s="937"/>
      <c r="G9" s="937"/>
    </row>
    <row r="10" spans="1:18" ht="15" customHeight="1">
      <c r="A10" s="1268" t="s">
        <v>2025</v>
      </c>
      <c r="B10" s="1268"/>
      <c r="C10" s="1268"/>
      <c r="D10" s="1268"/>
      <c r="E10" s="1268"/>
      <c r="F10" s="1268"/>
      <c r="G10" s="1268"/>
    </row>
    <row r="11" spans="1:18" ht="15" customHeight="1">
      <c r="A11" s="1268"/>
      <c r="B11" s="1268"/>
      <c r="C11" s="1268"/>
      <c r="D11" s="1268"/>
      <c r="E11" s="1268"/>
      <c r="F11" s="1268"/>
      <c r="G11" s="1268"/>
    </row>
    <row r="12" spans="1:18" ht="6" customHeight="1"/>
    <row r="13" spans="1:18" ht="15" customHeight="1">
      <c r="A13" s="942" t="s">
        <v>1701</v>
      </c>
      <c r="B13" s="942"/>
      <c r="C13" s="942"/>
      <c r="D13" s="937" t="s">
        <v>1698</v>
      </c>
      <c r="E13" s="937"/>
      <c r="F13" s="937"/>
      <c r="G13" s="937"/>
    </row>
    <row r="14" spans="1:18">
      <c r="A14" s="1268" t="s">
        <v>1386</v>
      </c>
      <c r="B14" s="1268"/>
      <c r="C14" s="1268"/>
      <c r="D14" s="1268"/>
      <c r="E14" s="1268"/>
      <c r="F14" s="1268"/>
      <c r="G14" s="1268"/>
    </row>
    <row r="15" spans="1:18">
      <c r="A15" s="1268"/>
      <c r="B15" s="1268"/>
      <c r="C15" s="1268"/>
      <c r="D15" s="1268"/>
      <c r="E15" s="1268"/>
      <c r="F15" s="1268"/>
      <c r="G15" s="1268"/>
    </row>
    <row r="16" spans="1:18">
      <c r="A16" s="942" t="s">
        <v>1744</v>
      </c>
      <c r="B16" s="942"/>
      <c r="C16" s="942"/>
      <c r="D16" s="937" t="s">
        <v>1698</v>
      </c>
      <c r="E16" s="937"/>
      <c r="F16" s="937"/>
      <c r="G16" s="937"/>
    </row>
    <row r="17" spans="1:7">
      <c r="A17" s="944" t="s">
        <v>1761</v>
      </c>
      <c r="B17" s="944"/>
      <c r="C17" s="944"/>
      <c r="D17" s="944"/>
      <c r="E17" s="944"/>
      <c r="F17" s="944"/>
      <c r="G17" s="944"/>
    </row>
    <row r="18" spans="1:7">
      <c r="A18" s="944"/>
      <c r="B18" s="944"/>
      <c r="C18" s="944"/>
      <c r="D18" s="944"/>
      <c r="E18" s="944"/>
      <c r="F18" s="944"/>
      <c r="G18" s="944"/>
    </row>
    <row r="19" spans="1:7">
      <c r="A19" s="379" t="s">
        <v>1484</v>
      </c>
      <c r="B19" s="324"/>
      <c r="C19" s="324"/>
      <c r="D19" s="324"/>
      <c r="E19" s="324"/>
      <c r="F19" s="324"/>
      <c r="G19" s="324"/>
    </row>
    <row r="20" spans="1:7">
      <c r="A20" s="942" t="s">
        <v>1486</v>
      </c>
      <c r="B20" s="942"/>
      <c r="C20" s="942"/>
      <c r="D20" s="937" t="s">
        <v>1698</v>
      </c>
      <c r="E20" s="937"/>
      <c r="F20" s="937"/>
      <c r="G20" s="937"/>
    </row>
    <row r="21" spans="1:7" ht="15" customHeight="1">
      <c r="A21" s="935" t="s">
        <v>1485</v>
      </c>
      <c r="B21" s="935"/>
      <c r="C21" s="935"/>
      <c r="D21" s="935"/>
      <c r="E21" s="935"/>
      <c r="F21" s="935"/>
      <c r="G21" s="935"/>
    </row>
    <row r="22" spans="1:7">
      <c r="A22" s="935"/>
      <c r="B22" s="935"/>
      <c r="C22" s="935"/>
      <c r="D22" s="935"/>
      <c r="E22" s="935"/>
      <c r="F22" s="935"/>
      <c r="G22" s="935"/>
    </row>
    <row r="23" spans="1:7" ht="3.75" customHeight="1">
      <c r="A23" s="848"/>
      <c r="B23" s="848"/>
      <c r="C23" s="848"/>
      <c r="D23" s="848"/>
      <c r="E23" s="848"/>
      <c r="F23" s="848"/>
      <c r="G23" s="848"/>
    </row>
    <row r="24" spans="1:7">
      <c r="A24" s="942" t="s">
        <v>887</v>
      </c>
      <c r="B24" s="942"/>
      <c r="C24" s="942"/>
      <c r="D24" s="937" t="s">
        <v>1702</v>
      </c>
      <c r="E24" s="937"/>
      <c r="F24" s="937"/>
      <c r="G24" s="937"/>
    </row>
    <row r="25" spans="1:7">
      <c r="A25" s="936" t="s">
        <v>1390</v>
      </c>
      <c r="B25" s="936"/>
      <c r="C25" s="936"/>
      <c r="D25" s="936"/>
      <c r="E25" s="936"/>
      <c r="F25" s="936"/>
      <c r="G25" s="936"/>
    </row>
    <row r="26" spans="1:7">
      <c r="A26" s="936"/>
      <c r="B26" s="936"/>
      <c r="C26" s="936"/>
      <c r="D26" s="936"/>
      <c r="E26" s="936"/>
      <c r="F26" s="936"/>
      <c r="G26" s="936"/>
    </row>
    <row r="27" spans="1:7" ht="6.75" customHeight="1">
      <c r="A27" s="963" t="s">
        <v>1391</v>
      </c>
      <c r="B27" s="963"/>
      <c r="C27" s="963"/>
      <c r="D27" s="963"/>
      <c r="E27" s="963"/>
      <c r="F27" s="963"/>
      <c r="G27" s="963"/>
    </row>
    <row r="28" spans="1:7">
      <c r="A28" s="963"/>
      <c r="B28" s="963"/>
      <c r="C28" s="963"/>
      <c r="D28" s="963"/>
      <c r="E28" s="963"/>
      <c r="F28" s="963"/>
      <c r="G28" s="963"/>
    </row>
    <row r="29" spans="1:7">
      <c r="A29" s="963"/>
      <c r="B29" s="963"/>
      <c r="C29" s="963"/>
      <c r="D29" s="963"/>
      <c r="E29" s="963"/>
      <c r="F29" s="963"/>
      <c r="G29" s="963"/>
    </row>
    <row r="30" spans="1:7">
      <c r="A30" s="963"/>
      <c r="B30" s="963"/>
      <c r="C30" s="963"/>
      <c r="D30" s="963"/>
      <c r="E30" s="963"/>
      <c r="F30" s="963"/>
      <c r="G30" s="963"/>
    </row>
    <row r="31" spans="1:7">
      <c r="A31" s="942" t="s">
        <v>882</v>
      </c>
      <c r="B31" s="942"/>
      <c r="C31" s="942"/>
      <c r="D31" s="937" t="s">
        <v>1698</v>
      </c>
      <c r="E31" s="937"/>
      <c r="F31" s="937"/>
      <c r="G31" s="937"/>
    </row>
    <row r="32" spans="1:7">
      <c r="A32" s="955" t="s">
        <v>1387</v>
      </c>
      <c r="B32" s="955"/>
      <c r="C32" s="955"/>
      <c r="D32" s="955"/>
      <c r="E32" s="955"/>
      <c r="F32" s="955"/>
      <c r="G32" s="955"/>
    </row>
    <row r="33" spans="1:7">
      <c r="A33" s="955"/>
      <c r="B33" s="955"/>
      <c r="C33" s="955"/>
      <c r="D33" s="955"/>
      <c r="E33" s="955"/>
      <c r="F33" s="955"/>
      <c r="G33" s="955"/>
    </row>
    <row r="34" spans="1:7">
      <c r="A34" s="955"/>
      <c r="B34" s="955"/>
      <c r="C34" s="955"/>
      <c r="D34" s="955"/>
      <c r="E34" s="955"/>
      <c r="F34" s="955"/>
      <c r="G34" s="955"/>
    </row>
    <row r="35" spans="1:7">
      <c r="A35" s="955"/>
      <c r="B35" s="955"/>
      <c r="C35" s="955"/>
      <c r="D35" s="955"/>
      <c r="E35" s="955"/>
      <c r="F35" s="955"/>
      <c r="G35" s="955"/>
    </row>
    <row r="36" spans="1:7">
      <c r="A36" s="942" t="s">
        <v>883</v>
      </c>
      <c r="B36" s="942"/>
      <c r="C36" s="942"/>
      <c r="D36" s="937" t="s">
        <v>1714</v>
      </c>
      <c r="E36" s="937"/>
      <c r="F36" s="937"/>
      <c r="G36" s="937"/>
    </row>
    <row r="37" spans="1:7">
      <c r="A37" s="955" t="s">
        <v>1748</v>
      </c>
      <c r="B37" s="955"/>
      <c r="C37" s="955"/>
      <c r="D37" s="955"/>
      <c r="E37" s="955"/>
      <c r="F37" s="955"/>
      <c r="G37" s="955"/>
    </row>
    <row r="38" spans="1:7">
      <c r="A38" s="955"/>
      <c r="B38" s="955"/>
      <c r="C38" s="955"/>
      <c r="D38" s="955"/>
      <c r="E38" s="955"/>
      <c r="F38" s="955"/>
      <c r="G38" s="955"/>
    </row>
    <row r="39" spans="1:7">
      <c r="A39" s="955"/>
      <c r="B39" s="955"/>
      <c r="C39" s="955"/>
      <c r="D39" s="955"/>
      <c r="E39" s="955"/>
      <c r="F39" s="955"/>
      <c r="G39" s="955"/>
    </row>
    <row r="40" spans="1:7">
      <c r="A40" s="955"/>
      <c r="B40" s="955"/>
      <c r="C40" s="955"/>
      <c r="D40" s="955"/>
      <c r="E40" s="955"/>
      <c r="F40" s="955"/>
      <c r="G40" s="955"/>
    </row>
    <row r="41" spans="1:7">
      <c r="A41" s="955"/>
      <c r="B41" s="955"/>
      <c r="C41" s="955"/>
      <c r="D41" s="955"/>
      <c r="E41" s="955"/>
      <c r="F41" s="955"/>
      <c r="G41" s="955"/>
    </row>
    <row r="42" spans="1:7" ht="6" customHeight="1">
      <c r="A42" s="339"/>
      <c r="B42" s="339"/>
      <c r="C42" s="339"/>
      <c r="D42" s="339"/>
      <c r="E42" s="339"/>
      <c r="F42" s="339"/>
      <c r="G42" s="339"/>
    </row>
    <row r="43" spans="1:7">
      <c r="A43" s="942" t="s">
        <v>884</v>
      </c>
      <c r="B43" s="942"/>
      <c r="C43" s="942"/>
      <c r="D43" s="937" t="s">
        <v>1698</v>
      </c>
      <c r="E43" s="937"/>
      <c r="F43" s="937"/>
      <c r="G43" s="937"/>
    </row>
    <row r="44" spans="1:7">
      <c r="A44" s="955" t="s">
        <v>1620</v>
      </c>
      <c r="B44" s="955"/>
      <c r="C44" s="955"/>
      <c r="D44" s="955"/>
      <c r="E44" s="955"/>
      <c r="F44" s="955"/>
      <c r="G44" s="955"/>
    </row>
    <row r="45" spans="1:7">
      <c r="A45" s="955"/>
      <c r="B45" s="955"/>
      <c r="C45" s="955"/>
      <c r="D45" s="955"/>
      <c r="E45" s="955"/>
      <c r="F45" s="955"/>
      <c r="G45" s="955"/>
    </row>
    <row r="46" spans="1:7">
      <c r="A46" s="952" t="s">
        <v>1500</v>
      </c>
      <c r="B46" s="952"/>
      <c r="C46" s="952"/>
      <c r="D46" s="937" t="s">
        <v>1921</v>
      </c>
      <c r="E46" s="937"/>
      <c r="F46" s="937"/>
      <c r="G46" s="937"/>
    </row>
    <row r="47" spans="1:7">
      <c r="A47" s="955" t="s">
        <v>1493</v>
      </c>
      <c r="B47" s="955"/>
      <c r="C47" s="955"/>
      <c r="D47" s="955"/>
      <c r="E47" s="955"/>
      <c r="F47" s="955"/>
      <c r="G47" s="955"/>
    </row>
    <row r="48" spans="1:7" ht="30.75" customHeight="1">
      <c r="A48" s="955"/>
      <c r="B48" s="955"/>
      <c r="C48" s="955"/>
      <c r="D48" s="955"/>
      <c r="E48" s="955"/>
      <c r="F48" s="955"/>
      <c r="G48" s="955"/>
    </row>
    <row r="49" spans="1:7">
      <c r="A49" s="386" t="s">
        <v>1494</v>
      </c>
      <c r="B49" s="324"/>
      <c r="C49" s="324"/>
      <c r="D49" s="324"/>
      <c r="E49" s="324"/>
      <c r="F49" s="324"/>
      <c r="G49" s="324"/>
    </row>
    <row r="50" spans="1:7">
      <c r="A50" s="386" t="s">
        <v>1495</v>
      </c>
      <c r="B50" s="324"/>
      <c r="C50" s="324"/>
      <c r="D50" s="324"/>
      <c r="E50" s="324"/>
      <c r="F50" s="324"/>
      <c r="G50" s="324"/>
    </row>
    <row r="51" spans="1:7">
      <c r="A51" s="387" t="s">
        <v>1626</v>
      </c>
      <c r="B51" s="324"/>
      <c r="C51" s="324"/>
      <c r="D51" s="324"/>
      <c r="E51" s="324"/>
      <c r="F51" s="324"/>
      <c r="G51" s="324"/>
    </row>
    <row r="52" spans="1:7">
      <c r="A52" s="387" t="s">
        <v>1625</v>
      </c>
      <c r="B52" s="324"/>
      <c r="C52" s="324"/>
      <c r="D52" s="324"/>
      <c r="E52" s="324"/>
      <c r="F52" s="324"/>
      <c r="G52" s="324"/>
    </row>
    <row r="53" spans="1:7">
      <c r="A53" s="386" t="s">
        <v>1496</v>
      </c>
      <c r="B53" s="324"/>
      <c r="C53" s="324"/>
      <c r="D53" s="324"/>
      <c r="E53" s="324"/>
      <c r="F53" s="324"/>
      <c r="G53" s="324"/>
    </row>
    <row r="54" spans="1:7">
      <c r="A54" s="952" t="s">
        <v>1501</v>
      </c>
      <c r="B54" s="952"/>
      <c r="C54" s="952"/>
      <c r="D54" s="937"/>
      <c r="E54" s="937"/>
      <c r="F54" s="937"/>
      <c r="G54" s="937"/>
    </row>
    <row r="55" spans="1:7">
      <c r="A55" s="441" t="s">
        <v>508</v>
      </c>
      <c r="B55" s="324"/>
      <c r="C55" s="324"/>
      <c r="D55" s="324"/>
      <c r="E55" s="324"/>
      <c r="F55" s="324"/>
      <c r="G55" s="324"/>
    </row>
    <row r="56" spans="1:7">
      <c r="A56" s="601" t="s">
        <v>1502</v>
      </c>
      <c r="B56" s="324"/>
      <c r="C56" s="324"/>
      <c r="D56" s="324"/>
      <c r="E56" s="324"/>
      <c r="F56" s="324"/>
      <c r="G56" s="324"/>
    </row>
    <row r="57" spans="1:7">
      <c r="A57" s="601"/>
      <c r="B57" s="602" t="s">
        <v>1557</v>
      </c>
      <c r="C57" s="324"/>
      <c r="D57" s="324"/>
      <c r="E57" s="324"/>
      <c r="F57" s="324"/>
      <c r="G57" s="324"/>
    </row>
    <row r="58" spans="1:7">
      <c r="A58" s="601"/>
      <c r="B58" s="603" t="s">
        <v>1497</v>
      </c>
      <c r="C58" s="324"/>
      <c r="D58" s="324"/>
      <c r="E58" s="324"/>
      <c r="F58" s="324"/>
      <c r="G58" s="324"/>
    </row>
    <row r="59" spans="1:7">
      <c r="A59" s="601"/>
      <c r="B59" s="602" t="s">
        <v>683</v>
      </c>
      <c r="C59" s="324"/>
      <c r="D59" s="324"/>
      <c r="E59" s="324"/>
      <c r="F59" s="324"/>
      <c r="G59" s="324"/>
    </row>
    <row r="60" spans="1:7">
      <c r="A60" s="601"/>
      <c r="B60" s="602" t="s">
        <v>1498</v>
      </c>
      <c r="C60" s="324"/>
      <c r="D60" s="324"/>
      <c r="E60" s="324"/>
      <c r="F60" s="324"/>
      <c r="G60" s="324"/>
    </row>
    <row r="61" spans="1:7">
      <c r="A61" s="601"/>
      <c r="B61" s="602" t="s">
        <v>685</v>
      </c>
      <c r="C61" s="324"/>
      <c r="D61" s="324"/>
      <c r="E61" s="324"/>
      <c r="F61" s="324"/>
      <c r="G61" s="324"/>
    </row>
    <row r="62" spans="1:7">
      <c r="A62" s="601"/>
      <c r="B62" s="602" t="s">
        <v>686</v>
      </c>
      <c r="C62" s="324"/>
      <c r="D62" s="324"/>
      <c r="E62" s="324"/>
      <c r="F62" s="324"/>
      <c r="G62" s="324"/>
    </row>
    <row r="63" spans="1:7">
      <c r="A63" s="601" t="s">
        <v>510</v>
      </c>
      <c r="B63" s="324"/>
      <c r="C63" s="324"/>
      <c r="D63" s="324"/>
      <c r="E63" s="324"/>
      <c r="F63" s="324"/>
      <c r="G63" s="324"/>
    </row>
    <row r="64" spans="1:7">
      <c r="A64" s="601" t="s">
        <v>1135</v>
      </c>
      <c r="B64" s="324"/>
      <c r="C64" s="324"/>
      <c r="D64" s="324"/>
      <c r="E64" s="324"/>
      <c r="F64" s="324"/>
      <c r="G64" s="324"/>
    </row>
    <row r="65" spans="1:7">
      <c r="A65" s="601" t="s">
        <v>512</v>
      </c>
      <c r="B65" s="324"/>
      <c r="C65" s="324"/>
      <c r="D65" s="324"/>
      <c r="E65" s="324"/>
      <c r="F65" s="324"/>
      <c r="G65" s="324"/>
    </row>
    <row r="66" spans="1:7">
      <c r="A66" s="601" t="s">
        <v>513</v>
      </c>
      <c r="B66" s="324"/>
      <c r="C66" s="324"/>
      <c r="D66" s="324"/>
      <c r="E66" s="324"/>
      <c r="F66" s="324"/>
      <c r="G66" s="324"/>
    </row>
    <row r="67" spans="1:7">
      <c r="A67" s="601" t="s">
        <v>514</v>
      </c>
      <c r="B67" s="324"/>
      <c r="C67" s="324"/>
      <c r="D67" s="324"/>
      <c r="E67" s="324"/>
      <c r="F67" s="324"/>
      <c r="G67" s="324"/>
    </row>
    <row r="68" spans="1:7">
      <c r="A68" s="601" t="s">
        <v>515</v>
      </c>
      <c r="B68" s="324"/>
      <c r="C68" s="324"/>
      <c r="D68" s="324"/>
      <c r="E68" s="324"/>
      <c r="F68" s="324"/>
      <c r="G68" s="324"/>
    </row>
    <row r="69" spans="1:7">
      <c r="A69" s="601" t="s">
        <v>516</v>
      </c>
      <c r="B69" s="324"/>
      <c r="C69" s="324"/>
      <c r="D69" s="324"/>
      <c r="E69" s="324"/>
      <c r="F69" s="324"/>
      <c r="G69" s="324"/>
    </row>
    <row r="70" spans="1:7">
      <c r="A70" s="601" t="s">
        <v>517</v>
      </c>
      <c r="B70" s="324"/>
      <c r="C70" s="324"/>
      <c r="D70" s="324"/>
      <c r="E70" s="324"/>
      <c r="F70" s="324"/>
      <c r="G70" s="324"/>
    </row>
    <row r="71" spans="1:7">
      <c r="A71" s="601" t="s">
        <v>518</v>
      </c>
      <c r="B71" s="324"/>
      <c r="C71" s="324"/>
      <c r="D71" s="324"/>
      <c r="E71" s="324"/>
      <c r="F71" s="324"/>
      <c r="G71" s="324"/>
    </row>
    <row r="72" spans="1:7">
      <c r="A72" s="601" t="s">
        <v>519</v>
      </c>
      <c r="B72" s="324"/>
      <c r="C72" s="324"/>
      <c r="D72" s="324"/>
      <c r="E72" s="324"/>
      <c r="F72" s="324"/>
      <c r="G72" s="324"/>
    </row>
    <row r="73" spans="1:7">
      <c r="A73" s="942" t="s">
        <v>1309</v>
      </c>
      <c r="B73" s="942"/>
      <c r="C73" s="942"/>
      <c r="D73" s="937" t="s">
        <v>1921</v>
      </c>
      <c r="E73" s="937"/>
      <c r="F73" s="937"/>
      <c r="G73" s="937"/>
    </row>
    <row r="74" spans="1:7">
      <c r="A74" s="948" t="s">
        <v>1400</v>
      </c>
      <c r="B74" s="948"/>
      <c r="C74" s="948"/>
      <c r="D74" s="948"/>
      <c r="E74" s="948"/>
      <c r="F74" s="948"/>
      <c r="G74" s="948"/>
    </row>
    <row r="75" spans="1:7" ht="29.25" customHeight="1">
      <c r="A75" s="948"/>
      <c r="B75" s="948"/>
      <c r="C75" s="948"/>
      <c r="D75" s="948"/>
      <c r="E75" s="948"/>
      <c r="F75" s="948"/>
      <c r="G75" s="948"/>
    </row>
    <row r="76" spans="1:7">
      <c r="A76" s="944" t="s">
        <v>1392</v>
      </c>
      <c r="B76" s="944"/>
      <c r="C76" s="944"/>
      <c r="D76" s="944"/>
      <c r="E76" s="944"/>
      <c r="F76" s="944"/>
      <c r="G76" s="944"/>
    </row>
    <row r="77" spans="1:7">
      <c r="A77" s="944"/>
      <c r="B77" s="944"/>
      <c r="C77" s="944"/>
      <c r="D77" s="944"/>
      <c r="E77" s="944"/>
      <c r="F77" s="944"/>
      <c r="G77" s="944"/>
    </row>
    <row r="78" spans="1:7">
      <c r="A78" s="948" t="s">
        <v>1393</v>
      </c>
      <c r="B78" s="948"/>
      <c r="C78" s="948"/>
      <c r="D78" s="948"/>
      <c r="E78" s="948"/>
      <c r="F78" s="948"/>
      <c r="G78" s="948"/>
    </row>
    <row r="79" spans="1:7" ht="27" customHeight="1">
      <c r="A79" s="948"/>
      <c r="B79" s="948"/>
      <c r="C79" s="948"/>
      <c r="D79" s="948"/>
      <c r="E79" s="948"/>
      <c r="F79" s="948"/>
      <c r="G79" s="948"/>
    </row>
    <row r="80" spans="1:7" ht="25.5" customHeight="1">
      <c r="A80" s="948" t="s">
        <v>1401</v>
      </c>
      <c r="B80" s="948"/>
      <c r="C80" s="948"/>
      <c r="D80" s="948"/>
      <c r="E80" s="948"/>
      <c r="F80" s="948"/>
      <c r="G80" s="948"/>
    </row>
    <row r="81" spans="1:7">
      <c r="A81" s="948"/>
      <c r="B81" s="948"/>
      <c r="C81" s="948"/>
      <c r="D81" s="948"/>
      <c r="E81" s="948"/>
      <c r="F81" s="948"/>
      <c r="G81" s="948"/>
    </row>
    <row r="82" spans="1:7"/>
    <row r="83" spans="1:7">
      <c r="A83" s="348" t="s">
        <v>1743</v>
      </c>
      <c r="B83" s="324"/>
      <c r="C83" s="324"/>
      <c r="D83" s="324"/>
      <c r="E83" s="324"/>
      <c r="F83" s="324"/>
      <c r="G83" s="324"/>
    </row>
    <row r="84" spans="1:7">
      <c r="A84" s="812" t="s">
        <v>1949</v>
      </c>
      <c r="B84" s="812"/>
      <c r="C84" s="812"/>
      <c r="D84" s="810"/>
      <c r="E84" s="382"/>
      <c r="F84" s="382"/>
      <c r="G84" s="811" t="s">
        <v>1698</v>
      </c>
    </row>
    <row r="85" spans="1:7">
      <c r="A85" s="441" t="s">
        <v>1546</v>
      </c>
      <c r="B85" s="596"/>
      <c r="C85" s="596"/>
      <c r="D85" s="596"/>
      <c r="E85" s="596"/>
      <c r="F85" s="596"/>
      <c r="G85" s="596"/>
    </row>
    <row r="86" spans="1:7">
      <c r="A86" s="441" t="s">
        <v>1603</v>
      </c>
      <c r="B86" s="596"/>
      <c r="C86" s="596"/>
      <c r="D86" s="596"/>
      <c r="E86" s="596"/>
      <c r="F86" s="596"/>
      <c r="G86" s="596"/>
    </row>
    <row r="87" spans="1:7">
      <c r="A87" s="936" t="s">
        <v>1762</v>
      </c>
      <c r="B87" s="936"/>
      <c r="C87" s="936"/>
      <c r="D87" s="936"/>
      <c r="E87" s="936"/>
      <c r="F87" s="936"/>
      <c r="G87" s="936"/>
    </row>
    <row r="88" spans="1:7">
      <c r="A88" s="936"/>
      <c r="B88" s="936"/>
      <c r="C88" s="936"/>
      <c r="D88" s="936"/>
      <c r="E88" s="936"/>
      <c r="F88" s="936"/>
      <c r="G88" s="936"/>
    </row>
    <row r="89" spans="1:7">
      <c r="A89" s="596" t="s">
        <v>1487</v>
      </c>
      <c r="B89" s="596"/>
      <c r="C89" s="596"/>
      <c r="D89" s="596"/>
      <c r="E89" s="596"/>
      <c r="F89" s="596"/>
      <c r="G89" s="596"/>
    </row>
    <row r="90" spans="1:7">
      <c r="A90" s="942" t="s">
        <v>1396</v>
      </c>
      <c r="B90" s="942"/>
      <c r="C90" s="942"/>
      <c r="D90" s="937" t="s">
        <v>1802</v>
      </c>
      <c r="E90" s="937"/>
      <c r="F90" s="937"/>
      <c r="G90" s="937"/>
    </row>
    <row r="91" spans="1:7">
      <c r="A91" s="948" t="s">
        <v>1763</v>
      </c>
      <c r="B91" s="948"/>
      <c r="C91" s="948"/>
      <c r="D91" s="948"/>
      <c r="E91" s="948"/>
      <c r="F91" s="948"/>
      <c r="G91" s="948"/>
    </row>
    <row r="92" spans="1:7">
      <c r="A92" s="948"/>
      <c r="B92" s="948"/>
      <c r="C92" s="948"/>
      <c r="D92" s="948"/>
      <c r="E92" s="948"/>
      <c r="F92" s="948"/>
      <c r="G92" s="948"/>
    </row>
    <row r="93" spans="1:7">
      <c r="A93" s="948"/>
      <c r="B93" s="948"/>
      <c r="C93" s="948"/>
      <c r="D93" s="948"/>
      <c r="E93" s="948"/>
      <c r="F93" s="948"/>
      <c r="G93" s="948"/>
    </row>
    <row r="94" spans="1:7">
      <c r="A94" s="948"/>
      <c r="B94" s="948"/>
      <c r="C94" s="948"/>
      <c r="D94" s="948"/>
      <c r="E94" s="948"/>
      <c r="F94" s="948"/>
      <c r="G94" s="948"/>
    </row>
    <row r="95" spans="1:7">
      <c r="A95" s="948"/>
      <c r="B95" s="948"/>
      <c r="C95" s="948"/>
      <c r="D95" s="948"/>
      <c r="E95" s="948"/>
      <c r="F95" s="948"/>
      <c r="G95" s="948"/>
    </row>
    <row r="96" spans="1:7">
      <c r="A96" s="948"/>
      <c r="B96" s="948"/>
      <c r="C96" s="948"/>
      <c r="D96" s="948"/>
      <c r="E96" s="948"/>
      <c r="F96" s="948"/>
      <c r="G96" s="948"/>
    </row>
    <row r="97" spans="1:7">
      <c r="A97" s="942" t="s">
        <v>1395</v>
      </c>
      <c r="B97" s="942"/>
      <c r="C97" s="942"/>
      <c r="D97" s="330"/>
      <c r="E97" s="330"/>
      <c r="F97" s="330"/>
      <c r="G97" s="330" t="s">
        <v>1918</v>
      </c>
    </row>
    <row r="98" spans="1:7">
      <c r="A98" s="948" t="s">
        <v>1621</v>
      </c>
      <c r="B98" s="948"/>
      <c r="C98" s="948"/>
      <c r="D98" s="948"/>
      <c r="E98" s="948"/>
      <c r="F98" s="948"/>
      <c r="G98" s="948"/>
    </row>
    <row r="99" spans="1:7">
      <c r="A99" s="948"/>
      <c r="B99" s="948"/>
      <c r="C99" s="948"/>
      <c r="D99" s="948"/>
      <c r="E99" s="948"/>
      <c r="F99" s="948"/>
      <c r="G99" s="948"/>
    </row>
    <row r="100" spans="1:7">
      <c r="A100" s="942" t="s">
        <v>1397</v>
      </c>
      <c r="B100" s="942"/>
      <c r="C100" s="942"/>
      <c r="D100" s="937" t="s">
        <v>1729</v>
      </c>
      <c r="E100" s="937"/>
      <c r="F100" s="937"/>
      <c r="G100" s="937"/>
    </row>
    <row r="101" spans="1:7">
      <c r="A101" s="936" t="s">
        <v>1547</v>
      </c>
      <c r="B101" s="936"/>
      <c r="C101" s="936"/>
      <c r="D101" s="936"/>
      <c r="E101" s="936"/>
      <c r="F101" s="936"/>
      <c r="G101" s="936"/>
    </row>
    <row r="102" spans="1:7">
      <c r="A102" s="936"/>
      <c r="B102" s="936"/>
      <c r="C102" s="936"/>
      <c r="D102" s="936"/>
      <c r="E102" s="936"/>
      <c r="F102" s="936"/>
      <c r="G102" s="936"/>
    </row>
    <row r="103" spans="1:7">
      <c r="A103" s="942" t="s">
        <v>1622</v>
      </c>
      <c r="B103" s="942"/>
      <c r="C103" s="942"/>
      <c r="D103" s="942"/>
      <c r="E103" s="937" t="s">
        <v>1703</v>
      </c>
      <c r="F103" s="937"/>
      <c r="G103" s="937"/>
    </row>
    <row r="104" spans="1:7">
      <c r="A104" s="948" t="s">
        <v>1548</v>
      </c>
      <c r="B104" s="948"/>
      <c r="C104" s="948"/>
      <c r="D104" s="948"/>
      <c r="E104" s="948"/>
      <c r="F104" s="948"/>
      <c r="G104" s="948"/>
    </row>
    <row r="105" spans="1:7">
      <c r="A105" s="948"/>
      <c r="B105" s="948"/>
      <c r="C105" s="948"/>
      <c r="D105" s="948"/>
      <c r="E105" s="948"/>
      <c r="F105" s="948"/>
      <c r="G105" s="948"/>
    </row>
    <row r="106" spans="1:7">
      <c r="A106" s="948" t="s">
        <v>1750</v>
      </c>
      <c r="B106" s="948"/>
      <c r="C106" s="948"/>
      <c r="D106" s="948"/>
      <c r="E106" s="948"/>
      <c r="F106" s="948"/>
      <c r="G106" s="948"/>
    </row>
    <row r="107" spans="1:7">
      <c r="A107" s="948"/>
      <c r="B107" s="948"/>
      <c r="C107" s="948"/>
      <c r="D107" s="948"/>
      <c r="E107" s="948"/>
      <c r="F107" s="948"/>
      <c r="G107" s="948"/>
    </row>
    <row r="108" spans="1:7">
      <c r="A108" s="948"/>
      <c r="B108" s="948"/>
      <c r="C108" s="948"/>
      <c r="D108" s="948"/>
      <c r="E108" s="948"/>
      <c r="F108" s="948"/>
      <c r="G108" s="948"/>
    </row>
    <row r="109" spans="1:7">
      <c r="A109" s="942" t="s">
        <v>1604</v>
      </c>
      <c r="B109" s="942"/>
      <c r="C109" s="942"/>
      <c r="D109" s="942"/>
      <c r="E109" s="937" t="s">
        <v>1919</v>
      </c>
      <c r="F109" s="937"/>
      <c r="G109" s="937"/>
    </row>
    <row r="110" spans="1:7">
      <c r="A110" s="948" t="s">
        <v>1394</v>
      </c>
      <c r="B110" s="948"/>
      <c r="C110" s="948"/>
      <c r="D110" s="948"/>
      <c r="E110" s="948"/>
      <c r="F110" s="948"/>
      <c r="G110" s="948"/>
    </row>
    <row r="111" spans="1:7">
      <c r="A111" s="948"/>
      <c r="B111" s="948"/>
      <c r="C111" s="948"/>
      <c r="D111" s="948"/>
      <c r="E111" s="948"/>
      <c r="F111" s="948"/>
      <c r="G111" s="948"/>
    </row>
    <row r="112" spans="1:7">
      <c r="A112" s="948"/>
      <c r="B112" s="948"/>
      <c r="C112" s="948"/>
      <c r="D112" s="948"/>
      <c r="E112" s="948"/>
      <c r="F112" s="948"/>
      <c r="G112" s="948"/>
    </row>
    <row r="113" spans="1:7">
      <c r="A113" s="948" t="s">
        <v>1549</v>
      </c>
      <c r="B113" s="948"/>
      <c r="C113" s="948"/>
      <c r="D113" s="948"/>
      <c r="E113" s="948"/>
      <c r="F113" s="948"/>
      <c r="G113" s="948"/>
    </row>
    <row r="114" spans="1:7">
      <c r="A114" s="948"/>
      <c r="B114" s="948"/>
      <c r="C114" s="948"/>
      <c r="D114" s="948"/>
      <c r="E114" s="948"/>
      <c r="F114" s="948"/>
      <c r="G114" s="948"/>
    </row>
    <row r="115" spans="1:7" ht="5.25" customHeight="1"/>
    <row r="116" spans="1:7">
      <c r="A116" s="347" t="s">
        <v>0</v>
      </c>
      <c r="B116" s="323"/>
      <c r="C116" s="323"/>
      <c r="D116" s="323"/>
      <c r="E116" s="323"/>
      <c r="F116" s="323"/>
      <c r="G116" s="323"/>
    </row>
    <row r="117" spans="1:7" ht="6.75" customHeight="1">
      <c r="A117" s="347"/>
      <c r="B117" s="323"/>
      <c r="C117" s="323"/>
      <c r="D117" s="323"/>
      <c r="E117" s="323"/>
      <c r="F117" s="323"/>
      <c r="G117" s="323"/>
    </row>
    <row r="118" spans="1:7">
      <c r="A118" s="325" t="s">
        <v>1404</v>
      </c>
      <c r="B118" s="326"/>
      <c r="C118" s="326"/>
      <c r="D118" s="326"/>
      <c r="E118" s="937" t="s">
        <v>1698</v>
      </c>
      <c r="F118" s="937"/>
      <c r="G118" s="937"/>
    </row>
    <row r="119" spans="1:7">
      <c r="A119" s="948" t="s">
        <v>1371</v>
      </c>
      <c r="B119" s="948"/>
      <c r="C119" s="948"/>
      <c r="D119" s="948"/>
      <c r="E119" s="948"/>
      <c r="F119" s="948"/>
      <c r="G119" s="948"/>
    </row>
    <row r="120" spans="1:7">
      <c r="A120" s="948"/>
      <c r="B120" s="948"/>
      <c r="C120" s="948"/>
      <c r="D120" s="948"/>
      <c r="E120" s="948"/>
      <c r="F120" s="948"/>
      <c r="G120" s="948"/>
    </row>
    <row r="121" spans="1:7">
      <c r="A121" s="948"/>
      <c r="B121" s="948"/>
      <c r="C121" s="948"/>
      <c r="D121" s="948"/>
      <c r="E121" s="948"/>
      <c r="F121" s="948"/>
      <c r="G121" s="948"/>
    </row>
    <row r="122" spans="1:7">
      <c r="A122" s="948"/>
      <c r="B122" s="948"/>
      <c r="C122" s="948"/>
      <c r="D122" s="948"/>
      <c r="E122" s="948"/>
      <c r="F122" s="948"/>
      <c r="G122" s="948"/>
    </row>
    <row r="123" spans="1:7">
      <c r="A123" s="948"/>
      <c r="B123" s="948"/>
      <c r="C123" s="948"/>
      <c r="D123" s="948"/>
      <c r="E123" s="948"/>
      <c r="F123" s="948"/>
      <c r="G123" s="948"/>
    </row>
    <row r="124" spans="1:7">
      <c r="A124" s="956" t="s">
        <v>1700</v>
      </c>
      <c r="B124" s="956"/>
      <c r="C124" s="956"/>
      <c r="D124" s="956"/>
      <c r="E124" s="956"/>
      <c r="F124" s="956"/>
      <c r="G124" s="956"/>
    </row>
    <row r="125" spans="1:7" ht="2.25" customHeight="1">
      <c r="A125" s="328"/>
      <c r="B125" s="328"/>
      <c r="C125" s="328"/>
      <c r="D125" s="328"/>
      <c r="E125" s="328"/>
      <c r="F125" s="328"/>
      <c r="G125" s="328"/>
    </row>
    <row r="126" spans="1:7">
      <c r="A126" s="325" t="s">
        <v>1482</v>
      </c>
      <c r="B126" s="326"/>
      <c r="C126" s="326"/>
      <c r="D126" s="326"/>
      <c r="E126" s="937" t="s">
        <v>1699</v>
      </c>
      <c r="F126" s="937"/>
      <c r="G126" s="937"/>
    </row>
    <row r="127" spans="1:7">
      <c r="A127" s="948" t="s">
        <v>1483</v>
      </c>
      <c r="B127" s="948"/>
      <c r="C127" s="948"/>
      <c r="D127" s="948"/>
      <c r="E127" s="948"/>
      <c r="F127" s="948"/>
      <c r="G127" s="948"/>
    </row>
    <row r="128" spans="1:7">
      <c r="A128" s="948"/>
      <c r="B128" s="948"/>
      <c r="C128" s="948"/>
      <c r="D128" s="948"/>
      <c r="E128" s="948"/>
      <c r="F128" s="948"/>
      <c r="G128" s="948"/>
    </row>
    <row r="129" spans="1:7" ht="3.75" customHeight="1">
      <c r="A129" s="328"/>
      <c r="B129" s="328"/>
      <c r="C129" s="328"/>
      <c r="D129" s="328"/>
      <c r="E129" s="328"/>
      <c r="F129" s="328"/>
      <c r="G129" s="328"/>
    </row>
    <row r="130" spans="1:7">
      <c r="A130" s="325" t="s">
        <v>1398</v>
      </c>
      <c r="B130" s="326"/>
      <c r="C130" s="326"/>
      <c r="D130" s="326"/>
      <c r="E130" s="326"/>
      <c r="F130" s="937" t="s">
        <v>1734</v>
      </c>
      <c r="G130" s="937"/>
    </row>
    <row r="131" spans="1:7">
      <c r="A131" s="948" t="s">
        <v>1758</v>
      </c>
      <c r="B131" s="948"/>
      <c r="C131" s="948"/>
      <c r="D131" s="948"/>
      <c r="E131" s="948"/>
      <c r="F131" s="948"/>
      <c r="G131" s="948"/>
    </row>
    <row r="132" spans="1:7">
      <c r="A132" s="948"/>
      <c r="B132" s="948"/>
      <c r="C132" s="948"/>
      <c r="D132" s="948"/>
      <c r="E132" s="948"/>
      <c r="F132" s="948"/>
      <c r="G132" s="948"/>
    </row>
    <row r="133" spans="1:7">
      <c r="A133" s="948"/>
      <c r="B133" s="948"/>
      <c r="C133" s="948"/>
      <c r="D133" s="948"/>
      <c r="E133" s="948"/>
      <c r="F133" s="948"/>
      <c r="G133" s="948"/>
    </row>
    <row r="134" spans="1:7" ht="15" customHeight="1">
      <c r="A134" s="944" t="s">
        <v>1627</v>
      </c>
      <c r="B134" s="944"/>
      <c r="C134" s="944"/>
      <c r="D134" s="944"/>
      <c r="E134" s="944"/>
      <c r="F134" s="944"/>
      <c r="G134" s="944"/>
    </row>
    <row r="135" spans="1:7">
      <c r="A135" s="944"/>
      <c r="B135" s="944"/>
      <c r="C135" s="944"/>
      <c r="D135" s="944"/>
      <c r="E135" s="944"/>
      <c r="F135" s="944"/>
      <c r="G135" s="944"/>
    </row>
    <row r="136" spans="1:7">
      <c r="A136" s="944"/>
      <c r="B136" s="944"/>
      <c r="C136" s="944"/>
      <c r="D136" s="944"/>
      <c r="E136" s="944"/>
      <c r="F136" s="944"/>
      <c r="G136" s="944"/>
    </row>
    <row r="137" spans="1:7">
      <c r="A137" s="944"/>
      <c r="B137" s="944"/>
      <c r="C137" s="944"/>
      <c r="D137" s="944"/>
      <c r="E137" s="944"/>
      <c r="F137" s="944"/>
      <c r="G137" s="944"/>
    </row>
    <row r="138" spans="1:7">
      <c r="A138" s="944"/>
      <c r="B138" s="944"/>
      <c r="C138" s="944"/>
      <c r="D138" s="944"/>
      <c r="E138" s="944"/>
      <c r="F138" s="944"/>
      <c r="G138" s="944"/>
    </row>
    <row r="139" spans="1:7">
      <c r="A139" s="944"/>
      <c r="B139" s="944"/>
      <c r="C139" s="944"/>
      <c r="D139" s="944"/>
      <c r="E139" s="944"/>
      <c r="F139" s="944"/>
      <c r="G139" s="944"/>
    </row>
    <row r="140" spans="1:7">
      <c r="A140" s="944"/>
      <c r="B140" s="944"/>
      <c r="C140" s="944"/>
      <c r="D140" s="944"/>
      <c r="E140" s="944"/>
      <c r="F140" s="944"/>
      <c r="G140" s="944"/>
    </row>
    <row r="141" spans="1:7">
      <c r="A141" s="944"/>
      <c r="B141" s="944"/>
      <c r="C141" s="944"/>
      <c r="D141" s="944"/>
      <c r="E141" s="944"/>
      <c r="F141" s="944"/>
      <c r="G141" s="944"/>
    </row>
    <row r="142" spans="1:7">
      <c r="A142" s="944" t="s">
        <v>1757</v>
      </c>
      <c r="B142" s="944"/>
      <c r="C142" s="944"/>
      <c r="D142" s="944"/>
      <c r="E142" s="944"/>
      <c r="F142" s="944"/>
      <c r="G142" s="944"/>
    </row>
    <row r="143" spans="1:7">
      <c r="A143" s="944"/>
      <c r="B143" s="944"/>
      <c r="C143" s="944"/>
      <c r="D143" s="944"/>
      <c r="E143" s="944"/>
      <c r="F143" s="944"/>
      <c r="G143" s="944"/>
    </row>
    <row r="144" spans="1:7">
      <c r="A144" s="956" t="s">
        <v>1735</v>
      </c>
      <c r="B144" s="956"/>
      <c r="C144" s="956"/>
      <c r="D144" s="956"/>
      <c r="E144" s="956"/>
      <c r="F144" s="956"/>
      <c r="G144" s="956"/>
    </row>
    <row r="145" spans="1:15" ht="5.25" customHeight="1">
      <c r="A145" s="323"/>
      <c r="B145" s="323"/>
      <c r="C145" s="323"/>
      <c r="D145" s="323"/>
      <c r="E145" s="323"/>
      <c r="F145" s="323"/>
      <c r="G145" s="323"/>
    </row>
    <row r="146" spans="1:15">
      <c r="A146" s="942" t="s">
        <v>1384</v>
      </c>
      <c r="B146" s="942"/>
      <c r="C146" s="942"/>
      <c r="D146" s="937" t="s">
        <v>1698</v>
      </c>
      <c r="E146" s="937"/>
      <c r="F146" s="937"/>
      <c r="G146" s="937"/>
    </row>
    <row r="147" spans="1:15">
      <c r="A147" s="944" t="s">
        <v>1385</v>
      </c>
      <c r="B147" s="944"/>
      <c r="C147" s="944"/>
      <c r="D147" s="944"/>
      <c r="E147" s="944"/>
      <c r="F147" s="944"/>
      <c r="G147" s="944"/>
    </row>
    <row r="148" spans="1:15">
      <c r="A148" s="942" t="s">
        <v>1545</v>
      </c>
      <c r="B148" s="942"/>
      <c r="C148" s="942"/>
      <c r="D148" s="937" t="s">
        <v>1698</v>
      </c>
      <c r="E148" s="937"/>
      <c r="F148" s="937"/>
      <c r="G148" s="937"/>
    </row>
    <row r="149" spans="1:15">
      <c r="A149" s="334" t="s">
        <v>1602</v>
      </c>
      <c r="B149" s="335"/>
      <c r="C149" s="335"/>
      <c r="D149" s="336"/>
      <c r="E149" s="336"/>
      <c r="F149" s="336"/>
      <c r="G149" s="336"/>
    </row>
    <row r="150" spans="1:15">
      <c r="A150" s="812" t="s">
        <v>3</v>
      </c>
      <c r="B150" s="812"/>
      <c r="C150" s="812"/>
      <c r="D150" s="811"/>
      <c r="E150" s="811"/>
      <c r="F150" s="811"/>
      <c r="G150" s="811" t="s">
        <v>1698</v>
      </c>
    </row>
    <row r="151" spans="1:15">
      <c r="A151" s="338" t="s">
        <v>1760</v>
      </c>
      <c r="B151" s="323"/>
      <c r="C151" s="323"/>
      <c r="D151" s="323"/>
      <c r="E151" s="323"/>
      <c r="F151" s="323"/>
      <c r="G151" s="323"/>
    </row>
    <row r="152" spans="1:15">
      <c r="A152" s="325" t="s">
        <v>4</v>
      </c>
      <c r="B152" s="326"/>
      <c r="C152" s="326"/>
      <c r="D152" s="326"/>
      <c r="E152" s="937" t="s">
        <v>1698</v>
      </c>
      <c r="F152" s="937"/>
      <c r="G152" s="937"/>
    </row>
    <row r="153" spans="1:15">
      <c r="A153" s="379" t="s">
        <v>1379</v>
      </c>
      <c r="B153" s="379"/>
      <c r="C153" s="379"/>
      <c r="D153" s="379"/>
      <c r="E153" s="379"/>
      <c r="F153" s="379"/>
      <c r="G153" s="379"/>
    </row>
    <row r="154" spans="1:15">
      <c r="A154" s="947" t="s">
        <v>1759</v>
      </c>
      <c r="B154" s="947"/>
      <c r="C154" s="947"/>
      <c r="D154" s="947"/>
      <c r="E154" s="947"/>
      <c r="F154" s="947"/>
      <c r="G154" s="947"/>
    </row>
    <row r="155" spans="1:15">
      <c r="A155" s="947"/>
      <c r="B155" s="947"/>
      <c r="C155" s="947"/>
      <c r="D155" s="947"/>
      <c r="E155" s="947"/>
      <c r="F155" s="947"/>
      <c r="G155" s="947"/>
    </row>
    <row r="156" spans="1:15">
      <c r="A156" s="379" t="s">
        <v>1736</v>
      </c>
      <c r="B156" s="813"/>
      <c r="C156" s="813"/>
      <c r="D156" s="813"/>
      <c r="E156" s="379" t="s">
        <v>1738</v>
      </c>
      <c r="F156" s="813"/>
      <c r="G156" s="813"/>
    </row>
    <row r="157" spans="1:15">
      <c r="A157" s="379" t="s">
        <v>1737</v>
      </c>
      <c r="E157" s="379" t="s">
        <v>1739</v>
      </c>
    </row>
    <row r="158" spans="1:15">
      <c r="A158" s="379"/>
    </row>
    <row r="159" spans="1:15">
      <c r="A159" s="379"/>
    </row>
    <row r="160" spans="1:15" s="350" customFormat="1" ht="19.5" customHeight="1">
      <c r="A160" s="348" t="s">
        <v>507</v>
      </c>
      <c r="B160" s="349"/>
      <c r="C160" s="349"/>
      <c r="D160" s="349"/>
      <c r="E160" s="349"/>
      <c r="F160" s="349"/>
      <c r="G160" s="349"/>
      <c r="H160" s="236"/>
      <c r="I160"/>
      <c r="J160"/>
      <c r="K160"/>
      <c r="L160"/>
      <c r="M160"/>
      <c r="N160"/>
      <c r="O160"/>
    </row>
    <row r="161" spans="1:15" s="324" customFormat="1" ht="15" customHeight="1">
      <c r="A161" s="942" t="s">
        <v>1581</v>
      </c>
      <c r="B161" s="942"/>
      <c r="C161" s="937" t="s">
        <v>1704</v>
      </c>
      <c r="D161" s="937"/>
      <c r="E161" s="937"/>
      <c r="F161" s="937"/>
      <c r="G161" s="937"/>
      <c r="H161" s="236"/>
      <c r="I161"/>
      <c r="J161"/>
      <c r="K161"/>
      <c r="L161"/>
      <c r="M161"/>
      <c r="N161"/>
      <c r="O161"/>
    </row>
    <row r="162" spans="1:15" s="324" customFormat="1">
      <c r="A162" s="948" t="s">
        <v>1488</v>
      </c>
      <c r="B162" s="948"/>
      <c r="C162" s="948"/>
      <c r="D162" s="948"/>
      <c r="E162" s="948"/>
      <c r="F162" s="948"/>
      <c r="G162" s="948"/>
      <c r="H162" s="236"/>
      <c r="I162"/>
      <c r="J162"/>
      <c r="K162"/>
      <c r="L162"/>
      <c r="M162"/>
      <c r="N162"/>
      <c r="O162"/>
    </row>
    <row r="163" spans="1:15" s="324" customFormat="1">
      <c r="A163" s="948"/>
      <c r="B163" s="948"/>
      <c r="C163" s="948"/>
      <c r="D163" s="948"/>
      <c r="E163" s="948"/>
      <c r="F163" s="948"/>
      <c r="G163" s="948"/>
      <c r="H163" s="236"/>
      <c r="I163"/>
      <c r="J163"/>
      <c r="K163"/>
      <c r="L163"/>
      <c r="M163"/>
      <c r="N163"/>
      <c r="O163"/>
    </row>
    <row r="164" spans="1:15" s="324" customFormat="1" ht="15" customHeight="1">
      <c r="A164" s="330" t="s">
        <v>1582</v>
      </c>
      <c r="B164" s="330"/>
      <c r="C164" s="330"/>
      <c r="D164" s="382"/>
      <c r="E164" s="382"/>
      <c r="F164" s="382"/>
      <c r="G164" s="815" t="s">
        <v>1704</v>
      </c>
      <c r="H164" s="236"/>
      <c r="I164"/>
      <c r="J164"/>
      <c r="K164"/>
      <c r="L164"/>
      <c r="M164"/>
      <c r="N164"/>
      <c r="O164"/>
    </row>
    <row r="165" spans="1:15" s="324" customFormat="1" ht="15" customHeight="1">
      <c r="A165" s="948" t="s">
        <v>1372</v>
      </c>
      <c r="B165" s="948"/>
      <c r="C165" s="948"/>
      <c r="D165" s="948"/>
      <c r="E165" s="948"/>
      <c r="F165" s="948"/>
      <c r="G165" s="948"/>
      <c r="H165" s="236"/>
      <c r="I165"/>
      <c r="J165"/>
      <c r="K165"/>
      <c r="L165"/>
      <c r="M165"/>
      <c r="N165"/>
      <c r="O165"/>
    </row>
    <row r="166" spans="1:15" s="324" customFormat="1" ht="15" customHeight="1">
      <c r="A166" s="948"/>
      <c r="B166" s="948"/>
      <c r="C166" s="948"/>
      <c r="D166" s="948"/>
      <c r="E166" s="948"/>
      <c r="F166" s="948"/>
      <c r="G166" s="948"/>
      <c r="H166" s="236"/>
      <c r="I166"/>
      <c r="J166"/>
      <c r="K166"/>
      <c r="L166"/>
      <c r="M166"/>
      <c r="N166"/>
      <c r="O166"/>
    </row>
    <row r="167" spans="1:15" s="324" customFormat="1">
      <c r="A167" s="948"/>
      <c r="B167" s="948"/>
      <c r="C167" s="948"/>
      <c r="D167" s="948"/>
      <c r="E167" s="948"/>
      <c r="F167" s="948"/>
      <c r="G167" s="948"/>
      <c r="H167" s="236"/>
      <c r="I167"/>
      <c r="J167"/>
      <c r="K167"/>
      <c r="L167"/>
      <c r="M167"/>
      <c r="N167"/>
      <c r="O167"/>
    </row>
    <row r="168" spans="1:15" s="324" customFormat="1" ht="15" customHeight="1">
      <c r="A168" s="330" t="s">
        <v>1024</v>
      </c>
      <c r="B168" s="330"/>
      <c r="C168" s="330"/>
      <c r="D168" s="937" t="s">
        <v>1704</v>
      </c>
      <c r="E168" s="937"/>
      <c r="F168" s="937"/>
      <c r="G168" s="937"/>
      <c r="H168" s="236"/>
      <c r="I168"/>
      <c r="J168"/>
      <c r="K168"/>
      <c r="L168"/>
      <c r="M168"/>
      <c r="N168"/>
      <c r="O168"/>
    </row>
    <row r="169" spans="1:15" s="324" customFormat="1">
      <c r="A169" s="948" t="s">
        <v>1374</v>
      </c>
      <c r="B169" s="948"/>
      <c r="C169" s="948"/>
      <c r="D169" s="948"/>
      <c r="E169" s="948"/>
      <c r="F169" s="948"/>
      <c r="G169" s="948"/>
      <c r="H169" s="236"/>
      <c r="I169"/>
      <c r="J169"/>
      <c r="K169"/>
      <c r="L169"/>
      <c r="M169"/>
      <c r="N169"/>
      <c r="O169"/>
    </row>
    <row r="170" spans="1:15" s="324" customFormat="1">
      <c r="A170" s="948"/>
      <c r="B170" s="948"/>
      <c r="C170" s="948"/>
      <c r="D170" s="948"/>
      <c r="E170" s="948"/>
      <c r="F170" s="948"/>
      <c r="G170" s="948"/>
      <c r="H170" s="236"/>
      <c r="I170"/>
      <c r="J170"/>
      <c r="K170"/>
      <c r="L170"/>
      <c r="M170"/>
      <c r="N170"/>
      <c r="O170"/>
    </row>
    <row r="171" spans="1:15" s="324" customFormat="1">
      <c r="A171" s="948" t="s">
        <v>1375</v>
      </c>
      <c r="B171" s="948"/>
      <c r="C171" s="948"/>
      <c r="D171" s="948"/>
      <c r="E171" s="948"/>
      <c r="F171" s="948"/>
      <c r="G171" s="948"/>
      <c r="H171" s="236"/>
      <c r="I171"/>
      <c r="J171"/>
      <c r="K171"/>
      <c r="L171"/>
      <c r="M171"/>
      <c r="N171"/>
      <c r="O171"/>
    </row>
    <row r="172" spans="1:15" s="324" customFormat="1">
      <c r="A172" s="948"/>
      <c r="B172" s="948"/>
      <c r="C172" s="948"/>
      <c r="D172" s="948"/>
      <c r="E172" s="948"/>
      <c r="F172" s="948"/>
      <c r="G172" s="948"/>
      <c r="H172" s="236"/>
      <c r="I172"/>
      <c r="J172"/>
      <c r="K172"/>
      <c r="L172"/>
      <c r="M172"/>
      <c r="N172"/>
      <c r="O172"/>
    </row>
    <row r="173" spans="1:15" s="324" customFormat="1" ht="15" customHeight="1">
      <c r="A173" s="948"/>
      <c r="B173" s="948"/>
      <c r="C173" s="948"/>
      <c r="D173" s="948"/>
      <c r="E173" s="948"/>
      <c r="F173" s="948"/>
      <c r="G173" s="948"/>
      <c r="H173" s="236"/>
      <c r="I173"/>
      <c r="J173"/>
      <c r="K173"/>
      <c r="L173"/>
      <c r="M173"/>
      <c r="N173"/>
      <c r="O173"/>
    </row>
    <row r="174" spans="1:15" s="324" customFormat="1">
      <c r="A174" s="960" t="s">
        <v>1376</v>
      </c>
      <c r="B174" s="960"/>
      <c r="C174" s="960"/>
      <c r="D174" s="960"/>
      <c r="E174" s="960"/>
      <c r="F174" s="960"/>
      <c r="G174" s="960"/>
      <c r="H174" s="236"/>
      <c r="I174"/>
      <c r="J174"/>
      <c r="K174"/>
      <c r="L174"/>
      <c r="M174"/>
      <c r="N174"/>
      <c r="O174"/>
    </row>
    <row r="175" spans="1:15" s="324" customFormat="1">
      <c r="A175" s="960"/>
      <c r="B175" s="960"/>
      <c r="C175" s="960"/>
      <c r="D175" s="960"/>
      <c r="E175" s="960"/>
      <c r="F175" s="960"/>
      <c r="G175" s="960"/>
      <c r="H175" s="236"/>
      <c r="I175"/>
      <c r="J175"/>
      <c r="K175"/>
      <c r="L175"/>
      <c r="M175"/>
      <c r="N175"/>
      <c r="O175"/>
    </row>
    <row r="176" spans="1:15" s="324" customFormat="1" ht="15" customHeight="1">
      <c r="A176" s="956" t="s">
        <v>1706</v>
      </c>
      <c r="B176" s="956"/>
      <c r="C176" s="956"/>
      <c r="D176" s="956"/>
      <c r="E176" s="956"/>
      <c r="F176" s="956"/>
      <c r="G176" s="956"/>
      <c r="H176" s="236"/>
      <c r="I176"/>
      <c r="J176"/>
      <c r="K176"/>
      <c r="L176"/>
      <c r="M176"/>
      <c r="N176"/>
      <c r="O176"/>
    </row>
    <row r="177" spans="1:18" s="324" customFormat="1" ht="15" customHeight="1">
      <c r="A177" s="330" t="s">
        <v>1402</v>
      </c>
      <c r="B177" s="330"/>
      <c r="C177" s="330"/>
      <c r="D177" s="937" t="s">
        <v>1403</v>
      </c>
      <c r="E177" s="937"/>
      <c r="F177" s="937"/>
      <c r="G177" s="937"/>
      <c r="H177" s="236"/>
      <c r="I177"/>
      <c r="J177"/>
      <c r="K177"/>
      <c r="L177"/>
      <c r="M177"/>
      <c r="N177"/>
      <c r="O177"/>
    </row>
    <row r="178" spans="1:18" s="324" customFormat="1" ht="15" customHeight="1">
      <c r="A178" s="936" t="s">
        <v>1489</v>
      </c>
      <c r="B178" s="936"/>
      <c r="C178" s="936"/>
      <c r="D178" s="936"/>
      <c r="E178" s="936"/>
      <c r="F178" s="936"/>
      <c r="G178" s="936"/>
      <c r="H178" s="236"/>
      <c r="I178"/>
      <c r="J178"/>
      <c r="K178"/>
      <c r="L178"/>
      <c r="M178"/>
      <c r="N178"/>
      <c r="O178"/>
    </row>
    <row r="179" spans="1:18" s="324" customFormat="1">
      <c r="A179" s="936"/>
      <c r="B179" s="936"/>
      <c r="C179" s="936"/>
      <c r="D179" s="936"/>
      <c r="E179" s="936"/>
      <c r="F179" s="936"/>
      <c r="G179" s="936"/>
      <c r="H179" s="236"/>
      <c r="I179"/>
      <c r="J179"/>
      <c r="K179"/>
      <c r="L179"/>
      <c r="M179"/>
      <c r="N179"/>
      <c r="O179"/>
    </row>
    <row r="180" spans="1:18" s="324" customFormat="1">
      <c r="A180" s="936"/>
      <c r="B180" s="936"/>
      <c r="C180" s="936"/>
      <c r="D180" s="936"/>
      <c r="E180" s="936"/>
      <c r="F180" s="936"/>
      <c r="G180" s="936"/>
      <c r="H180" s="236"/>
      <c r="I180"/>
      <c r="J180"/>
      <c r="K180"/>
      <c r="L180"/>
      <c r="M180"/>
      <c r="N180"/>
      <c r="O180"/>
    </row>
    <row r="181" spans="1:18" s="324" customFormat="1">
      <c r="A181" s="936"/>
      <c r="B181" s="936"/>
      <c r="C181" s="936"/>
      <c r="D181" s="936"/>
      <c r="E181" s="936"/>
      <c r="F181" s="936"/>
      <c r="G181" s="936"/>
      <c r="H181" s="236"/>
      <c r="I181"/>
      <c r="J181"/>
      <c r="K181"/>
      <c r="L181"/>
      <c r="M181"/>
      <c r="N181"/>
      <c r="O181"/>
    </row>
    <row r="182" spans="1:18" s="324" customFormat="1">
      <c r="A182" s="383" t="s">
        <v>1605</v>
      </c>
      <c r="B182" s="342"/>
      <c r="C182" s="342"/>
      <c r="D182" s="342"/>
      <c r="E182" s="342"/>
      <c r="F182" s="342"/>
      <c r="G182" s="342"/>
      <c r="H182" s="236"/>
      <c r="I182"/>
      <c r="J182"/>
      <c r="K182"/>
      <c r="L182"/>
      <c r="M182"/>
      <c r="N182"/>
      <c r="O182"/>
    </row>
    <row r="183" spans="1:18" s="324" customFormat="1">
      <c r="A183" s="942" t="s">
        <v>998</v>
      </c>
      <c r="B183" s="942"/>
      <c r="C183" s="942"/>
      <c r="D183" s="937" t="s">
        <v>1705</v>
      </c>
      <c r="E183" s="937"/>
      <c r="F183" s="937"/>
      <c r="G183" s="937"/>
      <c r="H183" s="236"/>
      <c r="I183"/>
      <c r="J183"/>
      <c r="K183"/>
      <c r="L183"/>
      <c r="M183"/>
      <c r="N183"/>
      <c r="O183"/>
    </row>
    <row r="184" spans="1:18" s="324" customFormat="1" ht="18.75" customHeight="1">
      <c r="A184" s="944" t="s">
        <v>1629</v>
      </c>
      <c r="B184" s="944"/>
      <c r="C184" s="944"/>
      <c r="D184" s="944"/>
      <c r="E184" s="944"/>
      <c r="F184" s="944"/>
      <c r="G184" s="944"/>
      <c r="H184" s="236"/>
      <c r="I184"/>
      <c r="J184"/>
      <c r="K184"/>
      <c r="L184"/>
      <c r="M184"/>
      <c r="N184"/>
      <c r="O184"/>
    </row>
    <row r="185" spans="1:18" s="324" customFormat="1" ht="15.75" customHeight="1">
      <c r="A185" s="960" t="s">
        <v>1751</v>
      </c>
      <c r="B185" s="960"/>
      <c r="C185" s="960"/>
      <c r="D185" s="960"/>
      <c r="E185" s="960"/>
      <c r="F185" s="960"/>
      <c r="G185" s="960"/>
      <c r="H185" s="236"/>
      <c r="I185"/>
      <c r="J185"/>
      <c r="K185"/>
      <c r="L185"/>
      <c r="M185"/>
      <c r="N185"/>
      <c r="O185"/>
    </row>
    <row r="186" spans="1:18" s="324" customFormat="1" ht="12" customHeight="1">
      <c r="A186" s="960"/>
      <c r="B186" s="960"/>
      <c r="C186" s="960"/>
      <c r="D186" s="960"/>
      <c r="E186" s="960"/>
      <c r="F186" s="960"/>
      <c r="G186" s="960"/>
      <c r="H186" s="236"/>
      <c r="I186"/>
      <c r="J186"/>
      <c r="K186"/>
      <c r="L186"/>
      <c r="M186"/>
      <c r="N186"/>
      <c r="O186"/>
    </row>
    <row r="187" spans="1:18" s="324" customFormat="1">
      <c r="A187" s="956" t="s">
        <v>1550</v>
      </c>
      <c r="B187" s="956"/>
      <c r="C187" s="956"/>
      <c r="D187" s="956"/>
      <c r="E187" s="956"/>
      <c r="F187" s="956"/>
      <c r="G187" s="956"/>
      <c r="H187" s="236"/>
      <c r="I187"/>
      <c r="J187"/>
      <c r="K187"/>
      <c r="L187"/>
      <c r="M187"/>
      <c r="N187"/>
      <c r="O187"/>
    </row>
    <row r="188" spans="1:18" s="324" customFormat="1">
      <c r="A188" s="330" t="s">
        <v>1711</v>
      </c>
      <c r="B188" s="330"/>
      <c r="C188" s="330"/>
      <c r="D188" s="937" t="s">
        <v>1704</v>
      </c>
      <c r="E188" s="937"/>
      <c r="F188" s="937"/>
      <c r="G188" s="937"/>
      <c r="H188" s="236"/>
      <c r="I188"/>
      <c r="J188"/>
      <c r="K188"/>
      <c r="L188"/>
      <c r="M188"/>
      <c r="N188"/>
      <c r="O188"/>
    </row>
    <row r="189" spans="1:18" s="324" customFormat="1" ht="15" customHeight="1">
      <c r="A189" s="961" t="s">
        <v>1732</v>
      </c>
      <c r="B189" s="961"/>
      <c r="C189" s="961"/>
      <c r="D189" s="961"/>
      <c r="E189" s="961"/>
      <c r="F189" s="961"/>
      <c r="G189" s="961"/>
      <c r="H189" s="236"/>
      <c r="I189"/>
      <c r="J189"/>
      <c r="K189"/>
      <c r="L189"/>
      <c r="M189"/>
      <c r="N189"/>
      <c r="O189"/>
    </row>
    <row r="190" spans="1:18" s="324" customFormat="1">
      <c r="A190" s="961"/>
      <c r="B190" s="961"/>
      <c r="C190" s="961"/>
      <c r="D190" s="961"/>
      <c r="E190" s="961"/>
      <c r="F190" s="961"/>
      <c r="G190" s="961"/>
      <c r="H190" s="236"/>
      <c r="I190"/>
      <c r="J190"/>
      <c r="K190"/>
      <c r="L190"/>
      <c r="M190"/>
      <c r="N190"/>
      <c r="O190"/>
      <c r="P190"/>
      <c r="Q190"/>
      <c r="R190"/>
    </row>
    <row r="191" spans="1:18" s="324" customFormat="1">
      <c r="A191" s="961"/>
      <c r="B191" s="961"/>
      <c r="C191" s="961"/>
      <c r="D191" s="961"/>
      <c r="E191" s="961"/>
      <c r="F191" s="961"/>
      <c r="G191" s="961"/>
      <c r="H191" s="236"/>
      <c r="I191"/>
      <c r="J191"/>
      <c r="K191"/>
      <c r="L191"/>
      <c r="M191"/>
      <c r="N191"/>
      <c r="O191"/>
      <c r="P191"/>
      <c r="Q191"/>
      <c r="R191"/>
    </row>
    <row r="192" spans="1:18" s="324" customFormat="1">
      <c r="A192" s="961"/>
      <c r="B192" s="961"/>
      <c r="C192" s="961"/>
      <c r="D192" s="961"/>
      <c r="E192" s="961"/>
      <c r="F192" s="961"/>
      <c r="G192" s="961"/>
      <c r="H192" s="236"/>
      <c r="I192"/>
      <c r="J192"/>
      <c r="K192"/>
      <c r="L192"/>
      <c r="M192"/>
      <c r="N192"/>
      <c r="O192"/>
      <c r="P192"/>
      <c r="Q192"/>
      <c r="R192"/>
    </row>
    <row r="193" spans="1:18" s="324" customFormat="1">
      <c r="A193" s="961"/>
      <c r="B193" s="961"/>
      <c r="C193" s="961"/>
      <c r="D193" s="961"/>
      <c r="E193" s="961"/>
      <c r="F193" s="961"/>
      <c r="G193" s="961"/>
      <c r="H193" s="236"/>
      <c r="I193"/>
      <c r="J193"/>
      <c r="K193"/>
      <c r="L193"/>
      <c r="M193"/>
      <c r="N193"/>
      <c r="O193"/>
      <c r="P193"/>
      <c r="Q193"/>
      <c r="R193"/>
    </row>
    <row r="194" spans="1:18" s="324" customFormat="1" ht="15" customHeight="1">
      <c r="A194" s="330" t="s">
        <v>1582</v>
      </c>
      <c r="B194" s="330"/>
      <c r="C194" s="330"/>
      <c r="D194" s="382"/>
      <c r="E194" s="382"/>
      <c r="F194" s="382"/>
      <c r="G194" s="815" t="s">
        <v>1704</v>
      </c>
      <c r="H194" s="236"/>
      <c r="I194"/>
      <c r="J194"/>
      <c r="K194"/>
      <c r="L194"/>
      <c r="M194"/>
      <c r="N194"/>
      <c r="O194"/>
      <c r="P194"/>
      <c r="Q194"/>
      <c r="R194"/>
    </row>
    <row r="195" spans="1:18" s="324" customFormat="1" ht="15" customHeight="1">
      <c r="A195" s="948" t="s">
        <v>1372</v>
      </c>
      <c r="B195" s="948"/>
      <c r="C195" s="948"/>
      <c r="D195" s="948"/>
      <c r="E195" s="948"/>
      <c r="F195" s="948"/>
      <c r="G195" s="948"/>
      <c r="H195" s="236"/>
      <c r="I195"/>
      <c r="J195"/>
      <c r="K195"/>
      <c r="L195"/>
      <c r="M195"/>
      <c r="N195"/>
      <c r="O195"/>
    </row>
    <row r="196" spans="1:18" s="324" customFormat="1" ht="15" customHeight="1">
      <c r="A196" s="948"/>
      <c r="B196" s="948"/>
      <c r="C196" s="948"/>
      <c r="D196" s="948"/>
      <c r="E196" s="948"/>
      <c r="F196" s="948"/>
      <c r="G196" s="948"/>
      <c r="H196" s="236"/>
      <c r="I196"/>
      <c r="J196"/>
      <c r="K196"/>
      <c r="L196"/>
      <c r="M196"/>
      <c r="N196"/>
      <c r="O196"/>
    </row>
    <row r="197" spans="1:18" s="324" customFormat="1">
      <c r="A197" s="948"/>
      <c r="B197" s="948"/>
      <c r="C197" s="948"/>
      <c r="D197" s="948"/>
      <c r="E197" s="948"/>
      <c r="F197" s="948"/>
      <c r="G197" s="948"/>
      <c r="H197" s="236"/>
      <c r="I197"/>
      <c r="J197"/>
      <c r="K197"/>
      <c r="L197"/>
      <c r="M197"/>
      <c r="N197"/>
      <c r="O197"/>
    </row>
    <row r="198" spans="1:18" s="324" customFormat="1" ht="15" customHeight="1">
      <c r="A198" s="960" t="s">
        <v>1373</v>
      </c>
      <c r="B198" s="960"/>
      <c r="C198" s="960"/>
      <c r="D198" s="960"/>
      <c r="E198" s="960"/>
      <c r="F198" s="960"/>
      <c r="G198" s="960"/>
      <c r="H198" s="236"/>
      <c r="I198"/>
      <c r="J198"/>
      <c r="K198"/>
      <c r="L198"/>
      <c r="M198"/>
      <c r="N198"/>
      <c r="O198"/>
    </row>
    <row r="199" spans="1:18" s="324" customFormat="1">
      <c r="A199" s="960"/>
      <c r="B199" s="960"/>
      <c r="C199" s="960"/>
      <c r="D199" s="960"/>
      <c r="E199" s="960"/>
      <c r="F199" s="960"/>
      <c r="G199" s="960"/>
      <c r="H199" s="236"/>
      <c r="I199"/>
      <c r="J199"/>
      <c r="K199"/>
      <c r="L199"/>
      <c r="M199"/>
      <c r="N199"/>
      <c r="O199"/>
    </row>
    <row r="200" spans="1:18" s="324" customFormat="1">
      <c r="A200" s="956" t="s">
        <v>1706</v>
      </c>
      <c r="B200" s="956"/>
      <c r="C200" s="956"/>
      <c r="D200" s="956"/>
      <c r="E200" s="956"/>
      <c r="F200" s="956"/>
      <c r="G200" s="956"/>
      <c r="H200" s="236"/>
      <c r="I200"/>
      <c r="J200"/>
      <c r="K200"/>
      <c r="L200"/>
      <c r="M200"/>
      <c r="N200"/>
      <c r="O200"/>
    </row>
    <row r="201" spans="1:18" ht="9.75" customHeight="1"/>
    <row r="202" spans="1:18" s="324" customFormat="1">
      <c r="A202" s="348" t="s">
        <v>1053</v>
      </c>
      <c r="B202" s="339"/>
      <c r="C202" s="339"/>
      <c r="D202" s="339"/>
      <c r="E202" s="339"/>
      <c r="F202" s="339"/>
      <c r="G202" s="339"/>
      <c r="H202" s="236"/>
      <c r="I202"/>
      <c r="J202"/>
      <c r="K202"/>
      <c r="L202"/>
      <c r="M202"/>
      <c r="N202"/>
      <c r="O202"/>
    </row>
    <row r="203" spans="1:18" s="324" customFormat="1" ht="15" customHeight="1">
      <c r="A203" s="942" t="s">
        <v>1510</v>
      </c>
      <c r="B203" s="942"/>
      <c r="C203" s="942"/>
      <c r="D203" s="942"/>
      <c r="E203" s="937" t="s">
        <v>1511</v>
      </c>
      <c r="F203" s="937"/>
      <c r="G203" s="937"/>
      <c r="H203" s="236"/>
      <c r="I203"/>
      <c r="J203"/>
      <c r="K203"/>
      <c r="L203"/>
      <c r="M203"/>
      <c r="N203"/>
      <c r="O203"/>
    </row>
    <row r="204" spans="1:18" s="324" customFormat="1" ht="15" customHeight="1">
      <c r="A204" s="341" t="s">
        <v>1551</v>
      </c>
      <c r="B204" s="413"/>
      <c r="C204" s="413"/>
      <c r="D204" s="413"/>
      <c r="E204" s="413"/>
      <c r="F204" s="413"/>
      <c r="G204" s="413"/>
      <c r="H204" s="236"/>
      <c r="I204"/>
      <c r="J204"/>
      <c r="K204"/>
      <c r="L204"/>
      <c r="M204"/>
      <c r="N204"/>
      <c r="O204"/>
    </row>
    <row r="205" spans="1:18" s="324" customFormat="1" ht="15" customHeight="1">
      <c r="A205" s="341" t="s">
        <v>1552</v>
      </c>
      <c r="B205" s="413"/>
      <c r="C205" s="413"/>
      <c r="D205" s="413"/>
      <c r="E205" s="413"/>
      <c r="F205" s="413"/>
      <c r="G205" s="413"/>
      <c r="H205" s="236"/>
      <c r="I205"/>
      <c r="J205"/>
      <c r="K205"/>
      <c r="L205"/>
      <c r="M205"/>
      <c r="N205"/>
      <c r="O205"/>
    </row>
    <row r="206" spans="1:18" s="324" customFormat="1" ht="15" customHeight="1">
      <c r="A206" s="936" t="s">
        <v>1553</v>
      </c>
      <c r="B206" s="936"/>
      <c r="C206" s="936"/>
      <c r="D206" s="936"/>
      <c r="E206" s="936"/>
      <c r="F206" s="936"/>
      <c r="G206" s="936"/>
      <c r="H206" s="236"/>
      <c r="I206"/>
      <c r="J206"/>
      <c r="K206"/>
      <c r="L206"/>
      <c r="M206"/>
      <c r="N206"/>
      <c r="O206"/>
    </row>
    <row r="207" spans="1:18" s="324" customFormat="1" ht="15" customHeight="1">
      <c r="A207" s="936"/>
      <c r="B207" s="936"/>
      <c r="C207" s="936"/>
      <c r="D207" s="936"/>
      <c r="E207" s="936"/>
      <c r="F207" s="936"/>
      <c r="G207" s="936"/>
      <c r="H207" s="236"/>
      <c r="I207"/>
      <c r="J207"/>
      <c r="K207"/>
      <c r="L207"/>
      <c r="M207"/>
      <c r="N207"/>
      <c r="O207"/>
    </row>
    <row r="208" spans="1:18" s="324" customFormat="1" ht="15" customHeight="1">
      <c r="A208" s="936"/>
      <c r="B208" s="936"/>
      <c r="C208" s="936"/>
      <c r="D208" s="936"/>
      <c r="E208" s="936"/>
      <c r="F208" s="936"/>
      <c r="G208" s="936"/>
      <c r="H208" s="236"/>
      <c r="I208"/>
      <c r="J208"/>
      <c r="K208"/>
      <c r="L208"/>
      <c r="M208"/>
      <c r="N208"/>
      <c r="O208"/>
    </row>
    <row r="209" spans="1:15" s="324" customFormat="1" ht="15" customHeight="1">
      <c r="A209" s="945" t="s">
        <v>1623</v>
      </c>
      <c r="B209" s="946"/>
      <c r="C209" s="946"/>
      <c r="D209" s="946"/>
      <c r="E209" s="946"/>
      <c r="F209" s="946"/>
      <c r="G209" s="946"/>
      <c r="H209" s="236"/>
      <c r="I209"/>
      <c r="J209"/>
      <c r="K209"/>
      <c r="L209"/>
      <c r="M209"/>
      <c r="N209"/>
      <c r="O209"/>
    </row>
    <row r="210" spans="1:15" s="324" customFormat="1" ht="15" customHeight="1">
      <c r="A210" s="946"/>
      <c r="B210" s="946"/>
      <c r="C210" s="946"/>
      <c r="D210" s="946"/>
      <c r="E210" s="946"/>
      <c r="F210" s="946"/>
      <c r="G210" s="946"/>
      <c r="H210" s="236"/>
      <c r="I210"/>
      <c r="J210"/>
      <c r="K210"/>
      <c r="L210"/>
      <c r="M210"/>
      <c r="N210"/>
      <c r="O210"/>
    </row>
    <row r="211" spans="1:15" s="324" customFormat="1" ht="15" customHeight="1">
      <c r="A211" s="946" t="s">
        <v>1554</v>
      </c>
      <c r="B211" s="946"/>
      <c r="C211" s="946"/>
      <c r="D211" s="946"/>
      <c r="E211" s="946"/>
      <c r="F211" s="946"/>
      <c r="G211" s="946"/>
      <c r="H211" s="236"/>
      <c r="I211"/>
      <c r="J211"/>
      <c r="K211"/>
      <c r="L211"/>
      <c r="M211"/>
      <c r="N211"/>
      <c r="O211"/>
    </row>
    <row r="212" spans="1:15" s="324" customFormat="1">
      <c r="A212" s="946"/>
      <c r="B212" s="946"/>
      <c r="C212" s="946"/>
      <c r="D212" s="946"/>
      <c r="E212" s="946"/>
      <c r="F212" s="946"/>
      <c r="G212" s="946"/>
      <c r="H212" s="236"/>
      <c r="I212"/>
      <c r="J212"/>
      <c r="K212"/>
      <c r="L212"/>
      <c r="M212"/>
      <c r="N212"/>
      <c r="O212"/>
    </row>
    <row r="213" spans="1:15" s="324" customFormat="1">
      <c r="A213" s="946"/>
      <c r="B213" s="946"/>
      <c r="C213" s="946"/>
      <c r="D213" s="946"/>
      <c r="E213" s="946"/>
      <c r="F213" s="946"/>
      <c r="G213" s="946"/>
      <c r="H213" s="236"/>
      <c r="I213"/>
      <c r="J213"/>
      <c r="K213"/>
      <c r="L213"/>
      <c r="M213"/>
      <c r="N213"/>
      <c r="O213"/>
    </row>
    <row r="214" spans="1:15" s="324" customFormat="1" ht="15" customHeight="1">
      <c r="A214" s="946" t="s">
        <v>1509</v>
      </c>
      <c r="B214" s="946"/>
      <c r="C214" s="946"/>
      <c r="D214" s="946"/>
      <c r="E214" s="946"/>
      <c r="F214" s="946"/>
      <c r="G214" s="946"/>
      <c r="H214" s="236"/>
      <c r="I214"/>
      <c r="J214"/>
      <c r="K214"/>
      <c r="L214"/>
      <c r="M214"/>
      <c r="N214"/>
      <c r="O214"/>
    </row>
    <row r="215" spans="1:15" s="324" customFormat="1" ht="15" customHeight="1">
      <c r="A215" s="946"/>
      <c r="B215" s="946"/>
      <c r="C215" s="946"/>
      <c r="D215" s="946"/>
      <c r="E215" s="946"/>
      <c r="F215" s="946"/>
      <c r="G215" s="946"/>
      <c r="H215" s="236"/>
      <c r="I215"/>
      <c r="J215"/>
      <c r="K215"/>
      <c r="L215"/>
      <c r="M215"/>
      <c r="N215"/>
      <c r="O215"/>
    </row>
    <row r="216" spans="1:15" s="324" customFormat="1" ht="15" customHeight="1" thickBot="1">
      <c r="A216" s="946"/>
      <c r="B216" s="946"/>
      <c r="C216" s="946"/>
      <c r="D216" s="946"/>
      <c r="E216" s="946"/>
      <c r="F216" s="946"/>
      <c r="G216" s="946"/>
      <c r="H216" s="236"/>
      <c r="I216"/>
      <c r="J216"/>
      <c r="K216"/>
      <c r="L216"/>
      <c r="M216"/>
      <c r="N216"/>
      <c r="O216"/>
    </row>
    <row r="217" spans="1:15" s="324" customFormat="1">
      <c r="A217" s="400"/>
      <c r="B217" s="597" t="s">
        <v>1556</v>
      </c>
      <c r="C217" s="598"/>
      <c r="D217" s="598"/>
      <c r="E217" s="598"/>
      <c r="F217" s="599"/>
      <c r="G217" s="401"/>
      <c r="H217" s="236"/>
      <c r="I217"/>
      <c r="J217"/>
      <c r="K217"/>
      <c r="L217"/>
      <c r="M217"/>
      <c r="N217"/>
      <c r="O217"/>
    </row>
    <row r="218" spans="1:15" s="324" customFormat="1">
      <c r="A218" s="400"/>
      <c r="B218" s="939" t="s">
        <v>1555</v>
      </c>
      <c r="C218" s="940"/>
      <c r="D218" s="940"/>
      <c r="E218" s="940"/>
      <c r="F218" s="941"/>
      <c r="G218" s="400"/>
      <c r="H218" s="236"/>
      <c r="I218"/>
      <c r="J218"/>
      <c r="K218"/>
      <c r="L218"/>
      <c r="M218"/>
      <c r="N218"/>
      <c r="O218"/>
    </row>
    <row r="219" spans="1:15" s="324" customFormat="1">
      <c r="A219" s="400"/>
      <c r="B219" s="939" t="s">
        <v>1507</v>
      </c>
      <c r="C219" s="940"/>
      <c r="D219" s="940"/>
      <c r="E219" s="940"/>
      <c r="F219" s="941"/>
      <c r="G219" s="400"/>
      <c r="H219" s="236"/>
      <c r="I219"/>
      <c r="J219"/>
      <c r="K219"/>
      <c r="L219"/>
      <c r="M219"/>
      <c r="N219"/>
      <c r="O219"/>
    </row>
    <row r="220" spans="1:15" s="324" customFormat="1" ht="15.75" thickBot="1">
      <c r="A220" s="400"/>
      <c r="B220" s="957" t="s">
        <v>1508</v>
      </c>
      <c r="C220" s="958"/>
      <c r="D220" s="958"/>
      <c r="E220" s="958"/>
      <c r="F220" s="959"/>
      <c r="G220" s="400"/>
      <c r="H220" s="236"/>
      <c r="I220"/>
      <c r="J220"/>
      <c r="K220"/>
      <c r="L220"/>
      <c r="M220"/>
      <c r="N220"/>
      <c r="O220"/>
    </row>
    <row r="221" spans="1:15" s="324" customFormat="1">
      <c r="A221" s="392"/>
      <c r="B221" s="339"/>
      <c r="C221" s="339"/>
      <c r="D221" s="339"/>
      <c r="E221" s="339"/>
      <c r="F221" s="339"/>
      <c r="G221" s="392"/>
      <c r="H221" s="236"/>
      <c r="I221"/>
      <c r="J221"/>
      <c r="K221"/>
      <c r="L221"/>
      <c r="M221"/>
      <c r="N221"/>
      <c r="O221"/>
    </row>
    <row r="222" spans="1:15" s="324" customFormat="1" ht="15" customHeight="1">
      <c r="A222" s="942" t="s">
        <v>1624</v>
      </c>
      <c r="B222" s="942"/>
      <c r="C222" s="942"/>
      <c r="D222" s="942"/>
      <c r="E222" s="937" t="s">
        <v>1513</v>
      </c>
      <c r="F222" s="937"/>
      <c r="G222" s="937"/>
      <c r="H222" s="236"/>
      <c r="I222"/>
      <c r="J222"/>
      <c r="K222"/>
      <c r="L222"/>
      <c r="M222"/>
      <c r="N222"/>
      <c r="O222"/>
    </row>
    <row r="223" spans="1:15" s="324" customFormat="1" ht="15" customHeight="1">
      <c r="A223" s="936" t="s">
        <v>1764</v>
      </c>
      <c r="B223" s="936"/>
      <c r="C223" s="936"/>
      <c r="D223" s="936"/>
      <c r="E223" s="936"/>
      <c r="F223" s="936"/>
      <c r="G223" s="936"/>
      <c r="H223" s="236"/>
      <c r="I223"/>
      <c r="J223"/>
      <c r="K223"/>
      <c r="L223"/>
      <c r="M223"/>
      <c r="N223"/>
      <c r="O223"/>
    </row>
    <row r="224" spans="1:15" s="324" customFormat="1">
      <c r="A224" s="936"/>
      <c r="B224" s="936"/>
      <c r="C224" s="936"/>
      <c r="D224" s="936"/>
      <c r="E224" s="936"/>
      <c r="F224" s="936"/>
      <c r="G224" s="936"/>
      <c r="H224" s="236"/>
      <c r="I224"/>
      <c r="J224"/>
      <c r="K224"/>
      <c r="L224"/>
      <c r="M224"/>
      <c r="N224"/>
      <c r="O224"/>
    </row>
    <row r="225" spans="1:15" s="324" customFormat="1">
      <c r="A225" s="936"/>
      <c r="B225" s="936"/>
      <c r="C225" s="936"/>
      <c r="D225" s="936"/>
      <c r="E225" s="936"/>
      <c r="F225" s="936"/>
      <c r="G225" s="936"/>
      <c r="H225" s="236"/>
      <c r="I225"/>
      <c r="J225"/>
      <c r="K225"/>
      <c r="L225"/>
      <c r="M225"/>
      <c r="N225"/>
      <c r="O225"/>
    </row>
    <row r="226" spans="1:15" s="324" customFormat="1">
      <c r="A226" s="936"/>
      <c r="B226" s="936"/>
      <c r="C226" s="936"/>
      <c r="D226" s="936"/>
      <c r="E226" s="936"/>
      <c r="F226" s="936"/>
      <c r="G226" s="936"/>
      <c r="H226" s="236"/>
      <c r="I226"/>
      <c r="J226"/>
      <c r="K226"/>
      <c r="L226"/>
      <c r="M226"/>
      <c r="N226"/>
      <c r="O226"/>
    </row>
    <row r="227" spans="1:15" s="324" customFormat="1">
      <c r="A227" s="936"/>
      <c r="B227" s="936"/>
      <c r="C227" s="936"/>
      <c r="D227" s="936"/>
      <c r="E227" s="936"/>
      <c r="F227" s="936"/>
      <c r="G227" s="936"/>
      <c r="H227" s="236"/>
      <c r="I227"/>
      <c r="J227"/>
      <c r="K227"/>
      <c r="L227"/>
      <c r="M227"/>
      <c r="N227"/>
      <c r="O227"/>
    </row>
    <row r="228" spans="1:15" s="324" customFormat="1">
      <c r="A228" s="936"/>
      <c r="B228" s="936"/>
      <c r="C228" s="936"/>
      <c r="D228" s="936"/>
      <c r="E228" s="936"/>
      <c r="F228" s="936"/>
      <c r="G228" s="936"/>
      <c r="H228" s="236"/>
      <c r="I228"/>
      <c r="J228"/>
      <c r="K228"/>
      <c r="L228"/>
      <c r="M228"/>
      <c r="N228"/>
      <c r="O228"/>
    </row>
    <row r="229" spans="1:15" s="324" customFormat="1">
      <c r="A229" s="936"/>
      <c r="B229" s="936"/>
      <c r="C229" s="936"/>
      <c r="D229" s="936"/>
      <c r="E229" s="936"/>
      <c r="F229" s="936"/>
      <c r="G229" s="936"/>
      <c r="H229" s="236"/>
      <c r="I229"/>
      <c r="J229"/>
      <c r="K229"/>
      <c r="L229"/>
      <c r="M229"/>
      <c r="N229"/>
      <c r="O229"/>
    </row>
    <row r="230" spans="1:15" s="324" customFormat="1">
      <c r="A230" s="600" t="s">
        <v>1512</v>
      </c>
      <c r="F230" s="323"/>
      <c r="G230" s="323"/>
      <c r="H230" s="236"/>
      <c r="I230"/>
      <c r="J230"/>
      <c r="K230"/>
      <c r="L230"/>
      <c r="M230"/>
      <c r="N230"/>
      <c r="O230"/>
    </row>
    <row r="231" spans="1:15" s="324" customFormat="1" ht="15" customHeight="1">
      <c r="A231" s="942" t="s">
        <v>1541</v>
      </c>
      <c r="B231" s="942"/>
      <c r="C231" s="942"/>
      <c r="D231" s="942"/>
      <c r="E231" s="937" t="s">
        <v>1920</v>
      </c>
      <c r="F231" s="937"/>
      <c r="G231" s="937"/>
      <c r="H231" s="236"/>
      <c r="I231"/>
      <c r="J231"/>
      <c r="K231"/>
      <c r="L231"/>
      <c r="M231"/>
      <c r="N231"/>
      <c r="O231"/>
    </row>
    <row r="232" spans="1:15" s="324" customFormat="1">
      <c r="A232" s="948" t="s">
        <v>1380</v>
      </c>
      <c r="B232" s="948"/>
      <c r="C232" s="948"/>
      <c r="D232" s="948"/>
      <c r="E232" s="948"/>
      <c r="F232" s="948"/>
      <c r="G232" s="948"/>
      <c r="H232" s="236"/>
      <c r="I232"/>
      <c r="J232"/>
      <c r="K232"/>
      <c r="L232"/>
      <c r="M232"/>
      <c r="N232"/>
      <c r="O232"/>
    </row>
    <row r="233" spans="1:15" s="324" customFormat="1">
      <c r="A233" s="948"/>
      <c r="B233" s="948"/>
      <c r="C233" s="948"/>
      <c r="D233" s="948"/>
      <c r="E233" s="948"/>
      <c r="F233" s="948"/>
      <c r="G233" s="948"/>
      <c r="H233" s="236"/>
      <c r="I233"/>
      <c r="J233"/>
      <c r="K233"/>
      <c r="L233"/>
      <c r="M233"/>
      <c r="N233"/>
      <c r="O233"/>
    </row>
    <row r="234" spans="1:15" s="324" customFormat="1">
      <c r="A234" s="948"/>
      <c r="B234" s="948"/>
      <c r="C234" s="948"/>
      <c r="D234" s="948"/>
      <c r="E234" s="948"/>
      <c r="F234" s="948"/>
      <c r="G234" s="948"/>
      <c r="H234" s="236"/>
      <c r="I234"/>
      <c r="J234"/>
      <c r="K234"/>
      <c r="L234"/>
      <c r="M234"/>
      <c r="N234"/>
      <c r="O234"/>
    </row>
    <row r="235" spans="1:15" s="324" customFormat="1">
      <c r="A235" s="944" t="s">
        <v>1630</v>
      </c>
      <c r="B235" s="944"/>
      <c r="C235" s="944"/>
      <c r="D235" s="944"/>
      <c r="E235" s="944"/>
      <c r="F235" s="944"/>
      <c r="G235" s="944"/>
      <c r="H235" s="236"/>
      <c r="I235"/>
      <c r="J235"/>
      <c r="K235"/>
      <c r="L235"/>
      <c r="M235"/>
      <c r="N235"/>
      <c r="O235"/>
    </row>
    <row r="236" spans="1:15" s="324" customFormat="1">
      <c r="A236" s="956" t="s">
        <v>1945</v>
      </c>
      <c r="B236" s="956"/>
      <c r="C236" s="956"/>
      <c r="D236" s="956"/>
      <c r="E236" s="956"/>
      <c r="F236" s="956"/>
      <c r="G236" s="956"/>
      <c r="H236" s="236"/>
      <c r="I236"/>
      <c r="J236"/>
      <c r="K236"/>
      <c r="L236"/>
      <c r="M236"/>
      <c r="N236"/>
      <c r="O236"/>
    </row>
    <row r="237" spans="1:15" s="324" customFormat="1">
      <c r="A237" s="330" t="s">
        <v>1505</v>
      </c>
      <c r="B237" s="330"/>
      <c r="C237" s="330"/>
      <c r="D237" s="937" t="s">
        <v>1728</v>
      </c>
      <c r="E237" s="937"/>
      <c r="F237" s="937"/>
      <c r="G237" s="937"/>
      <c r="H237" s="236"/>
      <c r="I237"/>
      <c r="J237"/>
      <c r="K237"/>
      <c r="L237"/>
      <c r="M237"/>
      <c r="N237"/>
      <c r="O237"/>
    </row>
    <row r="238" spans="1:15" s="324" customFormat="1" ht="24" customHeight="1">
      <c r="A238" s="944" t="s">
        <v>1631</v>
      </c>
      <c r="B238" s="944"/>
      <c r="C238" s="944"/>
      <c r="D238" s="944"/>
      <c r="E238" s="944"/>
      <c r="F238" s="944"/>
      <c r="G238" s="944"/>
      <c r="H238" s="236"/>
      <c r="I238"/>
      <c r="J238"/>
      <c r="K238"/>
      <c r="L238"/>
      <c r="M238"/>
      <c r="N238"/>
      <c r="O238"/>
    </row>
    <row r="239" spans="1:15" s="324" customFormat="1">
      <c r="A239" s="948" t="s">
        <v>1506</v>
      </c>
      <c r="B239" s="948"/>
      <c r="C239" s="948"/>
      <c r="D239" s="948"/>
      <c r="E239" s="948"/>
      <c r="F239" s="948"/>
      <c r="G239" s="948"/>
      <c r="H239" s="236"/>
      <c r="I239"/>
      <c r="J239"/>
      <c r="K239"/>
      <c r="L239"/>
      <c r="M239"/>
      <c r="N239"/>
      <c r="O239"/>
    </row>
    <row r="240" spans="1:15" s="324" customFormat="1">
      <c r="A240" s="948"/>
      <c r="B240" s="948"/>
      <c r="C240" s="948"/>
      <c r="D240" s="948"/>
      <c r="E240" s="948"/>
      <c r="F240" s="948"/>
      <c r="G240" s="948"/>
      <c r="H240" s="236"/>
      <c r="I240"/>
      <c r="J240"/>
      <c r="K240"/>
      <c r="L240"/>
      <c r="M240"/>
      <c r="N240"/>
      <c r="O240"/>
    </row>
    <row r="241" spans="1:15" s="324" customFormat="1">
      <c r="A241" s="948"/>
      <c r="B241" s="948"/>
      <c r="C241" s="948"/>
      <c r="D241" s="948"/>
      <c r="E241" s="948"/>
      <c r="F241" s="948"/>
      <c r="G241" s="948"/>
      <c r="H241" s="236"/>
      <c r="I241"/>
      <c r="J241"/>
      <c r="K241"/>
      <c r="L241"/>
      <c r="M241"/>
      <c r="N241"/>
      <c r="O241"/>
    </row>
    <row r="242" spans="1:15" s="324" customFormat="1">
      <c r="A242" s="948"/>
      <c r="B242" s="948"/>
      <c r="C242" s="948"/>
      <c r="D242" s="948"/>
      <c r="E242" s="948"/>
      <c r="F242" s="948"/>
      <c r="G242" s="948"/>
      <c r="H242" s="236"/>
      <c r="I242"/>
      <c r="J242"/>
      <c r="K242"/>
      <c r="L242"/>
      <c r="M242"/>
      <c r="N242"/>
      <c r="O242"/>
    </row>
    <row r="243" spans="1:15" s="324" customFormat="1">
      <c r="A243" s="330" t="s">
        <v>2031</v>
      </c>
      <c r="B243" s="330"/>
      <c r="C243" s="330"/>
      <c r="D243" s="382"/>
      <c r="E243" s="382"/>
      <c r="F243" s="382"/>
      <c r="G243" s="815" t="s">
        <v>1742</v>
      </c>
      <c r="H243" s="236"/>
      <c r="I243"/>
      <c r="J243"/>
      <c r="K243"/>
      <c r="L243"/>
      <c r="M243"/>
      <c r="N243"/>
      <c r="O243"/>
    </row>
    <row r="244" spans="1:15" s="324" customFormat="1">
      <c r="A244" s="944" t="s">
        <v>1745</v>
      </c>
      <c r="B244" s="944"/>
      <c r="C244" s="944"/>
      <c r="D244" s="944"/>
      <c r="E244" s="944"/>
      <c r="F244" s="944"/>
      <c r="G244" s="944"/>
      <c r="H244" s="236"/>
      <c r="I244"/>
      <c r="J244"/>
      <c r="K244"/>
      <c r="L244"/>
      <c r="M244"/>
      <c r="N244"/>
      <c r="O244"/>
    </row>
    <row r="245" spans="1:15" ht="8.25" customHeight="1"/>
    <row r="246" spans="1:15" s="324" customFormat="1">
      <c r="A246" s="348" t="s">
        <v>1964</v>
      </c>
      <c r="H246" s="236"/>
      <c r="I246"/>
      <c r="J246"/>
      <c r="K246"/>
      <c r="L246"/>
      <c r="M246"/>
      <c r="N246"/>
      <c r="O246"/>
    </row>
    <row r="247" spans="1:15" s="324" customFormat="1">
      <c r="A247" s="942" t="s">
        <v>1515</v>
      </c>
      <c r="B247" s="942"/>
      <c r="C247" s="942"/>
      <c r="D247" s="937" t="s">
        <v>1922</v>
      </c>
      <c r="E247" s="937"/>
      <c r="F247" s="937"/>
      <c r="G247" s="937"/>
      <c r="H247" s="236"/>
      <c r="I247"/>
      <c r="J247"/>
      <c r="K247"/>
      <c r="L247"/>
      <c r="M247"/>
      <c r="N247"/>
      <c r="O247"/>
    </row>
    <row r="248" spans="1:15" s="324" customFormat="1" ht="15" customHeight="1">
      <c r="A248" s="944" t="s">
        <v>1377</v>
      </c>
      <c r="B248" s="944"/>
      <c r="C248" s="944"/>
      <c r="D248" s="944"/>
      <c r="E248" s="944"/>
      <c r="F248" s="944"/>
      <c r="G248" s="944"/>
      <c r="H248" s="236"/>
      <c r="I248"/>
      <c r="J248"/>
      <c r="K248"/>
      <c r="L248"/>
      <c r="M248"/>
      <c r="N248"/>
      <c r="O248"/>
    </row>
    <row r="249" spans="1:15" s="324" customFormat="1" ht="11.25" customHeight="1">
      <c r="A249" s="944"/>
      <c r="B249" s="944"/>
      <c r="C249" s="944"/>
      <c r="D249" s="944"/>
      <c r="E249" s="944"/>
      <c r="F249" s="944"/>
      <c r="G249" s="944"/>
      <c r="H249" s="236"/>
      <c r="I249"/>
      <c r="J249"/>
      <c r="K249"/>
      <c r="L249"/>
      <c r="M249"/>
      <c r="N249"/>
      <c r="O249"/>
    </row>
    <row r="250" spans="1:15" s="324" customFormat="1">
      <c r="A250" s="942" t="s">
        <v>204</v>
      </c>
      <c r="B250" s="942"/>
      <c r="C250" s="942"/>
      <c r="D250" s="937" t="s">
        <v>1922</v>
      </c>
      <c r="E250" s="937"/>
      <c r="F250" s="937"/>
      <c r="G250" s="937"/>
      <c r="H250" s="236"/>
      <c r="I250"/>
      <c r="J250"/>
      <c r="K250"/>
      <c r="L250"/>
      <c r="M250"/>
      <c r="N250"/>
      <c r="O250"/>
    </row>
    <row r="251" spans="1:15" s="324" customFormat="1">
      <c r="A251" s="379" t="s">
        <v>1528</v>
      </c>
      <c r="B251" s="818"/>
      <c r="C251" s="818"/>
      <c r="D251" s="818"/>
      <c r="E251" s="818"/>
      <c r="F251" s="818"/>
      <c r="G251" s="818"/>
      <c r="H251" s="236"/>
      <c r="I251"/>
      <c r="J251"/>
      <c r="K251"/>
      <c r="L251"/>
      <c r="M251"/>
      <c r="N251"/>
      <c r="O251"/>
    </row>
    <row r="252" spans="1:15" s="814" customFormat="1">
      <c r="A252" s="817" t="s">
        <v>1378</v>
      </c>
      <c r="B252" s="817"/>
      <c r="C252" s="817"/>
      <c r="D252" s="382"/>
      <c r="E252" s="382"/>
      <c r="F252" s="382"/>
      <c r="G252" s="815" t="s">
        <v>1923</v>
      </c>
      <c r="H252" s="236"/>
      <c r="I252"/>
      <c r="J252"/>
      <c r="K252"/>
      <c r="L252"/>
      <c r="M252"/>
      <c r="N252"/>
      <c r="O252"/>
    </row>
    <row r="253" spans="1:15" s="324" customFormat="1">
      <c r="A253" s="343" t="s">
        <v>1946</v>
      </c>
      <c r="B253" s="343"/>
      <c r="C253" s="343"/>
      <c r="D253" s="343"/>
      <c r="E253" s="343"/>
      <c r="F253" s="343"/>
      <c r="G253" s="343"/>
      <c r="H253" s="236"/>
      <c r="I253"/>
      <c r="J253"/>
      <c r="K253"/>
      <c r="L253"/>
      <c r="M253"/>
      <c r="N253"/>
      <c r="O253"/>
    </row>
    <row r="254" spans="1:15" s="324" customFormat="1">
      <c r="A254" s="942" t="s">
        <v>1517</v>
      </c>
      <c r="B254" s="942"/>
      <c r="C254" s="942"/>
      <c r="D254" s="382"/>
      <c r="E254" s="382"/>
      <c r="F254" s="382"/>
      <c r="G254" s="815" t="s">
        <v>1936</v>
      </c>
      <c r="H254" s="236"/>
      <c r="I254"/>
      <c r="J254"/>
      <c r="K254"/>
      <c r="L254"/>
      <c r="M254"/>
      <c r="N254"/>
      <c r="O254"/>
    </row>
    <row r="255" spans="1:15" s="324" customFormat="1">
      <c r="A255" s="343" t="s">
        <v>1429</v>
      </c>
      <c r="B255" s="332"/>
      <c r="C255" s="332"/>
      <c r="D255" s="332"/>
      <c r="E255" s="332"/>
      <c r="F255" s="332"/>
      <c r="G255" s="332"/>
      <c r="H255" s="236"/>
      <c r="I255"/>
      <c r="J255"/>
      <c r="K255"/>
      <c r="L255"/>
      <c r="M255"/>
      <c r="N255"/>
      <c r="O255"/>
    </row>
    <row r="256" spans="1:15" s="324" customFormat="1">
      <c r="A256" s="942" t="s">
        <v>1947</v>
      </c>
      <c r="B256" s="942"/>
      <c r="C256" s="942"/>
      <c r="D256" s="937" t="s">
        <v>1924</v>
      </c>
      <c r="E256" s="937"/>
      <c r="F256" s="937"/>
      <c r="G256" s="937"/>
      <c r="H256" s="236"/>
      <c r="I256"/>
      <c r="J256"/>
      <c r="K256"/>
      <c r="L256"/>
      <c r="M256"/>
      <c r="N256"/>
      <c r="O256"/>
    </row>
    <row r="257" spans="1:15" s="350" customFormat="1" ht="15" customHeight="1">
      <c r="A257" s="944" t="s">
        <v>1399</v>
      </c>
      <c r="B257" s="944"/>
      <c r="C257" s="944"/>
      <c r="D257" s="944"/>
      <c r="E257" s="944"/>
      <c r="F257" s="944"/>
      <c r="G257" s="944"/>
      <c r="H257" s="236"/>
      <c r="I257"/>
      <c r="J257"/>
      <c r="K257"/>
      <c r="L257"/>
      <c r="M257"/>
      <c r="N257"/>
      <c r="O257"/>
    </row>
    <row r="258" spans="1:15" s="324" customFormat="1">
      <c r="A258" s="942" t="s">
        <v>1948</v>
      </c>
      <c r="B258" s="942"/>
      <c r="C258" s="942"/>
      <c r="D258" s="937" t="s">
        <v>1940</v>
      </c>
      <c r="E258" s="937"/>
      <c r="F258" s="937"/>
      <c r="G258" s="937"/>
      <c r="H258" s="236"/>
      <c r="I258"/>
      <c r="J258"/>
      <c r="K258"/>
      <c r="L258"/>
      <c r="M258"/>
      <c r="N258"/>
      <c r="O258"/>
    </row>
    <row r="259" spans="1:15" s="324" customFormat="1" ht="15" customHeight="1">
      <c r="A259" s="944" t="s">
        <v>1864</v>
      </c>
      <c r="B259" s="944"/>
      <c r="C259" s="944"/>
      <c r="D259" s="944"/>
      <c r="E259" s="944"/>
      <c r="F259" s="944"/>
      <c r="G259" s="944"/>
      <c r="H259" s="236"/>
      <c r="I259"/>
      <c r="J259"/>
      <c r="K259"/>
      <c r="L259"/>
      <c r="M259"/>
      <c r="N259"/>
      <c r="O259"/>
    </row>
    <row r="260" spans="1:15" s="324" customFormat="1">
      <c r="A260" s="942" t="s">
        <v>1558</v>
      </c>
      <c r="B260" s="942"/>
      <c r="C260" s="942"/>
      <c r="D260" s="942"/>
      <c r="E260" s="937" t="s">
        <v>1702</v>
      </c>
      <c r="F260" s="937"/>
      <c r="G260" s="937"/>
      <c r="H260" s="236"/>
      <c r="I260"/>
      <c r="J260"/>
      <c r="K260"/>
      <c r="L260"/>
      <c r="M260"/>
      <c r="N260"/>
      <c r="O260"/>
    </row>
    <row r="261" spans="1:15" s="324" customFormat="1" ht="15" customHeight="1">
      <c r="A261" s="935" t="s">
        <v>1765</v>
      </c>
      <c r="B261" s="935"/>
      <c r="C261" s="935"/>
      <c r="D261" s="935"/>
      <c r="E261" s="935"/>
      <c r="F261" s="935"/>
      <c r="G261" s="935"/>
      <c r="H261" s="236"/>
      <c r="I261"/>
      <c r="J261"/>
      <c r="K261"/>
      <c r="L261"/>
      <c r="M261"/>
      <c r="N261"/>
      <c r="O261"/>
    </row>
    <row r="262" spans="1:15" s="324" customFormat="1">
      <c r="A262" s="935"/>
      <c r="B262" s="935"/>
      <c r="C262" s="935"/>
      <c r="D262" s="935"/>
      <c r="E262" s="935"/>
      <c r="F262" s="935"/>
      <c r="G262" s="935"/>
      <c r="H262" s="236"/>
      <c r="I262"/>
      <c r="J262"/>
      <c r="K262"/>
      <c r="L262"/>
      <c r="M262"/>
      <c r="N262"/>
      <c r="O262"/>
    </row>
    <row r="263" spans="1:15" s="324" customFormat="1">
      <c r="A263" s="935"/>
      <c r="B263" s="935"/>
      <c r="C263" s="935"/>
      <c r="D263" s="935"/>
      <c r="E263" s="935"/>
      <c r="F263" s="935"/>
      <c r="G263" s="935"/>
      <c r="H263" s="236"/>
      <c r="I263"/>
      <c r="J263"/>
      <c r="K263"/>
      <c r="L263"/>
      <c r="M263"/>
      <c r="N263"/>
      <c r="O263"/>
    </row>
    <row r="264" spans="1:15" s="324" customFormat="1">
      <c r="A264" s="935"/>
      <c r="B264" s="935"/>
      <c r="C264" s="935"/>
      <c r="D264" s="935"/>
      <c r="E264" s="935"/>
      <c r="F264" s="935"/>
      <c r="G264" s="935"/>
      <c r="H264" s="236"/>
      <c r="I264"/>
      <c r="J264"/>
      <c r="K264"/>
      <c r="L264"/>
      <c r="M264"/>
      <c r="N264"/>
      <c r="O264"/>
    </row>
    <row r="265" spans="1:15" s="324" customFormat="1">
      <c r="A265" s="942" t="s">
        <v>204</v>
      </c>
      <c r="B265" s="942"/>
      <c r="C265" s="942"/>
      <c r="D265" s="937" t="s">
        <v>1702</v>
      </c>
      <c r="E265" s="937"/>
      <c r="F265" s="937"/>
      <c r="G265" s="937"/>
      <c r="H265" s="236"/>
      <c r="I265"/>
      <c r="J265"/>
      <c r="K265"/>
      <c r="L265"/>
      <c r="M265"/>
      <c r="N265"/>
      <c r="O265"/>
    </row>
    <row r="266" spans="1:15" s="324" customFormat="1" ht="15" customHeight="1">
      <c r="A266" s="343" t="s">
        <v>1746</v>
      </c>
      <c r="B266" s="816"/>
      <c r="C266" s="816"/>
      <c r="D266" s="816"/>
      <c r="E266" s="816"/>
      <c r="F266" s="816"/>
      <c r="G266" s="816"/>
      <c r="H266" s="236"/>
      <c r="I266"/>
      <c r="J266"/>
      <c r="K266"/>
      <c r="L266"/>
      <c r="M266"/>
      <c r="N266"/>
      <c r="O266"/>
    </row>
    <row r="267" spans="1:15" s="324" customFormat="1">
      <c r="A267" s="942" t="s">
        <v>1559</v>
      </c>
      <c r="B267" s="942"/>
      <c r="C267" s="942"/>
      <c r="D267" s="942"/>
      <c r="E267" s="937" t="s">
        <v>1702</v>
      </c>
      <c r="F267" s="937"/>
      <c r="G267" s="937"/>
      <c r="H267" s="236"/>
      <c r="I267"/>
      <c r="J267"/>
      <c r="K267"/>
      <c r="L267"/>
      <c r="M267"/>
      <c r="N267"/>
      <c r="O267"/>
    </row>
    <row r="268" spans="1:15" s="324" customFormat="1" ht="15" customHeight="1">
      <c r="A268" s="935" t="s">
        <v>1574</v>
      </c>
      <c r="B268" s="935"/>
      <c r="C268" s="935"/>
      <c r="D268" s="935"/>
      <c r="E268" s="935"/>
      <c r="F268" s="935"/>
      <c r="G268" s="935"/>
      <c r="H268" s="236"/>
      <c r="I268"/>
      <c r="J268"/>
      <c r="K268"/>
      <c r="L268"/>
      <c r="M268"/>
      <c r="N268"/>
      <c r="O268"/>
    </row>
    <row r="269" spans="1:15" s="324" customFormat="1" ht="15" customHeight="1">
      <c r="A269" s="935"/>
      <c r="B269" s="935"/>
      <c r="C269" s="935"/>
      <c r="D269" s="935"/>
      <c r="E269" s="935"/>
      <c r="F269" s="935"/>
      <c r="G269" s="935"/>
      <c r="H269" s="236"/>
      <c r="I269"/>
      <c r="J269"/>
      <c r="K269"/>
      <c r="L269"/>
      <c r="M269"/>
      <c r="N269"/>
      <c r="O269"/>
    </row>
    <row r="270" spans="1:15" s="324" customFormat="1">
      <c r="A270" s="402" t="s">
        <v>1560</v>
      </c>
      <c r="B270" s="816"/>
      <c r="C270" s="816"/>
      <c r="D270" s="816"/>
      <c r="E270" s="816"/>
      <c r="F270" s="816"/>
      <c r="G270" s="816"/>
      <c r="H270" s="236"/>
      <c r="I270"/>
      <c r="J270"/>
      <c r="K270"/>
      <c r="L270"/>
      <c r="M270"/>
      <c r="N270"/>
      <c r="O270"/>
    </row>
    <row r="271" spans="1:15" s="324" customFormat="1">
      <c r="A271" s="402" t="s">
        <v>1561</v>
      </c>
      <c r="B271" s="816"/>
      <c r="C271" s="816"/>
      <c r="D271" s="816"/>
      <c r="E271" s="816"/>
      <c r="F271" s="816"/>
      <c r="G271" s="816"/>
      <c r="H271" s="236"/>
      <c r="I271"/>
      <c r="J271"/>
      <c r="K271"/>
      <c r="L271"/>
      <c r="M271"/>
      <c r="N271"/>
      <c r="O271"/>
    </row>
    <row r="272" spans="1:15" s="324" customFormat="1">
      <c r="A272" s="402" t="s">
        <v>1562</v>
      </c>
      <c r="B272" s="816"/>
      <c r="C272" s="816"/>
      <c r="D272" s="816"/>
      <c r="E272" s="816"/>
      <c r="F272" s="816"/>
      <c r="G272" s="816"/>
      <c r="H272" s="236"/>
      <c r="I272"/>
      <c r="J272"/>
      <c r="K272"/>
      <c r="L272"/>
      <c r="M272"/>
      <c r="N272"/>
      <c r="O272"/>
    </row>
    <row r="273" spans="1:15" s="324" customFormat="1">
      <c r="A273" s="402" t="s">
        <v>1563</v>
      </c>
      <c r="B273" s="816"/>
      <c r="C273" s="816"/>
      <c r="D273" s="816"/>
      <c r="E273" s="816"/>
      <c r="F273" s="816"/>
      <c r="G273" s="816"/>
      <c r="H273" s="236"/>
      <c r="I273"/>
      <c r="J273"/>
      <c r="K273"/>
      <c r="L273"/>
      <c r="M273"/>
      <c r="N273"/>
      <c r="O273"/>
    </row>
    <row r="274" spans="1:15" s="324" customFormat="1">
      <c r="A274" s="402" t="s">
        <v>1564</v>
      </c>
      <c r="B274" s="816"/>
      <c r="C274" s="816"/>
      <c r="D274" s="816"/>
      <c r="E274" s="816"/>
      <c r="F274" s="816"/>
      <c r="G274" s="816"/>
      <c r="H274" s="236"/>
      <c r="I274"/>
      <c r="J274"/>
      <c r="K274"/>
      <c r="L274"/>
      <c r="M274"/>
      <c r="N274"/>
      <c r="O274"/>
    </row>
    <row r="275" spans="1:15" s="324" customFormat="1">
      <c r="A275" s="402" t="s">
        <v>1565</v>
      </c>
      <c r="B275" s="816"/>
      <c r="C275" s="816"/>
      <c r="D275" s="816"/>
      <c r="E275" s="816"/>
      <c r="F275" s="816"/>
      <c r="G275" s="816"/>
      <c r="H275" s="236"/>
      <c r="I275"/>
      <c r="J275"/>
      <c r="K275"/>
      <c r="L275"/>
      <c r="M275"/>
      <c r="N275"/>
      <c r="O275"/>
    </row>
    <row r="276" spans="1:15" s="324" customFormat="1">
      <c r="A276" s="402" t="s">
        <v>1566</v>
      </c>
      <c r="B276" s="816"/>
      <c r="C276" s="816"/>
      <c r="D276" s="816"/>
      <c r="E276" s="816"/>
      <c r="F276" s="816"/>
      <c r="G276" s="816"/>
      <c r="H276" s="236"/>
      <c r="I276"/>
      <c r="J276"/>
      <c r="K276"/>
      <c r="L276"/>
      <c r="M276"/>
      <c r="N276"/>
      <c r="O276"/>
    </row>
    <row r="277" spans="1:15" s="324" customFormat="1">
      <c r="A277" s="402" t="s">
        <v>1567</v>
      </c>
      <c r="B277" s="816"/>
      <c r="C277" s="816"/>
      <c r="D277" s="816"/>
      <c r="E277" s="816"/>
      <c r="F277" s="816"/>
      <c r="G277" s="816"/>
      <c r="H277" s="236"/>
      <c r="I277"/>
      <c r="J277"/>
      <c r="K277"/>
      <c r="L277"/>
      <c r="M277"/>
      <c r="N277"/>
      <c r="O277"/>
    </row>
    <row r="278" spans="1:15" s="324" customFormat="1">
      <c r="A278" s="402" t="s">
        <v>1568</v>
      </c>
      <c r="B278" s="816"/>
      <c r="C278" s="816"/>
      <c r="D278" s="816"/>
      <c r="E278" s="816"/>
      <c r="F278" s="816"/>
      <c r="G278" s="816"/>
      <c r="H278" s="236"/>
      <c r="I278"/>
      <c r="J278"/>
      <c r="K278"/>
      <c r="L278"/>
      <c r="M278"/>
      <c r="N278"/>
      <c r="O278"/>
    </row>
    <row r="279" spans="1:15" s="324" customFormat="1">
      <c r="A279" s="402" t="s">
        <v>1569</v>
      </c>
      <c r="B279" s="816"/>
      <c r="C279" s="816"/>
      <c r="D279" s="816"/>
      <c r="E279" s="816"/>
      <c r="F279" s="816"/>
      <c r="G279" s="816"/>
      <c r="H279" s="236"/>
      <c r="I279"/>
      <c r="J279"/>
      <c r="K279"/>
      <c r="L279"/>
      <c r="M279"/>
      <c r="N279"/>
      <c r="O279"/>
    </row>
    <row r="280" spans="1:15" s="324" customFormat="1">
      <c r="A280" s="402" t="s">
        <v>1570</v>
      </c>
      <c r="B280" s="816"/>
      <c r="C280" s="816"/>
      <c r="D280" s="816"/>
      <c r="E280" s="816"/>
      <c r="F280" s="816"/>
      <c r="G280" s="816"/>
      <c r="H280" s="236"/>
      <c r="I280"/>
      <c r="J280"/>
      <c r="K280"/>
      <c r="L280"/>
      <c r="M280"/>
      <c r="N280"/>
      <c r="O280"/>
    </row>
    <row r="281" spans="1:15" s="324" customFormat="1">
      <c r="A281" s="402" t="s">
        <v>1571</v>
      </c>
      <c r="B281" s="816"/>
      <c r="C281" s="816"/>
      <c r="D281" s="816"/>
      <c r="E281" s="816"/>
      <c r="F281" s="816"/>
      <c r="G281" s="816"/>
      <c r="H281" s="236"/>
      <c r="I281"/>
      <c r="J281"/>
      <c r="K281"/>
      <c r="L281"/>
      <c r="M281"/>
      <c r="N281"/>
      <c r="O281"/>
    </row>
    <row r="282" spans="1:15" s="324" customFormat="1">
      <c r="A282" s="402" t="s">
        <v>1572</v>
      </c>
      <c r="B282" s="816"/>
      <c r="C282" s="816"/>
      <c r="D282" s="816"/>
      <c r="E282" s="816"/>
      <c r="F282" s="816"/>
      <c r="G282" s="816"/>
      <c r="H282" s="236"/>
      <c r="I282"/>
      <c r="J282"/>
      <c r="K282"/>
      <c r="L282"/>
      <c r="M282"/>
      <c r="N282"/>
      <c r="O282"/>
    </row>
    <row r="283" spans="1:15" s="324" customFormat="1">
      <c r="A283" s="402" t="s">
        <v>1573</v>
      </c>
      <c r="B283" s="816"/>
      <c r="C283" s="816"/>
      <c r="D283" s="816"/>
      <c r="E283" s="816"/>
      <c r="F283" s="816"/>
      <c r="G283" s="816"/>
      <c r="H283" s="236"/>
      <c r="I283"/>
      <c r="J283"/>
      <c r="K283"/>
      <c r="L283"/>
      <c r="M283"/>
      <c r="N283"/>
      <c r="O283"/>
    </row>
    <row r="284" spans="1:15" s="324" customFormat="1">
      <c r="A284" s="942" t="s">
        <v>204</v>
      </c>
      <c r="B284" s="942"/>
      <c r="C284" s="942"/>
      <c r="D284" s="937" t="s">
        <v>1702</v>
      </c>
      <c r="E284" s="937"/>
      <c r="F284" s="937"/>
      <c r="G284" s="937"/>
      <c r="H284" s="236"/>
      <c r="I284"/>
      <c r="J284"/>
      <c r="K284"/>
      <c r="L284"/>
      <c r="M284"/>
      <c r="N284"/>
      <c r="O284"/>
    </row>
    <row r="285" spans="1:15" s="324" customFormat="1" ht="15" customHeight="1">
      <c r="A285" s="944" t="s">
        <v>1766</v>
      </c>
      <c r="B285" s="944"/>
      <c r="C285" s="944"/>
      <c r="D285" s="944"/>
      <c r="E285" s="944"/>
      <c r="F285" s="944"/>
      <c r="G285" s="944"/>
      <c r="H285" s="236"/>
      <c r="I285"/>
      <c r="J285"/>
      <c r="K285"/>
      <c r="L285"/>
      <c r="M285"/>
      <c r="N285"/>
      <c r="O285"/>
    </row>
    <row r="286" spans="1:15" s="324" customFormat="1">
      <c r="A286" s="944"/>
      <c r="B286" s="944"/>
      <c r="C286" s="944"/>
      <c r="D286" s="944"/>
      <c r="E286" s="944"/>
      <c r="F286" s="944"/>
      <c r="G286" s="944"/>
      <c r="H286" s="236"/>
      <c r="I286"/>
      <c r="J286"/>
      <c r="K286"/>
      <c r="L286"/>
      <c r="M286"/>
      <c r="N286"/>
      <c r="O286"/>
    </row>
    <row r="287" spans="1:15" s="324" customFormat="1">
      <c r="A287" s="942" t="s">
        <v>1405</v>
      </c>
      <c r="B287" s="942"/>
      <c r="C287" s="942"/>
      <c r="D287" s="942"/>
      <c r="E287" s="937" t="s">
        <v>1698</v>
      </c>
      <c r="F287" s="937"/>
      <c r="G287" s="937"/>
      <c r="H287" s="236"/>
      <c r="I287"/>
      <c r="J287"/>
      <c r="K287"/>
      <c r="L287"/>
      <c r="M287"/>
      <c r="N287"/>
      <c r="O287"/>
    </row>
    <row r="288" spans="1:15" s="324" customFormat="1" ht="15" customHeight="1">
      <c r="A288" s="943" t="s">
        <v>1388</v>
      </c>
      <c r="B288" s="943"/>
      <c r="C288" s="943"/>
      <c r="D288" s="943"/>
      <c r="E288" s="943"/>
      <c r="F288" s="943"/>
      <c r="G288" s="943"/>
      <c r="H288" s="236"/>
      <c r="I288"/>
      <c r="J288"/>
      <c r="K288"/>
      <c r="L288"/>
      <c r="M288"/>
      <c r="N288"/>
      <c r="O288"/>
    </row>
    <row r="289" spans="1:15" s="324" customFormat="1">
      <c r="A289" s="943"/>
      <c r="B289" s="943"/>
      <c r="C289" s="943"/>
      <c r="D289" s="943"/>
      <c r="E289" s="943"/>
      <c r="F289" s="943"/>
      <c r="G289" s="943"/>
      <c r="H289" s="236"/>
      <c r="I289"/>
      <c r="J289"/>
      <c r="K289"/>
      <c r="L289"/>
      <c r="M289"/>
      <c r="N289"/>
      <c r="O289"/>
    </row>
    <row r="290" spans="1:15" s="324" customFormat="1">
      <c r="A290" s="943"/>
      <c r="B290" s="943"/>
      <c r="C290" s="943"/>
      <c r="D290" s="943"/>
      <c r="E290" s="943"/>
      <c r="F290" s="943"/>
      <c r="G290" s="943"/>
      <c r="H290" s="236"/>
      <c r="I290"/>
      <c r="J290"/>
      <c r="K290"/>
      <c r="L290"/>
      <c r="M290"/>
      <c r="N290"/>
      <c r="O290"/>
    </row>
    <row r="291" spans="1:15" s="324" customFormat="1" ht="15" customHeight="1">
      <c r="A291" s="943" t="s">
        <v>1389</v>
      </c>
      <c r="B291" s="943"/>
      <c r="C291" s="943"/>
      <c r="D291" s="943"/>
      <c r="E291" s="943"/>
      <c r="F291" s="943"/>
      <c r="G291" s="943"/>
      <c r="H291" s="236"/>
      <c r="I291"/>
      <c r="J291"/>
      <c r="K291"/>
      <c r="L291"/>
      <c r="M291"/>
      <c r="N291"/>
      <c r="O291"/>
    </row>
    <row r="292" spans="1:15" s="324" customFormat="1">
      <c r="A292" s="943"/>
      <c r="B292" s="943"/>
      <c r="C292" s="943"/>
      <c r="D292" s="943"/>
      <c r="E292" s="943"/>
      <c r="F292" s="943"/>
      <c r="G292" s="943"/>
      <c r="H292" s="236"/>
      <c r="I292"/>
      <c r="J292"/>
      <c r="K292"/>
      <c r="L292"/>
      <c r="M292"/>
      <c r="N292"/>
      <c r="O292"/>
    </row>
    <row r="293" spans="1:15" s="324" customFormat="1">
      <c r="A293" s="942" t="s">
        <v>204</v>
      </c>
      <c r="B293" s="942"/>
      <c r="C293" s="942"/>
      <c r="D293" s="937" t="s">
        <v>1698</v>
      </c>
      <c r="E293" s="937"/>
      <c r="F293" s="937"/>
      <c r="G293" s="937"/>
      <c r="H293" s="236"/>
      <c r="I293"/>
      <c r="J293"/>
      <c r="K293"/>
      <c r="L293"/>
      <c r="M293"/>
      <c r="N293"/>
      <c r="O293"/>
    </row>
    <row r="294" spans="1:15" s="324" customFormat="1">
      <c r="A294" s="379" t="s">
        <v>1747</v>
      </c>
      <c r="B294" s="816"/>
      <c r="C294" s="816"/>
      <c r="D294" s="816"/>
      <c r="E294" s="816"/>
      <c r="F294" s="816"/>
      <c r="G294" s="816"/>
      <c r="H294" s="236"/>
      <c r="I294"/>
      <c r="J294"/>
      <c r="K294"/>
      <c r="L294"/>
      <c r="M294"/>
      <c r="N294"/>
      <c r="O294"/>
    </row>
    <row r="295" spans="1:15" s="324" customFormat="1">
      <c r="A295"/>
      <c r="B295" s="342"/>
      <c r="C295" s="342"/>
      <c r="D295" s="342"/>
      <c r="E295" s="342"/>
      <c r="F295" s="342"/>
      <c r="G295" s="342"/>
      <c r="H295" s="236"/>
      <c r="I295"/>
      <c r="J295"/>
      <c r="K295"/>
      <c r="L295"/>
      <c r="M295"/>
      <c r="N295"/>
      <c r="O295"/>
    </row>
    <row r="296" spans="1:15" s="324" customFormat="1">
      <c r="A296" s="348" t="s">
        <v>1239</v>
      </c>
      <c r="H296" s="236"/>
      <c r="I296"/>
      <c r="J296"/>
      <c r="K296"/>
      <c r="L296"/>
      <c r="M296"/>
      <c r="N296"/>
      <c r="O296"/>
    </row>
    <row r="297" spans="1:15" s="324" customFormat="1">
      <c r="A297" s="330" t="s">
        <v>1608</v>
      </c>
      <c r="B297" s="330"/>
      <c r="C297" s="330"/>
      <c r="D297" s="412"/>
      <c r="E297" s="412"/>
      <c r="F297" s="412"/>
      <c r="G297" s="819" t="s">
        <v>1925</v>
      </c>
      <c r="H297" s="236"/>
      <c r="I297"/>
      <c r="J297"/>
      <c r="K297"/>
      <c r="L297"/>
      <c r="M297"/>
      <c r="N297"/>
      <c r="O297"/>
    </row>
    <row r="298" spans="1:15" s="324" customFormat="1" ht="15" customHeight="1">
      <c r="A298" s="943" t="s">
        <v>1575</v>
      </c>
      <c r="B298" s="943"/>
      <c r="C298" s="943"/>
      <c r="D298" s="943"/>
      <c r="E298" s="943"/>
      <c r="F298" s="943"/>
      <c r="G298" s="943"/>
      <c r="H298" s="236"/>
      <c r="I298"/>
      <c r="J298"/>
      <c r="K298"/>
      <c r="L298"/>
      <c r="M298"/>
      <c r="N298"/>
      <c r="O298"/>
    </row>
    <row r="299" spans="1:15" s="324" customFormat="1">
      <c r="A299" s="943"/>
      <c r="B299" s="943"/>
      <c r="C299" s="943"/>
      <c r="D299" s="943"/>
      <c r="E299" s="943"/>
      <c r="F299" s="943"/>
      <c r="G299" s="943"/>
      <c r="H299" s="236"/>
      <c r="I299"/>
      <c r="J299"/>
      <c r="K299"/>
      <c r="L299"/>
      <c r="M299"/>
      <c r="N299"/>
      <c r="O299"/>
    </row>
    <row r="300" spans="1:15" s="324" customFormat="1">
      <c r="A300" s="943"/>
      <c r="B300" s="943"/>
      <c r="C300" s="943"/>
      <c r="D300" s="943"/>
      <c r="E300" s="943"/>
      <c r="F300" s="943"/>
      <c r="G300" s="943"/>
      <c r="H300" s="236"/>
      <c r="I300"/>
      <c r="J300"/>
      <c r="K300"/>
      <c r="L300"/>
      <c r="M300"/>
      <c r="N300"/>
      <c r="O300"/>
    </row>
    <row r="301" spans="1:15" s="324" customFormat="1">
      <c r="A301" s="323"/>
      <c r="B301" s="323"/>
      <c r="C301" s="323"/>
      <c r="D301" s="323"/>
      <c r="E301" s="323"/>
      <c r="F301" s="323"/>
      <c r="G301" s="323"/>
      <c r="H301" s="236"/>
      <c r="I301"/>
      <c r="J301"/>
      <c r="K301"/>
      <c r="L301"/>
      <c r="M301"/>
      <c r="N301"/>
      <c r="O301"/>
    </row>
    <row r="302" spans="1:15" s="324" customFormat="1">
      <c r="A302" s="390" t="s">
        <v>1381</v>
      </c>
      <c r="B302" s="390"/>
      <c r="C302" s="390"/>
      <c r="D302" s="949" t="s">
        <v>1926</v>
      </c>
      <c r="E302" s="949"/>
      <c r="F302" s="949"/>
      <c r="G302" s="949"/>
      <c r="H302" s="236"/>
      <c r="I302"/>
      <c r="J302"/>
      <c r="K302"/>
      <c r="L302"/>
      <c r="M302"/>
      <c r="N302"/>
      <c r="O302"/>
    </row>
    <row r="303" spans="1:15" s="324" customFormat="1" ht="15" customHeight="1">
      <c r="A303" s="950" t="s">
        <v>1382</v>
      </c>
      <c r="B303" s="950"/>
      <c r="C303" s="950"/>
      <c r="D303" s="950"/>
      <c r="E303" s="950"/>
      <c r="F303" s="950"/>
      <c r="G303" s="950"/>
      <c r="H303" s="236"/>
      <c r="I303"/>
      <c r="J303"/>
      <c r="K303"/>
      <c r="L303"/>
      <c r="M303"/>
      <c r="N303"/>
      <c r="O303"/>
    </row>
    <row r="304" spans="1:15" s="324" customFormat="1" ht="18" customHeight="1">
      <c r="A304" s="944" t="s">
        <v>1576</v>
      </c>
      <c r="B304" s="944"/>
      <c r="C304" s="944"/>
      <c r="D304" s="944"/>
      <c r="E304" s="944"/>
      <c r="F304" s="944"/>
      <c r="G304" s="944"/>
      <c r="H304" s="236"/>
      <c r="I304"/>
      <c r="J304"/>
      <c r="K304"/>
      <c r="L304"/>
      <c r="M304"/>
      <c r="N304"/>
      <c r="O304"/>
    </row>
    <row r="305" spans="1:15" s="324" customFormat="1">
      <c r="A305" s="944"/>
      <c r="B305" s="944"/>
      <c r="C305" s="944"/>
      <c r="D305" s="944"/>
      <c r="E305" s="944"/>
      <c r="F305" s="944"/>
      <c r="G305" s="944"/>
      <c r="H305" s="236"/>
      <c r="I305"/>
      <c r="J305"/>
      <c r="K305"/>
      <c r="L305"/>
      <c r="M305"/>
      <c r="N305"/>
      <c r="O305"/>
    </row>
    <row r="306" spans="1:15" s="324" customFormat="1">
      <c r="A306" s="944"/>
      <c r="B306" s="944"/>
      <c r="C306" s="944"/>
      <c r="D306" s="944"/>
      <c r="E306" s="944"/>
      <c r="F306" s="944"/>
      <c r="G306" s="944"/>
      <c r="H306" s="236"/>
      <c r="I306"/>
      <c r="J306"/>
      <c r="K306"/>
      <c r="L306"/>
      <c r="M306"/>
      <c r="N306"/>
      <c r="O306"/>
    </row>
    <row r="307" spans="1:15" s="324" customFormat="1" ht="15" customHeight="1">
      <c r="A307" s="943" t="s">
        <v>1606</v>
      </c>
      <c r="B307" s="943"/>
      <c r="C307" s="943"/>
      <c r="D307" s="943"/>
      <c r="E307" s="943"/>
      <c r="F307" s="943"/>
      <c r="G307" s="943"/>
      <c r="H307" s="236"/>
      <c r="I307"/>
      <c r="J307"/>
      <c r="K307"/>
      <c r="L307"/>
      <c r="M307"/>
      <c r="N307"/>
      <c r="O307"/>
    </row>
    <row r="308" spans="1:15" s="324" customFormat="1">
      <c r="A308" s="943"/>
      <c r="B308" s="943"/>
      <c r="C308" s="943"/>
      <c r="D308" s="943"/>
      <c r="E308" s="943"/>
      <c r="F308" s="943"/>
      <c r="G308" s="943"/>
      <c r="H308" s="236"/>
      <c r="I308"/>
      <c r="J308"/>
      <c r="K308"/>
      <c r="L308"/>
      <c r="M308"/>
      <c r="N308"/>
      <c r="O308"/>
    </row>
    <row r="309" spans="1:15" s="324" customFormat="1">
      <c r="A309" s="943"/>
      <c r="B309" s="943"/>
      <c r="C309" s="943"/>
      <c r="D309" s="943"/>
      <c r="E309" s="943"/>
      <c r="F309" s="943"/>
      <c r="G309" s="943"/>
      <c r="H309" s="236"/>
      <c r="I309"/>
      <c r="J309"/>
      <c r="K309"/>
      <c r="L309"/>
      <c r="M309"/>
      <c r="N309"/>
      <c r="O309"/>
    </row>
    <row r="310" spans="1:15" s="324" customFormat="1" ht="15" customHeight="1">
      <c r="A310" s="938" t="s">
        <v>1383</v>
      </c>
      <c r="B310" s="938"/>
      <c r="C310" s="938"/>
      <c r="D310" s="938"/>
      <c r="E310" s="938"/>
      <c r="F310" s="938"/>
      <c r="G310" s="938"/>
      <c r="H310" s="236"/>
      <c r="I310"/>
      <c r="J310"/>
      <c r="K310"/>
      <c r="L310"/>
      <c r="M310"/>
      <c r="N310"/>
      <c r="O310"/>
    </row>
    <row r="311" spans="1:15" s="324" customFormat="1">
      <c r="A311" s="938"/>
      <c r="B311" s="938"/>
      <c r="C311" s="938"/>
      <c r="D311" s="938"/>
      <c r="E311" s="938"/>
      <c r="F311" s="938"/>
      <c r="G311" s="938"/>
      <c r="H311" s="236"/>
      <c r="I311"/>
      <c r="J311"/>
      <c r="K311"/>
      <c r="L311"/>
      <c r="M311"/>
      <c r="N311"/>
      <c r="O311"/>
    </row>
    <row r="312" spans="1:15"/>
    <row r="313" spans="1:15"/>
  </sheetData>
  <sheetProtection sheet="1" objects="1" scenarios="1"/>
  <mergeCells count="149">
    <mergeCell ref="D302:G302"/>
    <mergeCell ref="A303:G303"/>
    <mergeCell ref="A304:G306"/>
    <mergeCell ref="A307:G309"/>
    <mergeCell ref="A310:G311"/>
    <mergeCell ref="A288:G290"/>
    <mergeCell ref="A291:G292"/>
    <mergeCell ref="A293:C293"/>
    <mergeCell ref="D293:G293"/>
    <mergeCell ref="A298:G300"/>
    <mergeCell ref="A268:G269"/>
    <mergeCell ref="A284:C284"/>
    <mergeCell ref="D284:G284"/>
    <mergeCell ref="A285:G286"/>
    <mergeCell ref="A287:D287"/>
    <mergeCell ref="E287:G287"/>
    <mergeCell ref="A261:G264"/>
    <mergeCell ref="A265:C265"/>
    <mergeCell ref="D265:G265"/>
    <mergeCell ref="A267:D267"/>
    <mergeCell ref="E267:G267"/>
    <mergeCell ref="A257:G257"/>
    <mergeCell ref="A258:C258"/>
    <mergeCell ref="D258:G258"/>
    <mergeCell ref="A259:G259"/>
    <mergeCell ref="A260:D260"/>
    <mergeCell ref="E260:G260"/>
    <mergeCell ref="A250:C250"/>
    <mergeCell ref="D250:G250"/>
    <mergeCell ref="A254:C254"/>
    <mergeCell ref="A256:C256"/>
    <mergeCell ref="D256:G256"/>
    <mergeCell ref="A239:G242"/>
    <mergeCell ref="A244:G244"/>
    <mergeCell ref="A247:C247"/>
    <mergeCell ref="D247:G247"/>
    <mergeCell ref="A248:G249"/>
    <mergeCell ref="A232:G234"/>
    <mergeCell ref="A235:G235"/>
    <mergeCell ref="A236:G236"/>
    <mergeCell ref="D237:G237"/>
    <mergeCell ref="A238:G238"/>
    <mergeCell ref="A222:D222"/>
    <mergeCell ref="E222:G222"/>
    <mergeCell ref="A223:G229"/>
    <mergeCell ref="A231:D231"/>
    <mergeCell ref="E231:G231"/>
    <mergeCell ref="A211:G213"/>
    <mergeCell ref="A214:G216"/>
    <mergeCell ref="B218:F218"/>
    <mergeCell ref="B219:F219"/>
    <mergeCell ref="B220:F220"/>
    <mergeCell ref="A200:G200"/>
    <mergeCell ref="A203:D203"/>
    <mergeCell ref="E203:G203"/>
    <mergeCell ref="A206:G208"/>
    <mergeCell ref="A209:G210"/>
    <mergeCell ref="A187:G187"/>
    <mergeCell ref="D188:G188"/>
    <mergeCell ref="A189:G193"/>
    <mergeCell ref="A195:G197"/>
    <mergeCell ref="A198:G199"/>
    <mergeCell ref="A178:G181"/>
    <mergeCell ref="A183:C183"/>
    <mergeCell ref="D183:G183"/>
    <mergeCell ref="A184:G184"/>
    <mergeCell ref="A185:G186"/>
    <mergeCell ref="A169:G170"/>
    <mergeCell ref="A171:G173"/>
    <mergeCell ref="A174:G175"/>
    <mergeCell ref="A176:G176"/>
    <mergeCell ref="D177:G177"/>
    <mergeCell ref="A162:G163"/>
    <mergeCell ref="A165:G167"/>
    <mergeCell ref="D168:G168"/>
    <mergeCell ref="A134:G141"/>
    <mergeCell ref="A80:G81"/>
    <mergeCell ref="C1:G4"/>
    <mergeCell ref="A6:G7"/>
    <mergeCell ref="A46:C46"/>
    <mergeCell ref="D46:G46"/>
    <mergeCell ref="A47:G48"/>
    <mergeCell ref="A54:C54"/>
    <mergeCell ref="D54:G54"/>
    <mergeCell ref="A73:C73"/>
    <mergeCell ref="D73:G73"/>
    <mergeCell ref="A74:G75"/>
    <mergeCell ref="A76:G77"/>
    <mergeCell ref="A78:G79"/>
    <mergeCell ref="A9:C9"/>
    <mergeCell ref="D9:G9"/>
    <mergeCell ref="A10:G11"/>
    <mergeCell ref="A13:C13"/>
    <mergeCell ref="D13:G13"/>
    <mergeCell ref="A36:C36"/>
    <mergeCell ref="D36:G36"/>
    <mergeCell ref="A37:G41"/>
    <mergeCell ref="A43:C43"/>
    <mergeCell ref="D43:G43"/>
    <mergeCell ref="A44:G45"/>
    <mergeCell ref="A21:G22"/>
    <mergeCell ref="A161:B161"/>
    <mergeCell ref="C161:G161"/>
    <mergeCell ref="A101:G102"/>
    <mergeCell ref="A87:G88"/>
    <mergeCell ref="A90:C90"/>
    <mergeCell ref="D90:G90"/>
    <mergeCell ref="A91:G96"/>
    <mergeCell ref="A97:C97"/>
    <mergeCell ref="A98:G99"/>
    <mergeCell ref="A100:C100"/>
    <mergeCell ref="D100:G100"/>
    <mergeCell ref="A154:G155"/>
    <mergeCell ref="A146:C146"/>
    <mergeCell ref="D146:G146"/>
    <mergeCell ref="A147:G147"/>
    <mergeCell ref="A148:C148"/>
    <mergeCell ref="D148:G148"/>
    <mergeCell ref="E152:G152"/>
    <mergeCell ref="A103:D103"/>
    <mergeCell ref="E103:G103"/>
    <mergeCell ref="A104:G105"/>
    <mergeCell ref="A106:G108"/>
    <mergeCell ref="A109:D109"/>
    <mergeCell ref="E109:G109"/>
    <mergeCell ref="A144:G144"/>
    <mergeCell ref="A110:G112"/>
    <mergeCell ref="A113:G114"/>
    <mergeCell ref="E118:G118"/>
    <mergeCell ref="A119:G123"/>
    <mergeCell ref="A124:G124"/>
    <mergeCell ref="E126:G126"/>
    <mergeCell ref="A127:G128"/>
    <mergeCell ref="F130:G130"/>
    <mergeCell ref="A131:G133"/>
    <mergeCell ref="A142:G143"/>
    <mergeCell ref="A14:G15"/>
    <mergeCell ref="D20:G20"/>
    <mergeCell ref="A24:C24"/>
    <mergeCell ref="D24:G24"/>
    <mergeCell ref="A25:G26"/>
    <mergeCell ref="A27:G30"/>
    <mergeCell ref="A31:C31"/>
    <mergeCell ref="D31:G31"/>
    <mergeCell ref="A32:G35"/>
    <mergeCell ref="A16:C16"/>
    <mergeCell ref="D16:G16"/>
    <mergeCell ref="A17:G18"/>
    <mergeCell ref="A20:C20"/>
  </mergeCells>
  <pageMargins left="0.23622047244094491" right="0.19685039370078741" top="0.55118110236220474" bottom="0.55118110236220474" header="0.11811023622047245" footer="0.11811023622047245"/>
  <pageSetup paperSize="9" orientation="portrait" r:id="rId1"/>
  <headerFooter>
    <oddHeader>&amp;C&amp;"Arial,Gras"&amp;10Tableau de bord / Mise à jour mars 2017</oddHeader>
    <oddFooter>&amp;C&amp;"Calibri,Italique"&amp;8&amp;A&amp;R&amp;"-,Italique"&amp;8Page &amp;P</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Y80"/>
  <sheetViews>
    <sheetView workbookViewId="0">
      <pane xSplit="2" ySplit="4" topLeftCell="C5" activePane="bottomRight" state="frozen"/>
      <selection activeCell="A24" sqref="A24:U31"/>
      <selection pane="topRight" activeCell="A24" sqref="A24:U31"/>
      <selection pane="bottomLeft" activeCell="A24" sqref="A24:U31"/>
      <selection pane="bottomRight" activeCell="A24" sqref="A24:U31"/>
    </sheetView>
  </sheetViews>
  <sheetFormatPr baseColWidth="10" defaultRowHeight="15"/>
  <cols>
    <col min="1" max="1" width="11.42578125" style="10"/>
    <col min="2" max="2" width="29.42578125" style="10" bestFit="1" customWidth="1"/>
    <col min="3" max="16384" width="11.42578125" style="10"/>
  </cols>
  <sheetData>
    <row r="2" spans="1:25" s="51" customFormat="1">
      <c r="A2" s="52" t="s">
        <v>1632</v>
      </c>
      <c r="B2" s="50"/>
    </row>
    <row r="3" spans="1:25">
      <c r="C3" s="10">
        <v>2013</v>
      </c>
      <c r="D3" s="10">
        <v>2008</v>
      </c>
      <c r="G3" s="10">
        <v>2010</v>
      </c>
      <c r="I3" s="10">
        <v>2013</v>
      </c>
      <c r="J3" s="10">
        <v>2012</v>
      </c>
      <c r="K3" s="10">
        <v>2013</v>
      </c>
      <c r="L3" s="10">
        <v>2013</v>
      </c>
      <c r="M3" s="10">
        <v>2013</v>
      </c>
      <c r="N3" s="10">
        <v>2013</v>
      </c>
      <c r="O3" s="10">
        <v>2013</v>
      </c>
      <c r="P3" s="10">
        <v>2013</v>
      </c>
      <c r="Q3" s="10">
        <v>2013</v>
      </c>
      <c r="R3" s="10">
        <v>2013</v>
      </c>
      <c r="S3" s="10">
        <v>2013</v>
      </c>
      <c r="T3" s="10">
        <v>2013</v>
      </c>
      <c r="U3" s="10">
        <v>2013</v>
      </c>
      <c r="V3" s="10">
        <v>2013</v>
      </c>
      <c r="W3" s="10">
        <v>2013</v>
      </c>
      <c r="X3" s="10">
        <v>2013</v>
      </c>
    </row>
    <row r="4" spans="1:25" s="11" customFormat="1" ht="45">
      <c r="A4" s="11" t="s">
        <v>52</v>
      </c>
      <c r="B4" s="11" t="s">
        <v>53</v>
      </c>
      <c r="C4" s="11" t="s">
        <v>50</v>
      </c>
      <c r="D4" s="11" t="s">
        <v>67</v>
      </c>
      <c r="E4" s="11" t="s">
        <v>881</v>
      </c>
      <c r="F4" s="11" t="s">
        <v>873</v>
      </c>
      <c r="G4" s="11" t="s">
        <v>68</v>
      </c>
      <c r="H4" s="11" t="s">
        <v>874</v>
      </c>
      <c r="I4" s="11" t="s">
        <v>1297</v>
      </c>
      <c r="J4" s="11" t="s">
        <v>1298</v>
      </c>
      <c r="K4" s="11" t="s">
        <v>82</v>
      </c>
      <c r="L4" s="11" t="s">
        <v>83</v>
      </c>
      <c r="M4" s="14" t="s">
        <v>76</v>
      </c>
      <c r="N4" s="14" t="s">
        <v>77</v>
      </c>
      <c r="O4" s="14" t="s">
        <v>78</v>
      </c>
      <c r="P4" s="14" t="s">
        <v>79</v>
      </c>
      <c r="Q4" s="14" t="s">
        <v>80</v>
      </c>
      <c r="R4" s="14" t="s">
        <v>81</v>
      </c>
      <c r="S4" s="14" t="s">
        <v>879</v>
      </c>
      <c r="T4" s="15" t="s">
        <v>84</v>
      </c>
      <c r="U4" s="15" t="s">
        <v>1695</v>
      </c>
      <c r="V4" s="15" t="s">
        <v>85</v>
      </c>
      <c r="W4" s="15" t="s">
        <v>86</v>
      </c>
      <c r="X4" s="15" t="s">
        <v>1696</v>
      </c>
      <c r="Y4" s="15"/>
    </row>
    <row r="5" spans="1:25">
      <c r="A5" s="10" t="s">
        <v>88</v>
      </c>
      <c r="B5" s="10" t="s">
        <v>89</v>
      </c>
      <c r="C5" s="646">
        <v>497073</v>
      </c>
      <c r="D5" s="646">
        <v>485872</v>
      </c>
      <c r="E5" s="10">
        <f>C5-D5</f>
        <v>11201</v>
      </c>
      <c r="F5" s="203">
        <f>+RATE((2013-2008),,-D5,C5)</f>
        <v>4.5687413936251128E-3</v>
      </c>
      <c r="G5" s="10">
        <v>2395.8199999999988</v>
      </c>
      <c r="H5" s="10">
        <f>C5/G5</f>
        <v>207.4751024701356</v>
      </c>
      <c r="I5" s="646">
        <v>18334</v>
      </c>
      <c r="J5" s="10">
        <v>17988</v>
      </c>
      <c r="K5" s="646">
        <v>224187.49912372601</v>
      </c>
      <c r="L5" s="646">
        <v>310568.14199916401</v>
      </c>
      <c r="M5" s="646">
        <v>4135.3385784522898</v>
      </c>
      <c r="N5" s="646">
        <v>17712.3583958786</v>
      </c>
      <c r="O5" s="646">
        <v>24607.1954460208</v>
      </c>
      <c r="P5" s="646">
        <v>47364.918450340097</v>
      </c>
      <c r="Q5" s="646">
        <v>53400.2079389153</v>
      </c>
      <c r="R5" s="646">
        <v>40449.651953535104</v>
      </c>
      <c r="S5" s="646">
        <v>187946.24811389801</v>
      </c>
      <c r="T5" s="646">
        <v>367810.39442928898</v>
      </c>
      <c r="U5" s="646">
        <v>128324.50711093799</v>
      </c>
      <c r="V5" s="646">
        <v>87646.130317336996</v>
      </c>
      <c r="W5" s="646">
        <v>61067.408495634001</v>
      </c>
      <c r="X5" s="646">
        <v>90772.348505379297</v>
      </c>
    </row>
    <row r="6" spans="1:25" s="777" customFormat="1">
      <c r="A6" s="777" t="s">
        <v>5</v>
      </c>
      <c r="B6" s="777" t="s">
        <v>6</v>
      </c>
      <c r="C6" s="777">
        <v>1254121</v>
      </c>
      <c r="D6" s="777">
        <v>1181140</v>
      </c>
      <c r="E6" s="777">
        <f t="shared" ref="E6:E38" si="0">C6-D6</f>
        <v>72981</v>
      </c>
      <c r="F6" s="778">
        <f t="shared" ref="F6:F38" si="1">+RATE((2013-2008),,-D6,C6)</f>
        <v>1.2063150904048128E-2</v>
      </c>
      <c r="G6" s="777">
        <v>6647.8199999999952</v>
      </c>
      <c r="H6" s="777">
        <f>C6/G6</f>
        <v>188.65146769918573</v>
      </c>
      <c r="I6" s="777">
        <v>21162</v>
      </c>
      <c r="J6" s="777">
        <v>20724</v>
      </c>
      <c r="K6" s="777">
        <v>606674.25850848202</v>
      </c>
      <c r="L6" s="777">
        <v>831476.67488892598</v>
      </c>
      <c r="M6" s="777">
        <v>5205.0014376388799</v>
      </c>
      <c r="N6" s="777">
        <v>35498.945880906802</v>
      </c>
      <c r="O6" s="777">
        <v>99645.366263293399</v>
      </c>
      <c r="P6" s="777">
        <v>146160.26047082001</v>
      </c>
      <c r="Q6" s="777">
        <v>147855.82698308499</v>
      </c>
      <c r="R6" s="777">
        <v>96520.090713726197</v>
      </c>
      <c r="S6" s="777">
        <v>530625.47933047602</v>
      </c>
      <c r="T6" s="777">
        <v>898236.72633597394</v>
      </c>
      <c r="U6" s="777">
        <v>244711.15011936001</v>
      </c>
      <c r="V6" s="777">
        <v>217069.34096731301</v>
      </c>
      <c r="W6" s="777">
        <v>156396.635218685</v>
      </c>
      <c r="X6" s="777">
        <v>280059.60003061499</v>
      </c>
    </row>
    <row r="7" spans="1:25">
      <c r="A7" s="12" t="s">
        <v>87</v>
      </c>
      <c r="B7" s="10" t="s">
        <v>1406</v>
      </c>
      <c r="C7" s="646">
        <v>361445</v>
      </c>
      <c r="D7" s="646">
        <v>365086</v>
      </c>
      <c r="E7" s="10">
        <f t="shared" si="0"/>
        <v>-3641</v>
      </c>
      <c r="F7" s="203">
        <f t="shared" si="1"/>
        <v>-2.002603326631647E-3</v>
      </c>
      <c r="G7" s="10">
        <v>318.11999999999995</v>
      </c>
      <c r="H7" s="10">
        <f t="shared" ref="H7:H38" si="2">C7/G7</f>
        <v>1136.1907456305798</v>
      </c>
      <c r="I7" s="646">
        <v>15344</v>
      </c>
      <c r="J7" s="10">
        <v>14890</v>
      </c>
      <c r="K7" s="646">
        <v>153539.09960622099</v>
      </c>
      <c r="L7" s="646">
        <v>230958.42449412099</v>
      </c>
      <c r="M7" s="646">
        <v>186.011983310418</v>
      </c>
      <c r="N7" s="646">
        <v>5042.4599012948902</v>
      </c>
      <c r="O7" s="646">
        <v>9647.4791384127802</v>
      </c>
      <c r="P7" s="646">
        <v>29511.465159242602</v>
      </c>
      <c r="Q7" s="646">
        <v>39575.202657171802</v>
      </c>
      <c r="R7" s="646">
        <v>37809.314652539797</v>
      </c>
      <c r="S7" s="646">
        <v>121490.054571734</v>
      </c>
      <c r="T7" s="646">
        <v>259503.99339656401</v>
      </c>
      <c r="U7" s="646">
        <v>109253.64722900699</v>
      </c>
      <c r="V7" s="646">
        <v>70234.311099072002</v>
      </c>
      <c r="W7" s="646">
        <v>41024.665300285102</v>
      </c>
      <c r="X7" s="646">
        <v>38991.3697682005</v>
      </c>
    </row>
    <row r="8" spans="1:25">
      <c r="A8" s="10" t="s">
        <v>7</v>
      </c>
      <c r="B8" s="10" t="s">
        <v>8</v>
      </c>
      <c r="C8" s="646">
        <v>811076</v>
      </c>
      <c r="D8" s="646">
        <v>787822</v>
      </c>
      <c r="E8" s="10">
        <f t="shared" si="0"/>
        <v>23254</v>
      </c>
      <c r="F8" s="203">
        <f t="shared" si="1"/>
        <v>5.8348739832092059E-3</v>
      </c>
      <c r="G8" s="10">
        <v>5637.8500000000013</v>
      </c>
      <c r="H8" s="10">
        <f t="shared" si="2"/>
        <v>143.86264267406898</v>
      </c>
      <c r="I8" s="646">
        <v>21566</v>
      </c>
      <c r="J8" s="10">
        <v>21114</v>
      </c>
      <c r="K8" s="646">
        <v>386239.306408239</v>
      </c>
      <c r="L8" s="646">
        <v>523789.50983704702</v>
      </c>
      <c r="M8" s="646">
        <v>2797.2899997299</v>
      </c>
      <c r="N8" s="646">
        <v>21326.377388073499</v>
      </c>
      <c r="O8" s="646">
        <v>77151.282979477794</v>
      </c>
      <c r="P8" s="646">
        <v>94568.709502396101</v>
      </c>
      <c r="Q8" s="646">
        <v>86962.233553522005</v>
      </c>
      <c r="R8" s="646">
        <v>61455.867752211001</v>
      </c>
      <c r="S8" s="646">
        <v>343709.473589373</v>
      </c>
      <c r="T8" s="646">
        <v>571568.21631974506</v>
      </c>
      <c r="U8" s="646">
        <v>158862.60773407301</v>
      </c>
      <c r="V8" s="646">
        <v>121380.51422921399</v>
      </c>
      <c r="W8" s="646">
        <v>92194.555704495098</v>
      </c>
      <c r="X8" s="646">
        <v>199130.53865196201</v>
      </c>
    </row>
    <row r="9" spans="1:25">
      <c r="A9" s="10" t="s">
        <v>9</v>
      </c>
      <c r="B9" s="10" t="s">
        <v>10</v>
      </c>
      <c r="C9" s="646">
        <v>800629</v>
      </c>
      <c r="D9" s="646">
        <v>779871</v>
      </c>
      <c r="E9" s="10">
        <f t="shared" si="0"/>
        <v>20758</v>
      </c>
      <c r="F9" s="203">
        <f t="shared" si="1"/>
        <v>5.2676550327465715E-3</v>
      </c>
      <c r="G9" s="10">
        <v>660.95</v>
      </c>
      <c r="H9" s="10">
        <f t="shared" si="2"/>
        <v>1211.3306604130416</v>
      </c>
      <c r="I9" s="646">
        <v>20390</v>
      </c>
      <c r="J9" s="10">
        <v>19906</v>
      </c>
      <c r="K9" s="646">
        <v>381881.32094548101</v>
      </c>
      <c r="L9" s="646">
        <v>544065.35040835699</v>
      </c>
      <c r="M9" s="646">
        <v>824.22997043210205</v>
      </c>
      <c r="N9" s="646">
        <v>14687.6301337555</v>
      </c>
      <c r="O9" s="646">
        <v>81302.033502718594</v>
      </c>
      <c r="P9" s="646">
        <v>93225.699461644399</v>
      </c>
      <c r="Q9" s="646">
        <v>86189.123072461894</v>
      </c>
      <c r="R9" s="646">
        <v>49520.235471112501</v>
      </c>
      <c r="S9" s="646">
        <v>325822.34181776998</v>
      </c>
      <c r="T9" s="646">
        <v>538851.709992441</v>
      </c>
      <c r="U9" s="646">
        <v>162413.58802701501</v>
      </c>
      <c r="V9" s="646">
        <v>99504.051652019698</v>
      </c>
      <c r="W9" s="646">
        <v>83846.628759421001</v>
      </c>
      <c r="X9" s="646">
        <v>193087.44155398599</v>
      </c>
    </row>
    <row r="10" spans="1:25">
      <c r="A10" s="10" t="s">
        <v>11</v>
      </c>
      <c r="B10" s="10" t="s">
        <v>12</v>
      </c>
      <c r="C10" s="646">
        <v>1777679</v>
      </c>
      <c r="D10" s="646">
        <v>1685906</v>
      </c>
      <c r="E10" s="10">
        <f t="shared" si="0"/>
        <v>91773</v>
      </c>
      <c r="F10" s="203">
        <f t="shared" si="1"/>
        <v>1.0657485920829471E-2</v>
      </c>
      <c r="G10" s="10">
        <v>3098.1</v>
      </c>
      <c r="H10" s="10">
        <f t="shared" si="2"/>
        <v>573.79652044801651</v>
      </c>
      <c r="I10" s="646">
        <v>21456</v>
      </c>
      <c r="J10" s="10">
        <v>21096</v>
      </c>
      <c r="K10" s="646">
        <v>856813.76413453196</v>
      </c>
      <c r="L10" s="646">
        <v>1162163.9920334001</v>
      </c>
      <c r="M10" s="646">
        <v>3955.9910590403001</v>
      </c>
      <c r="N10" s="646">
        <v>43595.242556578698</v>
      </c>
      <c r="O10" s="646">
        <v>170603.49628453099</v>
      </c>
      <c r="P10" s="646">
        <v>212434.84632145101</v>
      </c>
      <c r="Q10" s="646">
        <v>192905.09384014501</v>
      </c>
      <c r="R10" s="646">
        <v>127037.333852696</v>
      </c>
      <c r="S10" s="646">
        <v>750000.705384081</v>
      </c>
      <c r="T10" s="646">
        <v>1226954.9323110699</v>
      </c>
      <c r="U10" s="646">
        <v>353179.14850414102</v>
      </c>
      <c r="V10" s="646">
        <v>245450.392044042</v>
      </c>
      <c r="W10" s="646">
        <v>199990.20284425901</v>
      </c>
      <c r="X10" s="646">
        <v>428335.18891862599</v>
      </c>
    </row>
    <row r="11" spans="1:25">
      <c r="A11" s="10" t="s">
        <v>13</v>
      </c>
      <c r="B11" s="10" t="s">
        <v>54</v>
      </c>
      <c r="C11" s="646">
        <v>1310252</v>
      </c>
      <c r="D11" s="646">
        <v>1299767</v>
      </c>
      <c r="E11" s="10">
        <f t="shared" si="0"/>
        <v>10485</v>
      </c>
      <c r="F11" s="203">
        <f t="shared" si="1"/>
        <v>1.6081852433078915E-3</v>
      </c>
      <c r="G11" s="10">
        <v>1537.67</v>
      </c>
      <c r="H11" s="10">
        <f t="shared" si="2"/>
        <v>852.10220658528806</v>
      </c>
      <c r="I11" s="646">
        <v>19432</v>
      </c>
      <c r="J11" s="10">
        <v>19098</v>
      </c>
      <c r="K11" s="646">
        <v>571099.20734297496</v>
      </c>
      <c r="L11" s="646">
        <v>828258.76459199004</v>
      </c>
      <c r="M11" s="646">
        <v>818.99569984459094</v>
      </c>
      <c r="N11" s="646">
        <v>31190.275083562399</v>
      </c>
      <c r="O11" s="646">
        <v>90907.503261611302</v>
      </c>
      <c r="P11" s="646">
        <v>134924.43297937399</v>
      </c>
      <c r="Q11" s="646">
        <v>143985.058410406</v>
      </c>
      <c r="R11" s="646">
        <v>76530.929652811101</v>
      </c>
      <c r="S11" s="646">
        <v>478166.94128297199</v>
      </c>
      <c r="T11" s="646">
        <v>945127.40965622803</v>
      </c>
      <c r="U11" s="646">
        <v>324329.95391642698</v>
      </c>
      <c r="V11" s="646">
        <v>192454.444867493</v>
      </c>
      <c r="W11" s="646">
        <v>158554.703663469</v>
      </c>
      <c r="X11" s="646">
        <v>269788.30720883899</v>
      </c>
    </row>
    <row r="12" spans="1:25">
      <c r="A12" s="10" t="s">
        <v>14</v>
      </c>
      <c r="B12" s="10" t="s">
        <v>15</v>
      </c>
      <c r="C12" s="646">
        <v>653632</v>
      </c>
      <c r="D12" s="646">
        <v>608565</v>
      </c>
      <c r="E12" s="10">
        <f t="shared" si="0"/>
        <v>45067</v>
      </c>
      <c r="F12" s="203">
        <f t="shared" si="1"/>
        <v>1.4390718623194503E-2</v>
      </c>
      <c r="G12" s="10">
        <v>2006.7799999999993</v>
      </c>
      <c r="H12" s="10">
        <f t="shared" si="2"/>
        <v>325.71183687300066</v>
      </c>
      <c r="I12" s="646">
        <v>20046</v>
      </c>
      <c r="J12" s="10">
        <v>19762</v>
      </c>
      <c r="K12" s="646">
        <v>303851.44280190201</v>
      </c>
      <c r="L12" s="646">
        <v>435436.15924246103</v>
      </c>
      <c r="M12" s="646">
        <v>1692.10776790875</v>
      </c>
      <c r="N12" s="646">
        <v>19296.259296870699</v>
      </c>
      <c r="O12" s="646">
        <v>55425.524499177402</v>
      </c>
      <c r="P12" s="646">
        <v>73982.597670648</v>
      </c>
      <c r="Q12" s="646">
        <v>68475.756287100507</v>
      </c>
      <c r="R12" s="646">
        <v>35153.372790344903</v>
      </c>
      <c r="S12" s="646">
        <v>254207.271543902</v>
      </c>
      <c r="T12" s="646">
        <v>454484.13399342803</v>
      </c>
      <c r="U12" s="646">
        <v>124304.148690652</v>
      </c>
      <c r="V12" s="646">
        <v>81954.843100411701</v>
      </c>
      <c r="W12" s="646">
        <v>82877.475146966593</v>
      </c>
      <c r="X12" s="646">
        <v>165347.66705539799</v>
      </c>
    </row>
    <row r="13" spans="1:25">
      <c r="A13" s="10" t="s">
        <v>16</v>
      </c>
      <c r="B13" s="10" t="s">
        <v>17</v>
      </c>
      <c r="C13" s="646">
        <v>1047035</v>
      </c>
      <c r="D13" s="646">
        <v>982124</v>
      </c>
      <c r="E13" s="10">
        <f t="shared" si="0"/>
        <v>64911</v>
      </c>
      <c r="F13" s="203">
        <f t="shared" si="1"/>
        <v>1.2882283988568943E-2</v>
      </c>
      <c r="G13" s="10">
        <v>4900.2199999999984</v>
      </c>
      <c r="H13" s="10">
        <f t="shared" si="2"/>
        <v>213.67101885221487</v>
      </c>
      <c r="I13" s="646">
        <v>21034</v>
      </c>
      <c r="J13" s="10">
        <v>20550</v>
      </c>
      <c r="K13" s="646">
        <v>514333.46043477202</v>
      </c>
      <c r="L13" s="646">
        <v>683912.480062227</v>
      </c>
      <c r="M13" s="646">
        <v>6122.5345482897901</v>
      </c>
      <c r="N13" s="646">
        <v>24946.230747038</v>
      </c>
      <c r="O13" s="646">
        <v>86909.689885057494</v>
      </c>
      <c r="P13" s="646">
        <v>128685.470962037</v>
      </c>
      <c r="Q13" s="646">
        <v>118786.609283167</v>
      </c>
      <c r="R13" s="646">
        <v>93462.365972678293</v>
      </c>
      <c r="S13" s="646">
        <v>458803.00000349298</v>
      </c>
      <c r="T13" s="646">
        <v>731527.52728915401</v>
      </c>
      <c r="U13" s="646">
        <v>179226.59154942699</v>
      </c>
      <c r="V13" s="646">
        <v>189484.97889640499</v>
      </c>
      <c r="W13" s="646">
        <v>128406.41524557301</v>
      </c>
      <c r="X13" s="646">
        <v>234409.541597748</v>
      </c>
    </row>
    <row r="14" spans="1:25">
      <c r="A14" s="10" t="s">
        <v>18</v>
      </c>
      <c r="B14" s="10" t="s">
        <v>19</v>
      </c>
      <c r="C14" s="646">
        <v>618370</v>
      </c>
      <c r="D14" s="646">
        <v>621698</v>
      </c>
      <c r="E14" s="10">
        <f t="shared" si="0"/>
        <v>-3328</v>
      </c>
      <c r="F14" s="203">
        <f t="shared" si="1"/>
        <v>-1.07291610903626E-3</v>
      </c>
      <c r="G14" s="10">
        <v>3430.2800000000011</v>
      </c>
      <c r="H14" s="10">
        <f t="shared" si="2"/>
        <v>180.26808307193576</v>
      </c>
      <c r="I14" s="646">
        <v>20488</v>
      </c>
      <c r="J14" s="10">
        <v>20342</v>
      </c>
      <c r="K14" s="646">
        <v>278067.25603344402</v>
      </c>
      <c r="L14" s="646">
        <v>382279.29383582802</v>
      </c>
      <c r="M14" s="646">
        <v>968.178758112521</v>
      </c>
      <c r="N14" s="646">
        <v>22440.416283718499</v>
      </c>
      <c r="O14" s="646">
        <v>42545.162013609399</v>
      </c>
      <c r="P14" s="646">
        <v>62447.430221740899</v>
      </c>
      <c r="Q14" s="646">
        <v>75566.913589170203</v>
      </c>
      <c r="R14" s="646">
        <v>38050.948505680601</v>
      </c>
      <c r="S14" s="646">
        <v>241917.844198134</v>
      </c>
      <c r="T14" s="646">
        <v>465047.21412963001</v>
      </c>
      <c r="U14" s="646">
        <v>149982.746687509</v>
      </c>
      <c r="V14" s="646">
        <v>93595.290304154405</v>
      </c>
      <c r="W14" s="646">
        <v>84406.982241526493</v>
      </c>
      <c r="X14" s="646">
        <v>137062.19489643999</v>
      </c>
    </row>
    <row r="15" spans="1:25">
      <c r="A15" s="10" t="s">
        <v>20</v>
      </c>
      <c r="B15" s="10" t="s">
        <v>21</v>
      </c>
      <c r="C15" s="646">
        <v>791601</v>
      </c>
      <c r="D15" s="646">
        <v>741851</v>
      </c>
      <c r="E15" s="10">
        <f t="shared" si="0"/>
        <v>49750</v>
      </c>
      <c r="F15" s="203">
        <f t="shared" si="1"/>
        <v>1.3066442069558402E-2</v>
      </c>
      <c r="G15" s="10">
        <v>5476.4299999999976</v>
      </c>
      <c r="H15" s="10">
        <f t="shared" si="2"/>
        <v>144.54690373108033</v>
      </c>
      <c r="I15" s="646">
        <v>20798</v>
      </c>
      <c r="J15" s="10">
        <v>20358</v>
      </c>
      <c r="K15" s="646">
        <v>382926.364338652</v>
      </c>
      <c r="L15" s="646">
        <v>520806.36908269301</v>
      </c>
      <c r="M15" s="646">
        <v>7646.5693391529003</v>
      </c>
      <c r="N15" s="646">
        <v>17280.157957159201</v>
      </c>
      <c r="O15" s="646">
        <v>65716.022113017403</v>
      </c>
      <c r="P15" s="646">
        <v>91424.896934937497</v>
      </c>
      <c r="Q15" s="646">
        <v>89976.267134142894</v>
      </c>
      <c r="R15" s="646">
        <v>72195.869091505694</v>
      </c>
      <c r="S15" s="646">
        <v>344267.762559522</v>
      </c>
      <c r="T15" s="646">
        <v>537963.41923839902</v>
      </c>
      <c r="U15" s="646">
        <v>143386.26112603399</v>
      </c>
      <c r="V15" s="646">
        <v>127744.183642602</v>
      </c>
      <c r="W15" s="646">
        <v>93708.832165721993</v>
      </c>
      <c r="X15" s="646">
        <v>173124.14230404099</v>
      </c>
    </row>
    <row r="16" spans="1:25">
      <c r="A16" s="10" t="s">
        <v>22</v>
      </c>
      <c r="B16" s="10" t="s">
        <v>23</v>
      </c>
      <c r="C16" s="646">
        <v>831597</v>
      </c>
      <c r="D16" s="646">
        <v>816214</v>
      </c>
      <c r="E16" s="10">
        <f t="shared" si="0"/>
        <v>15383</v>
      </c>
      <c r="F16" s="203">
        <f t="shared" si="1"/>
        <v>3.7412556885479922E-3</v>
      </c>
      <c r="G16" s="10">
        <v>4303.5600000000049</v>
      </c>
      <c r="H16" s="10">
        <f t="shared" si="2"/>
        <v>193.23467083066092</v>
      </c>
      <c r="I16" s="646">
        <v>20068</v>
      </c>
      <c r="J16" s="10">
        <v>19616</v>
      </c>
      <c r="K16" s="646">
        <v>389872.14633143099</v>
      </c>
      <c r="L16" s="646">
        <v>537180.55246636504</v>
      </c>
      <c r="M16" s="646">
        <v>3134.3139459532699</v>
      </c>
      <c r="N16" s="646">
        <v>16887.239075380399</v>
      </c>
      <c r="O16" s="646">
        <v>48756.163459130497</v>
      </c>
      <c r="P16" s="646">
        <v>90565.906829606596</v>
      </c>
      <c r="Q16" s="646">
        <v>95143.672239200605</v>
      </c>
      <c r="R16" s="646">
        <v>80474.139627507393</v>
      </c>
      <c r="S16" s="646">
        <v>334843.10260444501</v>
      </c>
      <c r="T16" s="646">
        <v>595335.84049659304</v>
      </c>
      <c r="U16" s="646">
        <v>208278.07683089899</v>
      </c>
      <c r="V16" s="646">
        <v>154037.33938074799</v>
      </c>
      <c r="W16" s="646">
        <v>93647.426498059707</v>
      </c>
      <c r="X16" s="646">
        <v>139372.99778688699</v>
      </c>
    </row>
    <row r="17" spans="1:24">
      <c r="A17" s="10" t="s">
        <v>24</v>
      </c>
      <c r="B17" s="10" t="s">
        <v>25</v>
      </c>
      <c r="C17" s="646">
        <v>579865</v>
      </c>
      <c r="D17" s="646">
        <v>569332</v>
      </c>
      <c r="E17" s="10">
        <f t="shared" si="0"/>
        <v>10533</v>
      </c>
      <c r="F17" s="203">
        <f t="shared" si="1"/>
        <v>3.6730439673750628E-3</v>
      </c>
      <c r="G17" s="10">
        <v>850.79999999999984</v>
      </c>
      <c r="H17" s="10">
        <f t="shared" si="2"/>
        <v>681.55265632346038</v>
      </c>
      <c r="I17" s="646">
        <v>20792</v>
      </c>
      <c r="J17" s="10">
        <v>20536</v>
      </c>
      <c r="K17" s="646">
        <v>279145.80928796099</v>
      </c>
      <c r="L17" s="646">
        <v>390148.10991035798</v>
      </c>
      <c r="M17" s="646">
        <v>860.00630512170699</v>
      </c>
      <c r="N17" s="646">
        <v>11288.3573834284</v>
      </c>
      <c r="O17" s="646">
        <v>52645.818955906099</v>
      </c>
      <c r="P17" s="646">
        <v>66405.059527622201</v>
      </c>
      <c r="Q17" s="646">
        <v>63183.727954558199</v>
      </c>
      <c r="R17" s="646">
        <v>45583.675364344301</v>
      </c>
      <c r="S17" s="646">
        <v>239680.07894262299</v>
      </c>
      <c r="T17" s="646">
        <v>403789.28864257003</v>
      </c>
      <c r="U17" s="646">
        <v>108300.22542827</v>
      </c>
      <c r="V17" s="646">
        <v>99981.831768747899</v>
      </c>
      <c r="W17" s="646">
        <v>62677.940441925399</v>
      </c>
      <c r="X17" s="646">
        <v>132829.29100362599</v>
      </c>
    </row>
    <row r="18" spans="1:24">
      <c r="A18" s="10" t="s">
        <v>51</v>
      </c>
      <c r="B18" s="10" t="s">
        <v>55</v>
      </c>
      <c r="C18" s="646">
        <v>610386</v>
      </c>
      <c r="D18" s="646">
        <v>603699</v>
      </c>
      <c r="E18" s="10">
        <f t="shared" si="0"/>
        <v>6687</v>
      </c>
      <c r="F18" s="203">
        <f t="shared" si="1"/>
        <v>2.2055916623851639E-3</v>
      </c>
      <c r="G18" s="10">
        <v>1794.4399999999991</v>
      </c>
      <c r="H18" s="10">
        <f t="shared" si="2"/>
        <v>340.15403134125427</v>
      </c>
      <c r="I18" s="646">
        <v>20084</v>
      </c>
      <c r="J18" s="10">
        <v>19693</v>
      </c>
      <c r="K18" s="646">
        <v>260250.52567782399</v>
      </c>
      <c r="L18" s="646">
        <v>370103.84070545703</v>
      </c>
      <c r="M18" s="646">
        <v>1606.1384585400201</v>
      </c>
      <c r="N18" s="646">
        <v>19065.626759635001</v>
      </c>
      <c r="O18" s="646">
        <v>30156.0546827779</v>
      </c>
      <c r="P18" s="646">
        <v>60217.528969081002</v>
      </c>
      <c r="Q18" s="646">
        <v>74117.299902150306</v>
      </c>
      <c r="R18" s="646">
        <v>36371.695475636101</v>
      </c>
      <c r="S18" s="646">
        <v>221969.09059669299</v>
      </c>
      <c r="T18" s="646">
        <v>467791.93817040097</v>
      </c>
      <c r="U18" s="646">
        <v>151735.43540704701</v>
      </c>
      <c r="V18" s="646">
        <v>108730.052399027</v>
      </c>
      <c r="W18" s="646">
        <v>90618.4010956071</v>
      </c>
      <c r="X18" s="646">
        <v>116708.04926872</v>
      </c>
    </row>
    <row r="19" spans="1:24">
      <c r="A19" s="10" t="s">
        <v>26</v>
      </c>
      <c r="B19" s="10" t="s">
        <v>27</v>
      </c>
      <c r="C19" s="646">
        <v>1429103</v>
      </c>
      <c r="D19" s="646">
        <v>1335282</v>
      </c>
      <c r="E19" s="10">
        <f t="shared" si="0"/>
        <v>93821</v>
      </c>
      <c r="F19" s="203">
        <f t="shared" si="1"/>
        <v>1.3673533083640126E-2</v>
      </c>
      <c r="G19" s="10">
        <v>8752.0099999999984</v>
      </c>
      <c r="H19" s="10">
        <f t="shared" si="2"/>
        <v>163.28854743081877</v>
      </c>
      <c r="I19" s="646">
        <v>21668</v>
      </c>
      <c r="J19" s="10">
        <v>21272</v>
      </c>
      <c r="K19" s="646">
        <v>711700.83704074204</v>
      </c>
      <c r="L19" s="646">
        <v>951646.22090723203</v>
      </c>
      <c r="M19" s="646">
        <v>6754.1707400319601</v>
      </c>
      <c r="N19" s="646">
        <v>37918.773310835597</v>
      </c>
      <c r="O19" s="646">
        <v>151498.899790266</v>
      </c>
      <c r="P19" s="646">
        <v>175617.22805941201</v>
      </c>
      <c r="Q19" s="646">
        <v>156065.173141529</v>
      </c>
      <c r="R19" s="646">
        <v>93648.186437255295</v>
      </c>
      <c r="S19" s="646">
        <v>621656.86494457105</v>
      </c>
      <c r="T19" s="646">
        <v>1008279.20748725</v>
      </c>
      <c r="U19" s="646">
        <v>252331.33404429501</v>
      </c>
      <c r="V19" s="646">
        <v>203290.775932683</v>
      </c>
      <c r="W19" s="646">
        <v>177099.84254566001</v>
      </c>
      <c r="X19" s="646">
        <v>375557.254964608</v>
      </c>
    </row>
    <row r="20" spans="1:24">
      <c r="A20" s="10" t="s">
        <v>28</v>
      </c>
      <c r="B20" s="10" t="s">
        <v>29</v>
      </c>
      <c r="C20" s="646">
        <v>2237676</v>
      </c>
      <c r="D20" s="646">
        <v>2116688</v>
      </c>
      <c r="E20" s="10">
        <f t="shared" si="0"/>
        <v>120988</v>
      </c>
      <c r="F20" s="203">
        <f t="shared" si="1"/>
        <v>1.1179068844442554E-2</v>
      </c>
      <c r="G20" s="10">
        <v>6016.5999999999995</v>
      </c>
      <c r="H20" s="10">
        <f t="shared" si="2"/>
        <v>371.91702955157399</v>
      </c>
      <c r="I20" s="646">
        <v>21492</v>
      </c>
      <c r="J20" s="10">
        <v>21098</v>
      </c>
      <c r="K20" s="646">
        <v>1082343.2963721999</v>
      </c>
      <c r="L20" s="646">
        <v>1455146.8604387001</v>
      </c>
      <c r="M20" s="646">
        <v>6906.2887813240304</v>
      </c>
      <c r="N20" s="646">
        <v>57970.239686898298</v>
      </c>
      <c r="O20" s="646">
        <v>202729.35554843</v>
      </c>
      <c r="P20" s="646">
        <v>268999.94274062099</v>
      </c>
      <c r="Q20" s="646">
        <v>243229.42058713801</v>
      </c>
      <c r="R20" s="646">
        <v>172233.966830169</v>
      </c>
      <c r="S20" s="646">
        <v>952448.28859524499</v>
      </c>
      <c r="T20" s="646">
        <v>1550654.0255599599</v>
      </c>
      <c r="U20" s="646">
        <v>445243.062472319</v>
      </c>
      <c r="V20" s="646">
        <v>329862.01772281999</v>
      </c>
      <c r="W20" s="646">
        <v>257896.799884665</v>
      </c>
      <c r="X20" s="646">
        <v>517652.145480156</v>
      </c>
    </row>
    <row r="21" spans="1:24">
      <c r="A21" s="10" t="s">
        <v>30</v>
      </c>
      <c r="B21" s="10" t="s">
        <v>485</v>
      </c>
      <c r="C21" s="646">
        <v>1734277.0025211901</v>
      </c>
      <c r="D21" s="646">
        <v>1715096</v>
      </c>
      <c r="E21" s="10">
        <f t="shared" si="0"/>
        <v>19181.002521190094</v>
      </c>
      <c r="F21" s="203">
        <f t="shared" si="1"/>
        <v>2.2267871315940491E-3</v>
      </c>
      <c r="G21" s="10">
        <v>3173.4999999999986</v>
      </c>
      <c r="H21" s="10">
        <f t="shared" si="2"/>
        <v>546.48716008230372</v>
      </c>
      <c r="I21" s="646">
        <v>20112</v>
      </c>
      <c r="J21" s="10">
        <v>19734</v>
      </c>
      <c r="K21" s="646">
        <v>770031.74171275203</v>
      </c>
      <c r="L21" s="646">
        <v>1108587.3981570599</v>
      </c>
      <c r="M21" s="646">
        <v>1793.43383488064</v>
      </c>
      <c r="N21" s="646">
        <v>42385.022137490902</v>
      </c>
      <c r="O21" s="646">
        <v>126993.36451044399</v>
      </c>
      <c r="P21" s="646">
        <v>183394.416950488</v>
      </c>
      <c r="Q21" s="646">
        <v>190420.667170781</v>
      </c>
      <c r="R21" s="646">
        <v>105610.39429018</v>
      </c>
      <c r="S21" s="646">
        <v>650554.73893784406</v>
      </c>
      <c r="T21" s="646">
        <v>1247038.0149345801</v>
      </c>
      <c r="U21" s="646">
        <v>409402.93078836799</v>
      </c>
      <c r="V21" s="646">
        <v>256465.38433654801</v>
      </c>
      <c r="W21" s="646">
        <v>210328.49258866001</v>
      </c>
      <c r="X21" s="646">
        <v>370841.20722100302</v>
      </c>
    </row>
    <row r="22" spans="1:24">
      <c r="A22" s="10" t="s">
        <v>31</v>
      </c>
      <c r="B22" s="10" t="s">
        <v>32</v>
      </c>
      <c r="C22" s="646">
        <v>1291517</v>
      </c>
      <c r="D22" s="646">
        <v>1202889</v>
      </c>
      <c r="E22" s="10">
        <f t="shared" si="0"/>
        <v>88628</v>
      </c>
      <c r="F22" s="203">
        <f t="shared" si="1"/>
        <v>1.4319826928487784E-2</v>
      </c>
      <c r="G22" s="10">
        <v>5381.4900000000071</v>
      </c>
      <c r="H22" s="10">
        <f t="shared" si="2"/>
        <v>239.99245562102658</v>
      </c>
      <c r="I22" s="646">
        <v>22148</v>
      </c>
      <c r="J22" s="10">
        <v>21760</v>
      </c>
      <c r="K22" s="646">
        <v>652110.06303573004</v>
      </c>
      <c r="L22" s="646">
        <v>870242.057499605</v>
      </c>
      <c r="M22" s="646">
        <v>3825.2861135676299</v>
      </c>
      <c r="N22" s="646">
        <v>33107.506660254803</v>
      </c>
      <c r="O22" s="646">
        <v>145835.90789302799</v>
      </c>
      <c r="P22" s="646">
        <v>163507.69541711401</v>
      </c>
      <c r="Q22" s="646">
        <v>141189.46571781801</v>
      </c>
      <c r="R22" s="646">
        <v>82289.293550492497</v>
      </c>
      <c r="S22" s="646">
        <v>570012.99181795004</v>
      </c>
      <c r="T22" s="646">
        <v>903164.41837137402</v>
      </c>
      <c r="U22" s="646">
        <v>214571.99637323199</v>
      </c>
      <c r="V22" s="646">
        <v>177373.42963792701</v>
      </c>
      <c r="W22" s="646">
        <v>158516.378447219</v>
      </c>
      <c r="X22" s="646">
        <v>352702.61391299497</v>
      </c>
    </row>
    <row r="23" spans="1:24">
      <c r="A23" s="10" t="s">
        <v>33</v>
      </c>
      <c r="B23" s="10" t="s">
        <v>34</v>
      </c>
      <c r="C23" s="646">
        <v>1175828</v>
      </c>
      <c r="D23" s="646">
        <v>1150530</v>
      </c>
      <c r="E23" s="10">
        <f t="shared" si="0"/>
        <v>25298</v>
      </c>
      <c r="F23" s="203">
        <f t="shared" si="1"/>
        <v>4.359449775045347E-3</v>
      </c>
      <c r="G23" s="10">
        <v>925.66000000000042</v>
      </c>
      <c r="H23" s="10">
        <f t="shared" si="2"/>
        <v>1270.2590584015722</v>
      </c>
      <c r="I23" s="646">
        <v>19438</v>
      </c>
      <c r="J23" s="10">
        <v>18986</v>
      </c>
      <c r="K23" s="646">
        <v>550711.28809304698</v>
      </c>
      <c r="L23" s="646">
        <v>783346.80999858701</v>
      </c>
      <c r="M23" s="646">
        <v>1313.9636798818001</v>
      </c>
      <c r="N23" s="646">
        <v>22069.107372250499</v>
      </c>
      <c r="O23" s="646">
        <v>104053.895973434</v>
      </c>
      <c r="P23" s="646">
        <v>128315.533814743</v>
      </c>
      <c r="Q23" s="646">
        <v>124686.108257635</v>
      </c>
      <c r="R23" s="646">
        <v>82311.110305810405</v>
      </c>
      <c r="S23" s="646">
        <v>462517.55100313999</v>
      </c>
      <c r="T23" s="646">
        <v>792699.81879414502</v>
      </c>
      <c r="U23" s="646">
        <v>256080.20887725099</v>
      </c>
      <c r="V23" s="646">
        <v>154073.53146383201</v>
      </c>
      <c r="W23" s="646">
        <v>125389.62665479199</v>
      </c>
      <c r="X23" s="646">
        <v>257156.45179826999</v>
      </c>
    </row>
    <row r="24" spans="1:24">
      <c r="A24" s="10" t="s">
        <v>35</v>
      </c>
      <c r="B24" s="10" t="s">
        <v>61</v>
      </c>
      <c r="C24" s="646">
        <v>1178335</v>
      </c>
      <c r="D24" s="646">
        <v>1105257</v>
      </c>
      <c r="E24" s="10">
        <f t="shared" si="0"/>
        <v>73078</v>
      </c>
      <c r="F24" s="203">
        <f t="shared" si="1"/>
        <v>1.2887241478634948E-2</v>
      </c>
      <c r="G24" s="10">
        <v>5613.4100000000026</v>
      </c>
      <c r="H24" s="10">
        <f t="shared" si="2"/>
        <v>209.91429451973033</v>
      </c>
      <c r="I24" s="646">
        <v>21494</v>
      </c>
      <c r="J24" s="10">
        <v>21064</v>
      </c>
      <c r="K24" s="646">
        <v>573881.44083863404</v>
      </c>
      <c r="L24" s="646">
        <v>786074.49734392005</v>
      </c>
      <c r="M24" s="646">
        <v>3367.6965870885401</v>
      </c>
      <c r="N24" s="646">
        <v>33334.292437623102</v>
      </c>
      <c r="O24" s="646">
        <v>97659.026338500495</v>
      </c>
      <c r="P24" s="646">
        <v>140391.80332965401</v>
      </c>
      <c r="Q24" s="646">
        <v>140537.01956327099</v>
      </c>
      <c r="R24" s="646">
        <v>87351.612790609797</v>
      </c>
      <c r="S24" s="646">
        <v>502201.74749420898</v>
      </c>
      <c r="T24" s="646">
        <v>839797.24804154399</v>
      </c>
      <c r="U24" s="646">
        <v>219684.74777158999</v>
      </c>
      <c r="V24" s="646">
        <v>201317.85639867699</v>
      </c>
      <c r="W24" s="646">
        <v>148051.893164885</v>
      </c>
      <c r="X24" s="646">
        <v>270742.750706391</v>
      </c>
    </row>
    <row r="25" spans="1:24">
      <c r="A25" s="10" t="s">
        <v>36</v>
      </c>
      <c r="B25" s="10" t="s">
        <v>37</v>
      </c>
      <c r="C25" s="646">
        <v>1004826</v>
      </c>
      <c r="D25" s="646">
        <v>1005230</v>
      </c>
      <c r="E25" s="10">
        <f t="shared" si="0"/>
        <v>-404</v>
      </c>
      <c r="F25" s="203">
        <f t="shared" si="1"/>
        <v>-8.0392539497061593E-5</v>
      </c>
      <c r="G25" s="10">
        <v>2584.9400000000005</v>
      </c>
      <c r="H25" s="10">
        <f t="shared" si="2"/>
        <v>388.72314251007754</v>
      </c>
      <c r="I25" s="646">
        <v>20778</v>
      </c>
      <c r="J25" s="10">
        <v>20640</v>
      </c>
      <c r="K25" s="646">
        <v>453989.03846615797</v>
      </c>
      <c r="L25" s="646">
        <v>617020.295934494</v>
      </c>
      <c r="M25" s="646">
        <v>1236.3081019108699</v>
      </c>
      <c r="N25" s="646">
        <v>37939.706532096898</v>
      </c>
      <c r="O25" s="646">
        <v>71331.455535635207</v>
      </c>
      <c r="P25" s="646">
        <v>99708.341890372802</v>
      </c>
      <c r="Q25" s="646">
        <v>121905.619797893</v>
      </c>
      <c r="R25" s="646">
        <v>62147.723634991598</v>
      </c>
      <c r="S25" s="646">
        <v>394314.51727321098</v>
      </c>
      <c r="T25" s="646">
        <v>761457.63637283503</v>
      </c>
      <c r="U25" s="646">
        <v>245322.66761311999</v>
      </c>
      <c r="V25" s="646">
        <v>154525.24585132801</v>
      </c>
      <c r="W25" s="646">
        <v>138683.57704968299</v>
      </c>
      <c r="X25" s="646">
        <v>222926.14585870499</v>
      </c>
    </row>
    <row r="26" spans="1:24">
      <c r="A26" s="10" t="s">
        <v>38</v>
      </c>
      <c r="B26" s="10" t="s">
        <v>39</v>
      </c>
      <c r="C26" s="646">
        <v>908815</v>
      </c>
      <c r="D26" s="646">
        <v>854807</v>
      </c>
      <c r="E26" s="10">
        <f t="shared" si="0"/>
        <v>54008</v>
      </c>
      <c r="F26" s="203">
        <f t="shared" si="1"/>
        <v>1.2328545751713058E-2</v>
      </c>
      <c r="G26" s="10">
        <v>3301.97</v>
      </c>
      <c r="H26" s="10">
        <f t="shared" si="2"/>
        <v>275.23417838441901</v>
      </c>
      <c r="I26" s="646">
        <v>21472</v>
      </c>
      <c r="J26" s="10">
        <v>20966</v>
      </c>
      <c r="K26" s="646">
        <v>447394.48525765003</v>
      </c>
      <c r="L26" s="646">
        <v>598988.96924922301</v>
      </c>
      <c r="M26" s="646">
        <v>3685.5906736440302</v>
      </c>
      <c r="N26" s="646">
        <v>21365.7415421031</v>
      </c>
      <c r="O26" s="646">
        <v>81558.673287438403</v>
      </c>
      <c r="P26" s="646">
        <v>115306.560085822</v>
      </c>
      <c r="Q26" s="646">
        <v>103254.294981188</v>
      </c>
      <c r="R26" s="646">
        <v>72500.323641675699</v>
      </c>
      <c r="S26" s="646">
        <v>397707.97566772398</v>
      </c>
      <c r="T26" s="646">
        <v>631574.59752734704</v>
      </c>
      <c r="U26" s="646">
        <v>146694.13977250399</v>
      </c>
      <c r="V26" s="646">
        <v>158610.517182132</v>
      </c>
      <c r="W26" s="646">
        <v>111366.542033601</v>
      </c>
      <c r="X26" s="646">
        <v>214903.39853910901</v>
      </c>
    </row>
    <row r="27" spans="1:24">
      <c r="A27" s="10" t="s">
        <v>40</v>
      </c>
      <c r="B27" s="10" t="s">
        <v>41</v>
      </c>
      <c r="C27" s="646">
        <v>773447</v>
      </c>
      <c r="D27" s="646">
        <v>757609</v>
      </c>
      <c r="E27" s="10">
        <f t="shared" si="0"/>
        <v>15838</v>
      </c>
      <c r="F27" s="203">
        <f t="shared" si="1"/>
        <v>4.1465184223874133E-3</v>
      </c>
      <c r="G27" s="10">
        <v>2197.65</v>
      </c>
      <c r="H27" s="10">
        <f t="shared" si="2"/>
        <v>351.94275703592473</v>
      </c>
      <c r="I27" s="646">
        <v>21412</v>
      </c>
      <c r="J27" s="10">
        <v>21048</v>
      </c>
      <c r="K27" s="646">
        <v>377098.23435713199</v>
      </c>
      <c r="L27" s="646">
        <v>516735.56525321701</v>
      </c>
      <c r="M27" s="646">
        <v>1934.2089006198601</v>
      </c>
      <c r="N27" s="646">
        <v>16392.4986279244</v>
      </c>
      <c r="O27" s="646">
        <v>64998.374982455003</v>
      </c>
      <c r="P27" s="646">
        <v>89501.139276168498</v>
      </c>
      <c r="Q27" s="646">
        <v>86188.132090724306</v>
      </c>
      <c r="R27" s="646">
        <v>69596.275229680497</v>
      </c>
      <c r="S27" s="646">
        <v>329058.877250736</v>
      </c>
      <c r="T27" s="646">
        <v>549045.70300308405</v>
      </c>
      <c r="U27" s="646">
        <v>145940.794783833</v>
      </c>
      <c r="V27" s="646">
        <v>148313.136503735</v>
      </c>
      <c r="W27" s="646">
        <v>86693.758529078201</v>
      </c>
      <c r="X27" s="646">
        <v>168098.01318643801</v>
      </c>
    </row>
    <row r="28" spans="1:24">
      <c r="A28" s="10" t="s">
        <v>42</v>
      </c>
      <c r="B28" s="10" t="s">
        <v>43</v>
      </c>
      <c r="C28" s="646">
        <v>684398</v>
      </c>
      <c r="D28" s="646">
        <v>664832</v>
      </c>
      <c r="E28" s="10">
        <f t="shared" si="0"/>
        <v>19566</v>
      </c>
      <c r="F28" s="203">
        <f t="shared" si="1"/>
        <v>5.8179071826793072E-3</v>
      </c>
      <c r="G28" s="10">
        <v>2621.1700000000005</v>
      </c>
      <c r="H28" s="10">
        <f t="shared" si="2"/>
        <v>261.10401080433542</v>
      </c>
      <c r="I28" s="646">
        <v>22052</v>
      </c>
      <c r="J28" s="10">
        <v>21612</v>
      </c>
      <c r="K28" s="646">
        <v>327299.38255823898</v>
      </c>
      <c r="L28" s="646">
        <v>446431.78578848799</v>
      </c>
      <c r="M28" s="646">
        <v>1441.9115721821399</v>
      </c>
      <c r="N28" s="646">
        <v>16838.693267609098</v>
      </c>
      <c r="O28" s="646">
        <v>71257.9952828448</v>
      </c>
      <c r="P28" s="646">
        <v>81788.909777433102</v>
      </c>
      <c r="Q28" s="646">
        <v>72622.821585140104</v>
      </c>
      <c r="R28" s="646">
        <v>48114.970702095299</v>
      </c>
      <c r="S28" s="646">
        <v>291054.25539636199</v>
      </c>
      <c r="T28" s="646">
        <v>477320.37605054199</v>
      </c>
      <c r="U28" s="646">
        <v>127749.57642420501</v>
      </c>
      <c r="V28" s="646">
        <v>96761.490023647493</v>
      </c>
      <c r="W28" s="646">
        <v>76072.720298806904</v>
      </c>
      <c r="X28" s="646">
        <v>176736.58930388201</v>
      </c>
    </row>
    <row r="29" spans="1:24">
      <c r="A29" s="10" t="s">
        <v>44</v>
      </c>
      <c r="B29" s="10" t="s">
        <v>45</v>
      </c>
      <c r="C29" s="646">
        <v>700675</v>
      </c>
      <c r="D29" s="646">
        <v>654478</v>
      </c>
      <c r="E29" s="10">
        <f t="shared" si="0"/>
        <v>46197</v>
      </c>
      <c r="F29" s="203">
        <f t="shared" si="1"/>
        <v>1.3734703146104614E-2</v>
      </c>
      <c r="G29" s="10">
        <v>3747.2499999999991</v>
      </c>
      <c r="H29" s="10">
        <f t="shared" si="2"/>
        <v>186.98378811128165</v>
      </c>
      <c r="I29" s="646">
        <v>21206</v>
      </c>
      <c r="J29" s="10">
        <v>20782</v>
      </c>
      <c r="K29" s="646">
        <v>341996.13585253898</v>
      </c>
      <c r="L29" s="646">
        <v>467170.84638019698</v>
      </c>
      <c r="M29" s="646">
        <v>5349.0986523260599</v>
      </c>
      <c r="N29" s="646">
        <v>15041.665893216599</v>
      </c>
      <c r="O29" s="646">
        <v>62396.949094297001</v>
      </c>
      <c r="P29" s="646">
        <v>84107.730494024203</v>
      </c>
      <c r="Q29" s="646">
        <v>80634.481952967501</v>
      </c>
      <c r="R29" s="646">
        <v>59603.274124756499</v>
      </c>
      <c r="S29" s="646">
        <v>307049.62812100397</v>
      </c>
      <c r="T29" s="646">
        <v>471594.88969659398</v>
      </c>
      <c r="U29" s="646">
        <v>118579.819034292</v>
      </c>
      <c r="V29" s="646">
        <v>108343.10874813701</v>
      </c>
      <c r="W29" s="646">
        <v>82924.752363966705</v>
      </c>
      <c r="X29" s="646">
        <v>161747.20955019799</v>
      </c>
    </row>
    <row r="30" spans="1:24">
      <c r="A30" s="10" t="s">
        <v>46</v>
      </c>
      <c r="B30" s="10" t="s">
        <v>47</v>
      </c>
      <c r="C30" s="646">
        <v>660256</v>
      </c>
      <c r="D30" s="646">
        <v>649291</v>
      </c>
      <c r="E30" s="10">
        <f t="shared" si="0"/>
        <v>10965</v>
      </c>
      <c r="F30" s="203">
        <f t="shared" si="1"/>
        <v>3.3549433196986785E-3</v>
      </c>
      <c r="G30" s="10">
        <v>2364.6600000000003</v>
      </c>
      <c r="H30" s="10">
        <f t="shared" si="2"/>
        <v>279.21815398408222</v>
      </c>
      <c r="I30" s="646">
        <v>20386</v>
      </c>
      <c r="J30" s="10">
        <v>19944</v>
      </c>
      <c r="K30" s="646">
        <v>310331.62733569002</v>
      </c>
      <c r="L30" s="646">
        <v>428840.98143891402</v>
      </c>
      <c r="M30" s="646">
        <v>1764.86518903314</v>
      </c>
      <c r="N30" s="646">
        <v>12906.8760262123</v>
      </c>
      <c r="O30" s="646">
        <v>42076.337525826697</v>
      </c>
      <c r="P30" s="646">
        <v>74561.734199075494</v>
      </c>
      <c r="Q30" s="646">
        <v>76986.3505198372</v>
      </c>
      <c r="R30" s="646">
        <v>58515.654913810497</v>
      </c>
      <c r="S30" s="646">
        <v>266391.06123466301</v>
      </c>
      <c r="T30" s="646">
        <v>470081.312587158</v>
      </c>
      <c r="U30" s="646">
        <v>157461.364319288</v>
      </c>
      <c r="V30" s="646">
        <v>119417.421377288</v>
      </c>
      <c r="W30" s="646">
        <v>75239.753096390996</v>
      </c>
      <c r="X30" s="646">
        <v>117962.773794191</v>
      </c>
    </row>
    <row r="31" spans="1:24">
      <c r="A31" s="12" t="s">
        <v>56</v>
      </c>
      <c r="B31" s="10" t="s">
        <v>63</v>
      </c>
      <c r="C31" s="646">
        <v>611978</v>
      </c>
      <c r="D31" s="646">
        <v>607050</v>
      </c>
      <c r="E31" s="10">
        <f t="shared" si="0"/>
        <v>4928</v>
      </c>
      <c r="F31" s="203">
        <f t="shared" si="1"/>
        <v>1.6183429385721859E-3</v>
      </c>
      <c r="G31" s="10">
        <v>1195.8299999999997</v>
      </c>
      <c r="H31" s="10">
        <f t="shared" si="2"/>
        <v>511.76003278057931</v>
      </c>
      <c r="I31" s="646">
        <v>20388</v>
      </c>
      <c r="J31" s="10">
        <v>20004</v>
      </c>
      <c r="K31" s="646">
        <v>260899.61590626501</v>
      </c>
      <c r="L31" s="646">
        <v>371432.082320577</v>
      </c>
      <c r="M31" s="646">
        <v>1407.3120063152401</v>
      </c>
      <c r="N31" s="646">
        <v>18845.2387026223</v>
      </c>
      <c r="O31" s="646">
        <v>32184.193209421301</v>
      </c>
      <c r="P31" s="646">
        <v>61692.663054681499</v>
      </c>
      <c r="Q31" s="646">
        <v>73977.4689453639</v>
      </c>
      <c r="R31" s="646">
        <v>35425.499549015898</v>
      </c>
      <c r="S31" s="646">
        <v>223520.45763995199</v>
      </c>
      <c r="T31" s="646">
        <v>469381.06449866801</v>
      </c>
      <c r="U31" s="646">
        <v>150063.410213967</v>
      </c>
      <c r="V31" s="646">
        <v>107248.70028857701</v>
      </c>
      <c r="W31" s="646">
        <v>90733.542004052302</v>
      </c>
      <c r="X31" s="646">
        <v>121335.411992073</v>
      </c>
    </row>
    <row r="32" spans="1:24">
      <c r="A32" s="10" t="s">
        <v>57</v>
      </c>
      <c r="B32" s="10" t="s">
        <v>64</v>
      </c>
      <c r="C32" s="646">
        <v>539322</v>
      </c>
      <c r="D32" s="646">
        <v>544143</v>
      </c>
      <c r="E32" s="10">
        <f t="shared" si="0"/>
        <v>-4821</v>
      </c>
      <c r="F32" s="203">
        <f t="shared" si="1"/>
        <v>-1.778273959275283E-3</v>
      </c>
      <c r="G32" s="10">
        <v>678.88000000000022</v>
      </c>
      <c r="H32" s="10">
        <f t="shared" si="2"/>
        <v>794.42905962762165</v>
      </c>
      <c r="I32" s="646">
        <v>15986</v>
      </c>
      <c r="J32" s="10">
        <v>15532</v>
      </c>
      <c r="K32" s="646">
        <v>231347.18621749699</v>
      </c>
      <c r="L32" s="646">
        <v>344526.25095678202</v>
      </c>
      <c r="M32" s="646">
        <v>443.25932129169098</v>
      </c>
      <c r="N32" s="646">
        <v>7757.0966521540604</v>
      </c>
      <c r="O32" s="646">
        <v>16960.015558374798</v>
      </c>
      <c r="P32" s="646">
        <v>46526.152738919198</v>
      </c>
      <c r="Q32" s="646">
        <v>58808.418780597203</v>
      </c>
      <c r="R32" s="646">
        <v>54303.442268658502</v>
      </c>
      <c r="S32" s="646">
        <v>184730.95495971301</v>
      </c>
      <c r="T32" s="646">
        <v>388158.33891209099</v>
      </c>
      <c r="U32" s="646">
        <v>156397.636746326</v>
      </c>
      <c r="V32" s="646">
        <v>104674.090206451</v>
      </c>
      <c r="W32" s="646">
        <v>62513.4028049552</v>
      </c>
      <c r="X32" s="646">
        <v>64573.209154358701</v>
      </c>
    </row>
    <row r="33" spans="1:25">
      <c r="A33" s="10" t="s">
        <v>48</v>
      </c>
      <c r="B33" s="10" t="s">
        <v>49</v>
      </c>
      <c r="C33" s="646">
        <v>579401</v>
      </c>
      <c r="D33" s="646">
        <v>536592</v>
      </c>
      <c r="E33" s="10">
        <f t="shared" si="0"/>
        <v>42809</v>
      </c>
      <c r="F33" s="203">
        <f t="shared" si="1"/>
        <v>1.5469793765957269E-2</v>
      </c>
      <c r="G33" s="10">
        <v>1673.0099999999991</v>
      </c>
      <c r="H33" s="10">
        <f t="shared" si="2"/>
        <v>346.32249657802424</v>
      </c>
      <c r="I33" s="646">
        <v>20322</v>
      </c>
      <c r="J33" s="10">
        <v>20038</v>
      </c>
      <c r="K33" s="646">
        <v>271179.19097428903</v>
      </c>
      <c r="L33" s="646">
        <v>389514.835661877</v>
      </c>
      <c r="M33" s="646">
        <v>1462.35255758627</v>
      </c>
      <c r="N33" s="646">
        <v>16246.936171249499</v>
      </c>
      <c r="O33" s="646">
        <v>52339.009272955802</v>
      </c>
      <c r="P33" s="646">
        <v>67096.152122050698</v>
      </c>
      <c r="Q33" s="646">
        <v>60286.960270784301</v>
      </c>
      <c r="R33" s="646">
        <v>29872.717709020599</v>
      </c>
      <c r="S33" s="646">
        <v>227300.71337585701</v>
      </c>
      <c r="T33" s="646">
        <v>398038.339217773</v>
      </c>
      <c r="U33" s="646">
        <v>103362.123492862</v>
      </c>
      <c r="V33" s="646">
        <v>68825.600378433199</v>
      </c>
      <c r="W33" s="646">
        <v>72876.683844278101</v>
      </c>
      <c r="X33" s="646">
        <v>152973.93150219999</v>
      </c>
    </row>
    <row r="34" spans="1:25">
      <c r="A34" s="10" t="s">
        <v>58</v>
      </c>
      <c r="B34" s="10" t="s">
        <v>65</v>
      </c>
      <c r="C34" s="646">
        <v>518981</v>
      </c>
      <c r="D34" s="646">
        <v>507626</v>
      </c>
      <c r="E34" s="10">
        <f t="shared" si="0"/>
        <v>11355</v>
      </c>
      <c r="F34" s="203">
        <f t="shared" si="1"/>
        <v>4.4342659242045165E-3</v>
      </c>
      <c r="G34" s="10">
        <v>2083.4599999999996</v>
      </c>
      <c r="H34" s="10">
        <f t="shared" si="2"/>
        <v>249.09573497931331</v>
      </c>
      <c r="I34" s="646">
        <v>18388</v>
      </c>
      <c r="J34" s="10">
        <v>18070</v>
      </c>
      <c r="K34" s="646">
        <v>235206.647165189</v>
      </c>
      <c r="L34" s="646">
        <v>325054.382290982</v>
      </c>
      <c r="M34" s="646">
        <v>3505.5771892525599</v>
      </c>
      <c r="N34" s="646">
        <v>18376.341443298599</v>
      </c>
      <c r="O34" s="646">
        <v>25902.944130331602</v>
      </c>
      <c r="P34" s="646">
        <v>49818.9411041161</v>
      </c>
      <c r="Q34" s="646">
        <v>57088.774700730297</v>
      </c>
      <c r="R34" s="646">
        <v>42879.4522867052</v>
      </c>
      <c r="S34" s="646">
        <v>197483.18750056199</v>
      </c>
      <c r="T34" s="646">
        <v>383392.737012589</v>
      </c>
      <c r="U34" s="646">
        <v>133741.22297069701</v>
      </c>
      <c r="V34" s="646">
        <v>91377.454032004302</v>
      </c>
      <c r="W34" s="646">
        <v>64205.492907783097</v>
      </c>
      <c r="X34" s="646">
        <v>94068.567102105197</v>
      </c>
    </row>
    <row r="35" spans="1:25">
      <c r="A35" s="10" t="s">
        <v>69</v>
      </c>
      <c r="B35" s="10" t="s">
        <v>70</v>
      </c>
      <c r="C35" s="646">
        <v>749595</v>
      </c>
      <c r="D35" s="646">
        <v>713636</v>
      </c>
      <c r="E35" s="10">
        <f t="shared" si="0"/>
        <v>35959</v>
      </c>
      <c r="F35" s="203">
        <f t="shared" si="1"/>
        <v>9.880499423671486E-3</v>
      </c>
      <c r="G35" s="10">
        <v>577.88</v>
      </c>
      <c r="H35" s="10">
        <f t="shared" si="2"/>
        <v>1297.1464663944071</v>
      </c>
      <c r="I35" s="646">
        <v>21482</v>
      </c>
      <c r="J35" s="10">
        <v>21064</v>
      </c>
      <c r="K35" s="646">
        <v>365996.41371685202</v>
      </c>
      <c r="L35" s="646">
        <v>513101.56195481902</v>
      </c>
      <c r="M35" s="646">
        <v>491.55523357216299</v>
      </c>
      <c r="N35" s="646">
        <v>17958.9644203879</v>
      </c>
      <c r="O35" s="646">
        <v>72507.706212572797</v>
      </c>
      <c r="P35" s="646">
        <v>90633.044588975201</v>
      </c>
      <c r="Q35" s="646">
        <v>87363.577416326094</v>
      </c>
      <c r="R35" s="646">
        <v>47019.409315978803</v>
      </c>
      <c r="S35" s="646">
        <v>315858.732629782</v>
      </c>
      <c r="T35" s="646">
        <v>524341.41668962501</v>
      </c>
      <c r="U35" s="646">
        <v>130725.50341876</v>
      </c>
      <c r="V35" s="646">
        <v>109407.781904551</v>
      </c>
      <c r="W35" s="646">
        <v>91432.245095091595</v>
      </c>
      <c r="X35" s="646">
        <v>192775.88627122299</v>
      </c>
    </row>
    <row r="36" spans="1:25">
      <c r="A36" s="10" t="s">
        <v>71</v>
      </c>
      <c r="B36" s="10" t="s">
        <v>116</v>
      </c>
      <c r="C36" s="646">
        <v>1505517</v>
      </c>
      <c r="D36" s="646">
        <v>1421276</v>
      </c>
      <c r="E36" s="10">
        <f t="shared" si="0"/>
        <v>84241</v>
      </c>
      <c r="F36" s="203">
        <f t="shared" si="1"/>
        <v>1.1582827642219387E-2</v>
      </c>
      <c r="G36" s="10">
        <v>10000</v>
      </c>
      <c r="H36" s="10">
        <f t="shared" si="2"/>
        <v>150.55170000000001</v>
      </c>
      <c r="I36" s="646">
        <v>20822</v>
      </c>
      <c r="J36" s="10">
        <v>20378</v>
      </c>
      <c r="K36" s="646">
        <v>717339.22673170397</v>
      </c>
      <c r="L36" s="646">
        <v>982508.35824444599</v>
      </c>
      <c r="M36" s="646">
        <v>7717.8892314600398</v>
      </c>
      <c r="N36" s="646">
        <v>43793.1670479881</v>
      </c>
      <c r="O36" s="646">
        <v>109175.543316469</v>
      </c>
      <c r="P36" s="646">
        <v>167162.691194315</v>
      </c>
      <c r="Q36" s="646">
        <v>176865.206194639</v>
      </c>
      <c r="R36" s="646">
        <v>120721.761646135</v>
      </c>
      <c r="S36" s="646">
        <v>625131.57056856097</v>
      </c>
      <c r="T36" s="646">
        <v>1091470.18011292</v>
      </c>
      <c r="U36" s="646">
        <v>311767.02520823799</v>
      </c>
      <c r="V36" s="646">
        <v>271911.76233863999</v>
      </c>
      <c r="W36" s="646">
        <v>189295.008984799</v>
      </c>
      <c r="X36" s="646">
        <v>318496.38358124299</v>
      </c>
    </row>
    <row r="37" spans="1:25">
      <c r="A37" s="10" t="s">
        <v>73</v>
      </c>
      <c r="B37" s="10" t="s">
        <v>74</v>
      </c>
      <c r="C37" s="646">
        <v>3316889</v>
      </c>
      <c r="D37" s="646">
        <v>3177625</v>
      </c>
      <c r="E37" s="10">
        <f t="shared" si="0"/>
        <v>139264</v>
      </c>
      <c r="F37" s="203">
        <f t="shared" si="1"/>
        <v>8.6155486406229408E-3</v>
      </c>
      <c r="G37" s="10">
        <v>41283.870000000032</v>
      </c>
      <c r="H37" s="10">
        <f t="shared" si="2"/>
        <v>80.343461017583806</v>
      </c>
      <c r="I37" s="646">
        <v>19954</v>
      </c>
      <c r="J37" s="10">
        <v>19538</v>
      </c>
      <c r="K37" s="646">
        <v>1521036.6929792899</v>
      </c>
      <c r="L37" s="646">
        <v>2084129.14666235</v>
      </c>
      <c r="M37" s="646">
        <v>32056.939749692199</v>
      </c>
      <c r="N37" s="646">
        <v>104016.191147233</v>
      </c>
      <c r="O37" s="646">
        <v>185949.57981319999</v>
      </c>
      <c r="P37" s="646">
        <v>337100.54237833398</v>
      </c>
      <c r="Q37" s="646">
        <v>385468.43227142497</v>
      </c>
      <c r="R37" s="646">
        <v>283297.88577929197</v>
      </c>
      <c r="S37" s="646">
        <v>1326759.54524424</v>
      </c>
      <c r="T37" s="646">
        <v>2489766.7128973901</v>
      </c>
      <c r="U37" s="646">
        <v>766128.64055864303</v>
      </c>
      <c r="V37" s="646">
        <v>654264.83931075002</v>
      </c>
      <c r="W37" s="646">
        <v>429725.09391159599</v>
      </c>
      <c r="X37" s="646">
        <v>639648.13911640097</v>
      </c>
    </row>
    <row r="38" spans="1:25">
      <c r="A38" s="10" t="s">
        <v>75</v>
      </c>
      <c r="B38" s="10" t="s">
        <v>1479</v>
      </c>
      <c r="C38" s="646">
        <v>63697865.002521187</v>
      </c>
      <c r="D38" s="646">
        <v>62088166</v>
      </c>
      <c r="E38" s="10">
        <f t="shared" si="0"/>
        <v>1609699.0025211871</v>
      </c>
      <c r="F38" s="203">
        <f t="shared" si="1"/>
        <v>5.13225280087342E-3</v>
      </c>
      <c r="G38" s="10">
        <v>543940.86000000034</v>
      </c>
      <c r="H38" s="10">
        <f t="shared" si="2"/>
        <v>117.10439440515859</v>
      </c>
      <c r="I38" s="646">
        <v>20098</v>
      </c>
      <c r="J38" s="10">
        <v>19680</v>
      </c>
      <c r="K38" s="646">
        <v>29762337.880284742</v>
      </c>
      <c r="L38" s="646">
        <v>40599859.135305263</v>
      </c>
      <c r="M38" s="646">
        <v>423740.4138199779</v>
      </c>
      <c r="N38" s="646">
        <v>1625758.2233536644</v>
      </c>
      <c r="O38" s="646">
        <v>4467280.2520750314</v>
      </c>
      <c r="P38" s="646">
        <v>6661678.5555903111</v>
      </c>
      <c r="Q38" s="646">
        <v>7229236.345372227</v>
      </c>
      <c r="R38" s="646">
        <v>5457293.2508867504</v>
      </c>
      <c r="S38" s="646">
        <v>25868473.752772484</v>
      </c>
      <c r="T38" s="654">
        <v>46378127.562281147</v>
      </c>
      <c r="U38" s="654">
        <v>14937200.002530549</v>
      </c>
      <c r="V38" s="654">
        <v>11139838.172132421</v>
      </c>
      <c r="W38" s="654">
        <v>7734110.2776712244</v>
      </c>
      <c r="X38" s="654">
        <v>12566979.109946918</v>
      </c>
      <c r="Y38" s="16"/>
    </row>
    <row r="39" spans="1:25">
      <c r="A39" s="10" t="s">
        <v>1159</v>
      </c>
      <c r="B39" s="10" t="s">
        <v>465</v>
      </c>
      <c r="C39" s="646">
        <v>1080771</v>
      </c>
      <c r="D39" s="646">
        <v>1084428</v>
      </c>
      <c r="E39" s="10">
        <f t="shared" ref="E39:E63" si="3">C39-D39</f>
        <v>-3657</v>
      </c>
      <c r="F39" s="203">
        <f t="shared" ref="F39:F63" si="4">+RATE((2013-2008),,-D39,C39)</f>
        <v>-6.7536857827134886E-4</v>
      </c>
      <c r="I39" s="646">
        <v>20772</v>
      </c>
    </row>
    <row r="40" spans="1:25">
      <c r="A40" s="10" t="s">
        <v>487</v>
      </c>
      <c r="B40" s="10" t="s">
        <v>466</v>
      </c>
      <c r="C40" s="646">
        <v>1993177.0025211901</v>
      </c>
      <c r="D40" s="646">
        <v>1966005</v>
      </c>
      <c r="E40" s="10">
        <f t="shared" si="3"/>
        <v>27172.002521190094</v>
      </c>
      <c r="F40" s="203">
        <f t="shared" si="4"/>
        <v>2.7490285549599158E-3</v>
      </c>
      <c r="I40" s="646">
        <v>19944</v>
      </c>
    </row>
    <row r="41" spans="1:25">
      <c r="A41" s="10" t="s">
        <v>488</v>
      </c>
      <c r="B41" s="10" t="s">
        <v>467</v>
      </c>
      <c r="C41" s="646">
        <v>1298562</v>
      </c>
      <c r="D41" s="646">
        <v>1217344</v>
      </c>
      <c r="E41" s="10">
        <f t="shared" si="3"/>
        <v>81218</v>
      </c>
      <c r="F41" s="203">
        <f t="shared" si="4"/>
        <v>1.3000999973449816E-2</v>
      </c>
      <c r="I41" s="646">
        <v>21968</v>
      </c>
    </row>
    <row r="42" spans="1:25">
      <c r="A42" s="10" t="s">
        <v>71</v>
      </c>
      <c r="B42" s="10" t="s">
        <v>116</v>
      </c>
      <c r="C42" s="646">
        <v>1505517</v>
      </c>
      <c r="D42" s="646">
        <v>1421276</v>
      </c>
      <c r="E42" s="10">
        <f t="shared" si="3"/>
        <v>84241</v>
      </c>
      <c r="F42" s="203">
        <f t="shared" si="4"/>
        <v>1.1582827642219387E-2</v>
      </c>
      <c r="I42" s="646">
        <v>20822</v>
      </c>
      <c r="N42" s="10">
        <f>160811+158520</f>
        <v>319331</v>
      </c>
    </row>
    <row r="43" spans="1:25">
      <c r="A43" s="10" t="s">
        <v>489</v>
      </c>
      <c r="B43" s="10" t="s">
        <v>468</v>
      </c>
      <c r="C43" s="646">
        <v>1092331</v>
      </c>
      <c r="D43" s="646">
        <v>1019798</v>
      </c>
      <c r="E43" s="10">
        <f t="shared" si="3"/>
        <v>72533</v>
      </c>
      <c r="F43" s="203">
        <f t="shared" si="4"/>
        <v>1.3836728854511244E-2</v>
      </c>
      <c r="I43" s="646">
        <v>18626</v>
      </c>
    </row>
    <row r="44" spans="1:25">
      <c r="A44" s="10" t="s">
        <v>490</v>
      </c>
      <c r="B44" s="10" t="s">
        <v>469</v>
      </c>
      <c r="C44" s="646">
        <v>1019923</v>
      </c>
      <c r="D44" s="646">
        <v>967588</v>
      </c>
      <c r="E44" s="10">
        <f t="shared" si="3"/>
        <v>52335</v>
      </c>
      <c r="F44" s="203">
        <f t="shared" si="4"/>
        <v>1.0590897973923203E-2</v>
      </c>
      <c r="I44" s="646">
        <v>20466</v>
      </c>
    </row>
    <row r="45" spans="1:25">
      <c r="A45" s="10" t="s">
        <v>491</v>
      </c>
      <c r="B45" s="10" t="s">
        <v>470</v>
      </c>
      <c r="C45" s="646">
        <v>1235387</v>
      </c>
      <c r="D45" s="646">
        <v>1188088</v>
      </c>
      <c r="E45" s="10">
        <f t="shared" si="3"/>
        <v>47299</v>
      </c>
      <c r="F45" s="203">
        <f t="shared" si="4"/>
        <v>7.8383581469611482E-3</v>
      </c>
      <c r="I45" s="646">
        <v>21162</v>
      </c>
    </row>
    <row r="46" spans="1:25">
      <c r="A46" s="10" t="s">
        <v>492</v>
      </c>
      <c r="B46" s="10" t="s">
        <v>471</v>
      </c>
      <c r="C46" s="646">
        <v>1328620</v>
      </c>
      <c r="D46" s="646">
        <v>1255871</v>
      </c>
      <c r="E46" s="10">
        <f t="shared" si="3"/>
        <v>72749</v>
      </c>
      <c r="F46" s="203">
        <f t="shared" si="4"/>
        <v>1.1325949113871232E-2</v>
      </c>
      <c r="I46" s="646">
        <v>20776</v>
      </c>
    </row>
    <row r="47" spans="1:25">
      <c r="A47" s="10" t="s">
        <v>493</v>
      </c>
      <c r="B47" s="10" t="s">
        <v>472</v>
      </c>
      <c r="C47" s="646">
        <v>2595536</v>
      </c>
      <c r="D47" s="646">
        <v>2539613</v>
      </c>
      <c r="E47" s="10">
        <f t="shared" si="3"/>
        <v>55923</v>
      </c>
      <c r="F47" s="203">
        <f t="shared" si="4"/>
        <v>4.3657701541909098E-3</v>
      </c>
      <c r="I47" s="646">
        <v>18096</v>
      </c>
    </row>
    <row r="48" spans="1:25">
      <c r="A48" s="10" t="s">
        <v>494</v>
      </c>
      <c r="B48" s="10" t="s">
        <v>478</v>
      </c>
      <c r="C48" s="646">
        <v>1465205</v>
      </c>
      <c r="D48" s="646">
        <v>1459531</v>
      </c>
      <c r="E48" s="10">
        <f t="shared" si="3"/>
        <v>5674</v>
      </c>
      <c r="F48" s="203">
        <f t="shared" si="4"/>
        <v>7.7630380452581912E-4</v>
      </c>
      <c r="I48" s="646">
        <v>17102</v>
      </c>
    </row>
    <row r="49" spans="1:9">
      <c r="A49" s="10" t="s">
        <v>495</v>
      </c>
      <c r="B49" s="10" t="s">
        <v>473</v>
      </c>
      <c r="C49" s="646">
        <v>1109460</v>
      </c>
      <c r="D49" s="646">
        <v>1091015</v>
      </c>
      <c r="E49" s="10">
        <f t="shared" si="3"/>
        <v>18445</v>
      </c>
      <c r="F49" s="203">
        <f t="shared" si="4"/>
        <v>3.3586185330153786E-3</v>
      </c>
      <c r="I49" s="646">
        <v>21388</v>
      </c>
    </row>
    <row r="50" spans="1:9">
      <c r="A50" s="10" t="s">
        <v>496</v>
      </c>
      <c r="B50" s="10" t="s">
        <v>474</v>
      </c>
      <c r="C50" s="646">
        <v>1779845</v>
      </c>
      <c r="D50" s="646">
        <v>1685680</v>
      </c>
      <c r="E50" s="10">
        <f t="shared" si="3"/>
        <v>94165</v>
      </c>
      <c r="F50" s="203">
        <f t="shared" si="4"/>
        <v>1.0930756644450802E-2</v>
      </c>
      <c r="I50" s="646">
        <v>21458</v>
      </c>
    </row>
    <row r="51" spans="1:9">
      <c r="A51" s="10" t="s">
        <v>497</v>
      </c>
      <c r="B51" s="10" t="s">
        <v>475</v>
      </c>
      <c r="C51" s="646">
        <v>1254609</v>
      </c>
      <c r="D51" s="646">
        <v>1248580</v>
      </c>
      <c r="E51" s="10">
        <f t="shared" si="3"/>
        <v>6029</v>
      </c>
      <c r="F51" s="203">
        <f t="shared" si="4"/>
        <v>9.6387716707231142E-4</v>
      </c>
      <c r="I51" s="646">
        <v>19596</v>
      </c>
    </row>
    <row r="52" spans="1:9">
      <c r="A52" s="10" t="s">
        <v>498</v>
      </c>
      <c r="B52" s="10" t="s">
        <v>476</v>
      </c>
      <c r="C52" s="646">
        <v>1028583</v>
      </c>
      <c r="D52" s="646">
        <v>1001408</v>
      </c>
      <c r="E52" s="10">
        <f t="shared" si="3"/>
        <v>27175</v>
      </c>
      <c r="F52" s="203">
        <f t="shared" si="4"/>
        <v>5.3693872072089746E-3</v>
      </c>
      <c r="I52" s="646">
        <v>20162</v>
      </c>
    </row>
    <row r="53" spans="1:9">
      <c r="A53" s="10" t="s">
        <v>499</v>
      </c>
      <c r="B53" s="10" t="s">
        <v>477</v>
      </c>
      <c r="C53" s="646">
        <v>549949</v>
      </c>
      <c r="D53" s="646">
        <v>538902</v>
      </c>
      <c r="E53" s="10">
        <f t="shared" si="3"/>
        <v>11047</v>
      </c>
      <c r="F53" s="203">
        <f t="shared" si="4"/>
        <v>4.0666083947743523E-3</v>
      </c>
      <c r="I53" s="646">
        <v>18016</v>
      </c>
    </row>
    <row r="54" spans="1:9">
      <c r="A54" s="10" t="s">
        <v>1160</v>
      </c>
      <c r="B54" s="10" t="s">
        <v>1155</v>
      </c>
      <c r="C54" s="646">
        <v>1849652</v>
      </c>
      <c r="D54" s="646">
        <v>1825667</v>
      </c>
      <c r="E54" s="10">
        <f t="shared" si="3"/>
        <v>23985</v>
      </c>
      <c r="F54" s="203">
        <f t="shared" si="4"/>
        <v>2.6138328344961839E-3</v>
      </c>
    </row>
    <row r="55" spans="1:9">
      <c r="A55" s="10" t="s">
        <v>488</v>
      </c>
      <c r="B55" s="10" t="s">
        <v>1156</v>
      </c>
      <c r="C55" s="646">
        <v>4060741</v>
      </c>
      <c r="D55" s="646">
        <v>3999144</v>
      </c>
      <c r="E55" s="10">
        <f t="shared" si="3"/>
        <v>61597</v>
      </c>
      <c r="F55" s="203">
        <f t="shared" si="4"/>
        <v>3.0617036811851489E-3</v>
      </c>
    </row>
    <row r="56" spans="1:9">
      <c r="A56" s="10" t="s">
        <v>1161</v>
      </c>
      <c r="B56" s="10" t="s">
        <v>786</v>
      </c>
      <c r="C56" s="646">
        <v>1868183</v>
      </c>
      <c r="D56" s="646">
        <v>1837087</v>
      </c>
      <c r="E56" s="10">
        <f t="shared" si="3"/>
        <v>31096</v>
      </c>
      <c r="F56" s="203">
        <f t="shared" si="4"/>
        <v>3.3626682883340637E-3</v>
      </c>
    </row>
    <row r="57" spans="1:9">
      <c r="A57" s="10" t="s">
        <v>1162</v>
      </c>
      <c r="B57" s="10" t="s">
        <v>790</v>
      </c>
      <c r="C57" s="646">
        <v>3660852</v>
      </c>
      <c r="D57" s="646">
        <v>3504525</v>
      </c>
      <c r="E57" s="10">
        <f t="shared" si="3"/>
        <v>156327</v>
      </c>
      <c r="F57" s="203">
        <f t="shared" si="4"/>
        <v>8.766384972770375E-3</v>
      </c>
    </row>
    <row r="58" spans="1:9">
      <c r="A58" s="10" t="s">
        <v>1163</v>
      </c>
      <c r="B58" s="10" t="s">
        <v>788</v>
      </c>
      <c r="C58" s="646">
        <v>3258707</v>
      </c>
      <c r="D58" s="646">
        <v>3149701</v>
      </c>
      <c r="E58" s="10">
        <f t="shared" si="3"/>
        <v>109006</v>
      </c>
      <c r="F58" s="203">
        <f t="shared" si="4"/>
        <v>6.8277964891018516E-3</v>
      </c>
    </row>
    <row r="59" spans="1:9">
      <c r="A59" s="10" t="s">
        <v>73</v>
      </c>
      <c r="B59" s="10" t="s">
        <v>74</v>
      </c>
      <c r="C59" s="646">
        <v>3316889</v>
      </c>
      <c r="D59" s="646">
        <v>3177625</v>
      </c>
      <c r="E59" s="10">
        <f t="shared" si="3"/>
        <v>139264</v>
      </c>
      <c r="F59" s="203">
        <f t="shared" si="4"/>
        <v>8.6155486406229408E-3</v>
      </c>
    </row>
    <row r="60" spans="1:9">
      <c r="A60" s="10" t="s">
        <v>1164</v>
      </c>
      <c r="B60" s="10" t="s">
        <v>789</v>
      </c>
      <c r="C60" s="646">
        <v>2954157</v>
      </c>
      <c r="D60" s="646">
        <v>2838228</v>
      </c>
      <c r="E60" s="10">
        <f t="shared" si="3"/>
        <v>115929</v>
      </c>
      <c r="F60" s="203">
        <f t="shared" si="4"/>
        <v>8.0388226473586278E-3</v>
      </c>
    </row>
    <row r="61" spans="1:9">
      <c r="A61" s="10" t="s">
        <v>1165</v>
      </c>
      <c r="B61" s="10" t="s">
        <v>1157</v>
      </c>
      <c r="C61" s="646">
        <v>6399927</v>
      </c>
      <c r="D61" s="646">
        <v>6111576</v>
      </c>
      <c r="E61" s="10">
        <f t="shared" si="3"/>
        <v>288351</v>
      </c>
      <c r="F61" s="203">
        <f t="shared" si="4"/>
        <v>9.2630199269021184E-3</v>
      </c>
    </row>
    <row r="62" spans="1:9">
      <c r="A62" s="10" t="s">
        <v>1166</v>
      </c>
      <c r="B62" s="10" t="s">
        <v>520</v>
      </c>
      <c r="C62" s="646">
        <v>2729721</v>
      </c>
      <c r="D62" s="646">
        <v>2581718</v>
      </c>
      <c r="E62" s="10">
        <f t="shared" si="3"/>
        <v>148003</v>
      </c>
      <c r="F62" s="203">
        <f t="shared" si="4"/>
        <v>1.1211247705032885E-2</v>
      </c>
    </row>
    <row r="63" spans="1:9">
      <c r="A63" s="10" t="s">
        <v>1167</v>
      </c>
      <c r="B63" s="10" t="s">
        <v>1158</v>
      </c>
      <c r="C63" s="646">
        <v>4953675.0025211899</v>
      </c>
      <c r="D63" s="646">
        <v>4882155</v>
      </c>
      <c r="E63" s="10">
        <f t="shared" si="3"/>
        <v>71520.002521189861</v>
      </c>
      <c r="F63" s="203">
        <f t="shared" si="4"/>
        <v>2.9128351083668388E-3</v>
      </c>
    </row>
    <row r="64" spans="1:9">
      <c r="A64" s="10" t="s">
        <v>1874</v>
      </c>
      <c r="B64" s="10" t="s">
        <v>1200</v>
      </c>
      <c r="C64" s="741">
        <v>11959807</v>
      </c>
      <c r="D64" s="741">
        <v>11656714</v>
      </c>
      <c r="F64" s="203"/>
    </row>
    <row r="65" spans="1:6">
      <c r="A65" s="10" t="s">
        <v>1875</v>
      </c>
      <c r="B65" s="10" t="s">
        <v>1217</v>
      </c>
      <c r="C65" s="741">
        <v>2570548</v>
      </c>
      <c r="D65" s="741">
        <v>2530859</v>
      </c>
      <c r="F65" s="203"/>
    </row>
    <row r="66" spans="1:6">
      <c r="A66" s="10" t="s">
        <v>1876</v>
      </c>
      <c r="B66" s="10" t="s">
        <v>1873</v>
      </c>
      <c r="C66" s="741">
        <v>2819783</v>
      </c>
      <c r="D66" s="741">
        <v>2801238</v>
      </c>
    </row>
    <row r="67" spans="1:6">
      <c r="A67" s="10" t="s">
        <v>1849</v>
      </c>
      <c r="B67" s="10" t="s">
        <v>1837</v>
      </c>
      <c r="C67" s="741">
        <v>3328364</v>
      </c>
      <c r="D67" s="741">
        <v>3289597</v>
      </c>
    </row>
    <row r="68" spans="1:6">
      <c r="A68" s="10" t="s">
        <v>1850</v>
      </c>
      <c r="B68" s="10" t="s">
        <v>1836</v>
      </c>
      <c r="C68" s="741">
        <v>5987883</v>
      </c>
      <c r="D68" s="741">
        <v>5905626</v>
      </c>
    </row>
    <row r="69" spans="1:6">
      <c r="A69" s="10" t="s">
        <v>492</v>
      </c>
      <c r="B69" s="10" t="s">
        <v>1835</v>
      </c>
      <c r="C69" s="741">
        <v>5552388</v>
      </c>
      <c r="D69" s="741">
        <v>5521383</v>
      </c>
    </row>
    <row r="70" spans="1:6">
      <c r="A70" s="10" t="s">
        <v>1162</v>
      </c>
      <c r="B70" s="10" t="s">
        <v>790</v>
      </c>
      <c r="C70" s="741">
        <v>3660852</v>
      </c>
      <c r="D70" s="741">
        <v>3504525</v>
      </c>
    </row>
    <row r="71" spans="1:6">
      <c r="A71" s="10" t="s">
        <v>1163</v>
      </c>
      <c r="B71" s="10" t="s">
        <v>788</v>
      </c>
      <c r="C71" s="741">
        <v>3258707</v>
      </c>
      <c r="D71" s="741">
        <v>3149701</v>
      </c>
    </row>
    <row r="72" spans="1:6">
      <c r="A72" s="10" t="s">
        <v>1851</v>
      </c>
      <c r="B72" s="10" t="s">
        <v>1838</v>
      </c>
      <c r="C72" s="741">
        <v>5844177</v>
      </c>
      <c r="D72" s="741">
        <v>5670017</v>
      </c>
    </row>
    <row r="73" spans="1:6">
      <c r="A73" s="10" t="s">
        <v>497</v>
      </c>
      <c r="B73" s="10" t="s">
        <v>1839</v>
      </c>
      <c r="C73" s="741">
        <v>5683878</v>
      </c>
      <c r="D73" s="741">
        <v>5419946</v>
      </c>
    </row>
    <row r="74" spans="1:6">
      <c r="A74" s="10" t="s">
        <v>499</v>
      </c>
      <c r="B74" s="10" t="s">
        <v>1834</v>
      </c>
      <c r="C74" s="741">
        <v>7757595</v>
      </c>
      <c r="D74" s="741">
        <v>7453439</v>
      </c>
    </row>
    <row r="75" spans="1:6">
      <c r="A75" s="10" t="s">
        <v>1167</v>
      </c>
      <c r="B75" s="10" t="s">
        <v>523</v>
      </c>
      <c r="C75" s="741">
        <v>4953675.0025211899</v>
      </c>
      <c r="D75" s="741">
        <v>4882155</v>
      </c>
    </row>
    <row r="76" spans="1:6">
      <c r="A76" s="10" t="s">
        <v>1877</v>
      </c>
      <c r="B76" s="10" t="s">
        <v>1212</v>
      </c>
      <c r="C76" s="741">
        <v>320208</v>
      </c>
      <c r="D76" s="741">
        <v>302966</v>
      </c>
    </row>
    <row r="77" spans="1:6">
      <c r="A77" s="742" t="s">
        <v>75</v>
      </c>
      <c r="B77" s="742" t="s">
        <v>1479</v>
      </c>
      <c r="C77" s="743">
        <v>63697865.002521187</v>
      </c>
      <c r="D77" s="743">
        <f>SUM(D64:D76)</f>
        <v>62088166</v>
      </c>
    </row>
    <row r="78" spans="1:6">
      <c r="A78" s="13" t="s">
        <v>66</v>
      </c>
      <c r="B78" s="13"/>
    </row>
    <row r="79" spans="1:6">
      <c r="A79" s="13"/>
      <c r="B79" s="13" t="s">
        <v>60</v>
      </c>
    </row>
    <row r="80" spans="1:6">
      <c r="A80" s="13"/>
      <c r="B80" s="13" t="s">
        <v>62</v>
      </c>
    </row>
  </sheetData>
  <sortState ref="A5:V19">
    <sortCondition ref="B5:B19"/>
  </sortState>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G248"/>
  <sheetViews>
    <sheetView zoomScale="98" zoomScaleNormal="98" workbookViewId="0">
      <pane xSplit="2" ySplit="5" topLeftCell="J78" activePane="bottomRight" state="frozen"/>
      <selection activeCell="A24" sqref="A24:U31"/>
      <selection pane="topRight" activeCell="A24" sqref="A24:U31"/>
      <selection pane="bottomLeft" activeCell="A24" sqref="A24:U31"/>
      <selection pane="bottomRight" activeCell="A24" sqref="A24:U31"/>
    </sheetView>
  </sheetViews>
  <sheetFormatPr baseColWidth="10" defaultRowHeight="12.75"/>
  <cols>
    <col min="1" max="1" width="11.42578125" style="23"/>
    <col min="2" max="2" width="12.42578125" style="23" customWidth="1"/>
    <col min="3" max="5" width="12.42578125" style="24" customWidth="1"/>
    <col min="6" max="6" width="12.42578125" style="316" customWidth="1"/>
    <col min="7" max="10" width="12.42578125" style="24" customWidth="1"/>
    <col min="11" max="26" width="11.42578125" style="24"/>
    <col min="27" max="32" width="11.42578125" style="23"/>
    <col min="33" max="16384" width="11.42578125" style="24"/>
  </cols>
  <sheetData>
    <row r="2" spans="1:33" s="51" customFormat="1" ht="15">
      <c r="A2" s="52" t="s">
        <v>203</v>
      </c>
      <c r="B2" s="50"/>
      <c r="F2" s="314"/>
      <c r="G2" s="667" t="s">
        <v>1636</v>
      </c>
      <c r="AA2" s="50"/>
      <c r="AB2" s="50"/>
      <c r="AC2" s="50"/>
      <c r="AD2" s="50"/>
      <c r="AE2" s="50"/>
      <c r="AF2" s="50"/>
    </row>
    <row r="4" spans="1:33">
      <c r="C4" s="648">
        <v>2013</v>
      </c>
      <c r="D4" s="648">
        <v>2013</v>
      </c>
      <c r="E4" s="216" t="s">
        <v>1678</v>
      </c>
      <c r="F4" s="647">
        <v>2013</v>
      </c>
      <c r="G4" s="648">
        <v>2015</v>
      </c>
      <c r="H4" s="216">
        <v>2008</v>
      </c>
      <c r="I4" s="216">
        <v>2008</v>
      </c>
      <c r="J4" s="216" t="s">
        <v>1678</v>
      </c>
      <c r="K4" s="648">
        <v>2008</v>
      </c>
      <c r="L4" s="216" t="s">
        <v>1678</v>
      </c>
      <c r="M4" s="216">
        <v>2013</v>
      </c>
      <c r="N4" s="216">
        <v>2013</v>
      </c>
      <c r="O4" s="216">
        <v>2013</v>
      </c>
      <c r="P4" s="216">
        <v>2013</v>
      </c>
      <c r="Q4" s="216">
        <v>2013</v>
      </c>
      <c r="R4" s="216">
        <v>2013</v>
      </c>
      <c r="S4" s="216">
        <v>2013</v>
      </c>
      <c r="T4" s="216">
        <v>2013</v>
      </c>
      <c r="U4" s="216">
        <v>2013</v>
      </c>
      <c r="V4" s="216">
        <v>2013</v>
      </c>
      <c r="W4" s="219">
        <v>2013</v>
      </c>
      <c r="X4" s="216">
        <v>2013</v>
      </c>
      <c r="Y4" s="629">
        <v>2013</v>
      </c>
      <c r="Z4" s="216">
        <v>2012</v>
      </c>
      <c r="AA4" s="23">
        <v>2007</v>
      </c>
      <c r="AB4" s="23">
        <v>2007</v>
      </c>
      <c r="AC4" s="23">
        <v>2008</v>
      </c>
      <c r="AD4" s="23">
        <v>2008</v>
      </c>
      <c r="AE4" s="23">
        <v>2008</v>
      </c>
      <c r="AF4" s="23">
        <v>2008</v>
      </c>
    </row>
    <row r="5" spans="1:33" s="26" customFormat="1" ht="60">
      <c r="A5" s="25" t="s">
        <v>52</v>
      </c>
      <c r="B5" s="25" t="s">
        <v>53</v>
      </c>
      <c r="C5" s="218" t="s">
        <v>1690</v>
      </c>
      <c r="D5" s="218" t="s">
        <v>1691</v>
      </c>
      <c r="E5" s="218" t="s">
        <v>891</v>
      </c>
      <c r="F5" s="315" t="s">
        <v>1307</v>
      </c>
      <c r="G5" s="218" t="s">
        <v>1306</v>
      </c>
      <c r="H5" s="218" t="s">
        <v>1690</v>
      </c>
      <c r="I5" s="218" t="s">
        <v>1691</v>
      </c>
      <c r="J5" s="218" t="s">
        <v>892</v>
      </c>
      <c r="K5" s="218" t="s">
        <v>1308</v>
      </c>
      <c r="L5" s="218" t="s">
        <v>893</v>
      </c>
      <c r="M5" s="217" t="s">
        <v>93</v>
      </c>
      <c r="N5" s="217" t="s">
        <v>94</v>
      </c>
      <c r="O5" s="217" t="s">
        <v>95</v>
      </c>
      <c r="P5" s="217" t="s">
        <v>96</v>
      </c>
      <c r="Q5" s="218" t="s">
        <v>91</v>
      </c>
      <c r="R5" s="217" t="s">
        <v>97</v>
      </c>
      <c r="S5" s="217" t="s">
        <v>98</v>
      </c>
      <c r="T5" s="217" t="s">
        <v>99</v>
      </c>
      <c r="U5" s="217" t="s">
        <v>100</v>
      </c>
      <c r="V5" s="217" t="s">
        <v>101</v>
      </c>
      <c r="W5" s="220" t="s">
        <v>83</v>
      </c>
      <c r="X5" s="218" t="s">
        <v>92</v>
      </c>
      <c r="Y5" s="630" t="s">
        <v>102</v>
      </c>
      <c r="Z5" s="218" t="s">
        <v>102</v>
      </c>
      <c r="AA5" s="11" t="s">
        <v>902</v>
      </c>
      <c r="AB5" s="669" t="s">
        <v>900</v>
      </c>
      <c r="AC5" s="669" t="s">
        <v>899</v>
      </c>
      <c r="AD5" s="23" t="s">
        <v>901</v>
      </c>
      <c r="AE5" s="669" t="s">
        <v>898</v>
      </c>
      <c r="AF5" s="25" t="s">
        <v>897</v>
      </c>
      <c r="AG5" s="630" t="s">
        <v>1715</v>
      </c>
    </row>
    <row r="6" spans="1:33" ht="15">
      <c r="A6" s="23" t="s">
        <v>88</v>
      </c>
      <c r="B6" s="23" t="s">
        <v>89</v>
      </c>
      <c r="C6" s="651">
        <v>187487.165296586</v>
      </c>
      <c r="D6" s="651">
        <v>154293.30287960201</v>
      </c>
      <c r="E6" s="203">
        <f>+RATE((2013-2008),,-H6,C6)</f>
        <v>2.3302816967105617E-3</v>
      </c>
      <c r="F6" s="650">
        <v>117663</v>
      </c>
      <c r="G6" s="651">
        <v>115656</v>
      </c>
      <c r="H6" s="651">
        <v>185317.86452599999</v>
      </c>
      <c r="I6" s="651">
        <v>155242.091117</v>
      </c>
      <c r="J6" s="203">
        <f>+RATE((2013-2008),,-I6,D6)</f>
        <v>-1.2253329549833602E-3</v>
      </c>
      <c r="K6" s="651">
        <v>118400</v>
      </c>
      <c r="L6" s="203">
        <f>+RATE((2013-2008),,-K6,F6)</f>
        <v>-1.2480437734396098E-3</v>
      </c>
      <c r="M6" s="651">
        <v>8545.3713704684906</v>
      </c>
      <c r="N6" s="651">
        <v>16448.228973119461</v>
      </c>
      <c r="O6" s="651">
        <v>132575.79228088353</v>
      </c>
      <c r="P6" s="651">
        <v>29712.240430540205</v>
      </c>
      <c r="Q6" s="24">
        <f>SUM(M6:P6)</f>
        <v>187281.63305501168</v>
      </c>
      <c r="R6" s="651">
        <v>5131.6162156135179</v>
      </c>
      <c r="S6" s="651">
        <v>9128.6922586198816</v>
      </c>
      <c r="T6" s="651">
        <v>109157.31938486471</v>
      </c>
      <c r="U6" s="651">
        <v>26237.133340194447</v>
      </c>
      <c r="V6" s="24">
        <f>SUM(R6:U6)</f>
        <v>149654.76119929255</v>
      </c>
      <c r="W6" s="666">
        <v>310568.14199916401</v>
      </c>
      <c r="X6" s="651">
        <v>187946.24811389801</v>
      </c>
      <c r="Y6" s="631">
        <v>13.036347081541161</v>
      </c>
      <c r="Z6" s="27">
        <v>12.636357808153875</v>
      </c>
      <c r="AA6" s="10">
        <v>188001.648226483</v>
      </c>
      <c r="AB6" s="10">
        <f>SUM(AD6:AF6)</f>
        <v>158014.979903</v>
      </c>
      <c r="AC6" s="10">
        <v>27436.198110000001</v>
      </c>
      <c r="AD6" s="23">
        <v>9297.6714080000002</v>
      </c>
      <c r="AE6" s="10">
        <v>16329.170923</v>
      </c>
      <c r="AF6" s="23">
        <v>132388.13757200001</v>
      </c>
      <c r="AG6" s="681">
        <f>((Y6-Z6)/Y6)</f>
        <v>3.0682619209613664E-2</v>
      </c>
    </row>
    <row r="7" spans="1:33" ht="15">
      <c r="A7" s="23" t="s">
        <v>5</v>
      </c>
      <c r="B7" s="23" t="s">
        <v>6</v>
      </c>
      <c r="C7" s="651">
        <v>543720.42519847502</v>
      </c>
      <c r="D7" s="651">
        <v>472727.43112552399</v>
      </c>
      <c r="E7" s="203">
        <f t="shared" ref="E7:E39" si="0">+RATE((2013-2008),,-H7,C7)</f>
        <v>9.9480845099143862E-3</v>
      </c>
      <c r="F7" s="650">
        <v>366009</v>
      </c>
      <c r="G7" s="651">
        <v>373544</v>
      </c>
      <c r="H7" s="651">
        <v>517464.30670000002</v>
      </c>
      <c r="I7" s="651">
        <v>456299.18524100102</v>
      </c>
      <c r="J7" s="203">
        <f t="shared" ref="J7:J39" si="1">+RATE((2013-2008),,-I7,D7)</f>
        <v>7.0991331149204738E-3</v>
      </c>
      <c r="K7" s="651">
        <v>351123</v>
      </c>
      <c r="L7" s="203">
        <f t="shared" ref="L7:L39" si="2">+RATE((2013-2008),,-K7,F7)</f>
        <v>8.3388428330204867E-3</v>
      </c>
      <c r="M7" s="651">
        <v>24542.256310264056</v>
      </c>
      <c r="N7" s="651">
        <v>46468.298384441128</v>
      </c>
      <c r="O7" s="651">
        <v>409478.33529403224</v>
      </c>
      <c r="P7" s="651">
        <v>63866.340625104465</v>
      </c>
      <c r="Q7" s="24">
        <f t="shared" ref="Q7:Q39" si="3">SUM(M7:P7)</f>
        <v>544355.23061384191</v>
      </c>
      <c r="R7" s="651">
        <v>15911.331507773333</v>
      </c>
      <c r="S7" s="651">
        <v>27856.115670601597</v>
      </c>
      <c r="T7" s="651">
        <v>354950.98087260302</v>
      </c>
      <c r="U7" s="651">
        <v>56408.921743109517</v>
      </c>
      <c r="V7" s="24">
        <f t="shared" ref="V7:V39" si="4">SUM(R7:U7)</f>
        <v>455127.34979408747</v>
      </c>
      <c r="W7" s="666">
        <v>831476.67488892598</v>
      </c>
      <c r="X7" s="651">
        <v>530625.47933047602</v>
      </c>
      <c r="Y7" s="631">
        <v>13.936787950717232</v>
      </c>
      <c r="Z7" s="27">
        <v>13.541252873941765</v>
      </c>
      <c r="AA7" s="10">
        <v>504639.63560787501</v>
      </c>
      <c r="AB7" s="10">
        <f t="shared" ref="AB7:AB39" si="5">SUM(AD7:AF7)</f>
        <v>462978.48236599995</v>
      </c>
      <c r="AC7" s="10">
        <v>53584.963869999985</v>
      </c>
      <c r="AD7" s="23">
        <v>23836.337344</v>
      </c>
      <c r="AE7" s="10">
        <v>45204.175330999999</v>
      </c>
      <c r="AF7" s="23">
        <v>393937.96969099995</v>
      </c>
      <c r="AG7" s="681">
        <f t="shared" ref="AG7:AG39" si="6">((Y7-Z7)/Y7)</f>
        <v>2.8380648265162928E-2</v>
      </c>
    </row>
    <row r="8" spans="1:33" ht="15">
      <c r="A8" s="28" t="s">
        <v>87</v>
      </c>
      <c r="B8" s="23" t="s">
        <v>1406</v>
      </c>
      <c r="C8" s="651">
        <v>111038.075675842</v>
      </c>
      <c r="D8" s="651">
        <v>102120.082019572</v>
      </c>
      <c r="E8" s="203">
        <f t="shared" si="0"/>
        <v>1.0895135059578289E-3</v>
      </c>
      <c r="F8" s="650">
        <v>79086</v>
      </c>
      <c r="G8" s="651">
        <v>80613</v>
      </c>
      <c r="H8" s="651">
        <v>110435.160344</v>
      </c>
      <c r="I8" s="651">
        <v>102382.04292199999</v>
      </c>
      <c r="J8" s="203">
        <f t="shared" si="1"/>
        <v>-5.1225667099300562E-4</v>
      </c>
      <c r="K8" s="651">
        <v>80671</v>
      </c>
      <c r="L8" s="203">
        <f t="shared" si="2"/>
        <v>-3.9607927058307622E-3</v>
      </c>
      <c r="M8" s="651">
        <v>6924.5949409287423</v>
      </c>
      <c r="N8" s="651">
        <v>10735.184812232092</v>
      </c>
      <c r="O8" s="651">
        <v>85974.938500037504</v>
      </c>
      <c r="P8" s="651">
        <v>7752.8048995198296</v>
      </c>
      <c r="Q8" s="24">
        <f t="shared" si="3"/>
        <v>111387.52315271817</v>
      </c>
      <c r="R8" s="651">
        <v>4084.1587890010528</v>
      </c>
      <c r="S8" s="651">
        <v>6101.4176931723505</v>
      </c>
      <c r="T8" s="651">
        <v>73104.632546317705</v>
      </c>
      <c r="U8" s="651">
        <v>6970.2023871555803</v>
      </c>
      <c r="V8" s="24">
        <f t="shared" si="4"/>
        <v>90260.411415646697</v>
      </c>
      <c r="W8" s="666">
        <v>230958.42449412099</v>
      </c>
      <c r="X8" s="651">
        <v>121490.054571734</v>
      </c>
      <c r="Y8" s="631">
        <v>11.91205765141282</v>
      </c>
      <c r="Z8" s="27">
        <v>11.728109060885751</v>
      </c>
      <c r="AA8" s="10">
        <v>121721.94073671701</v>
      </c>
      <c r="AB8" s="10">
        <f t="shared" si="5"/>
        <v>104169.00978499999</v>
      </c>
      <c r="AC8" s="10">
        <v>7041.728853999999</v>
      </c>
      <c r="AD8" s="23">
        <v>7171.935786</v>
      </c>
      <c r="AE8" s="10">
        <v>10058.573833999999</v>
      </c>
      <c r="AF8" s="23">
        <v>86938.50016499999</v>
      </c>
      <c r="AG8" s="681">
        <f t="shared" si="6"/>
        <v>1.5442217953440735E-2</v>
      </c>
    </row>
    <row r="9" spans="1:33" ht="15">
      <c r="A9" s="23" t="s">
        <v>7</v>
      </c>
      <c r="B9" s="23" t="s">
        <v>8</v>
      </c>
      <c r="C9" s="651">
        <v>345677.94788836298</v>
      </c>
      <c r="D9" s="651">
        <v>303386.01424380502</v>
      </c>
      <c r="E9" s="203">
        <f t="shared" si="0"/>
        <v>3.0774522387644857E-3</v>
      </c>
      <c r="F9" s="650">
        <v>237133</v>
      </c>
      <c r="G9" s="651">
        <v>235815</v>
      </c>
      <c r="H9" s="651">
        <v>340407.66779400001</v>
      </c>
      <c r="I9" s="651">
        <v>301904.98378000001</v>
      </c>
      <c r="J9" s="203">
        <f t="shared" si="1"/>
        <v>9.7920400129790429E-4</v>
      </c>
      <c r="K9" s="651">
        <v>241610</v>
      </c>
      <c r="L9" s="203">
        <f t="shared" si="2"/>
        <v>-3.7337503082323989E-3</v>
      </c>
      <c r="M9" s="651">
        <v>16229.246368396609</v>
      </c>
      <c r="N9" s="651">
        <v>35435.73785040369</v>
      </c>
      <c r="O9" s="651">
        <v>256265.27069751421</v>
      </c>
      <c r="P9" s="651">
        <v>38050.586650562887</v>
      </c>
      <c r="Q9" s="24">
        <f t="shared" si="3"/>
        <v>345980.84156687738</v>
      </c>
      <c r="R9" s="651">
        <v>10778.071415463261</v>
      </c>
      <c r="S9" s="651">
        <v>22335.544328684402</v>
      </c>
      <c r="T9" s="651">
        <v>208662.7557397155</v>
      </c>
      <c r="U9" s="651">
        <v>33111.212627748209</v>
      </c>
      <c r="V9" s="24">
        <f t="shared" si="4"/>
        <v>274887.58411161136</v>
      </c>
      <c r="W9" s="666">
        <v>523789.50983704702</v>
      </c>
      <c r="X9" s="651">
        <v>343709.473589373</v>
      </c>
      <c r="Y9" s="631">
        <v>14.820756107096592</v>
      </c>
      <c r="Z9" s="27">
        <v>14.35773729859771</v>
      </c>
      <c r="AA9" s="23">
        <v>340238.53011602198</v>
      </c>
      <c r="AB9" s="10">
        <f t="shared" si="5"/>
        <v>306397.06459300005</v>
      </c>
      <c r="AC9" s="23">
        <v>34386.932839000001</v>
      </c>
      <c r="AD9" s="23">
        <v>16653.848953999997</v>
      </c>
      <c r="AE9" s="10">
        <v>34093.544824999997</v>
      </c>
      <c r="AF9" s="23">
        <v>255649.67081400007</v>
      </c>
      <c r="AG9" s="681">
        <f t="shared" si="6"/>
        <v>3.1241240673083856E-2</v>
      </c>
    </row>
    <row r="10" spans="1:33" ht="15">
      <c r="A10" s="23" t="s">
        <v>9</v>
      </c>
      <c r="B10" s="23" t="s">
        <v>10</v>
      </c>
      <c r="C10" s="651">
        <v>387331.03421293001</v>
      </c>
      <c r="D10" s="651">
        <v>355330.177586996</v>
      </c>
      <c r="E10" s="203">
        <f t="shared" si="0"/>
        <v>8.5475558288690429E-3</v>
      </c>
      <c r="F10" s="650">
        <v>286063</v>
      </c>
      <c r="G10" s="651">
        <v>293444</v>
      </c>
      <c r="H10" s="651">
        <v>371193.52279800002</v>
      </c>
      <c r="I10" s="651">
        <v>343680.42701500002</v>
      </c>
      <c r="J10" s="203">
        <f t="shared" si="1"/>
        <v>6.6893142999625644E-3</v>
      </c>
      <c r="K10" s="651">
        <v>283346</v>
      </c>
      <c r="L10" s="203">
        <f t="shared" si="2"/>
        <v>1.9104827677010551E-3</v>
      </c>
      <c r="M10" s="651">
        <v>16911.405617805747</v>
      </c>
      <c r="N10" s="651">
        <v>31754.043115382628</v>
      </c>
      <c r="O10" s="651">
        <v>309498.77055737766</v>
      </c>
      <c r="P10" s="651">
        <v>28666.276005652511</v>
      </c>
      <c r="Q10" s="24">
        <f t="shared" si="3"/>
        <v>386830.49529621855</v>
      </c>
      <c r="R10" s="651">
        <v>9777.9291453160477</v>
      </c>
      <c r="S10" s="651">
        <v>18538.94623735005</v>
      </c>
      <c r="T10" s="651">
        <v>264187.31041596801</v>
      </c>
      <c r="U10" s="651">
        <v>25206.97601227403</v>
      </c>
      <c r="V10" s="24">
        <f t="shared" si="4"/>
        <v>317711.16181090812</v>
      </c>
      <c r="W10" s="666">
        <v>544065.35040835699</v>
      </c>
      <c r="X10" s="651">
        <v>325822.34181776998</v>
      </c>
      <c r="Y10" s="631">
        <v>14.52186506778509</v>
      </c>
      <c r="Z10" s="27">
        <v>14.168807203203166</v>
      </c>
      <c r="AA10" s="23">
        <v>320833.74349722202</v>
      </c>
      <c r="AB10" s="10">
        <f t="shared" si="5"/>
        <v>346533.58552700002</v>
      </c>
      <c r="AC10" s="23">
        <v>23837.062121999999</v>
      </c>
      <c r="AD10" s="23">
        <v>16228.125107000003</v>
      </c>
      <c r="AE10" s="10">
        <v>31133.859710000012</v>
      </c>
      <c r="AF10" s="23">
        <v>299171.60070999997</v>
      </c>
      <c r="AG10" s="681">
        <f t="shared" si="6"/>
        <v>2.4312157077202017E-2</v>
      </c>
    </row>
    <row r="11" spans="1:33" ht="15">
      <c r="A11" s="23" t="s">
        <v>11</v>
      </c>
      <c r="B11" s="23" t="s">
        <v>12</v>
      </c>
      <c r="C11" s="651">
        <v>839637.54188353696</v>
      </c>
      <c r="D11" s="651">
        <v>747371.08762943803</v>
      </c>
      <c r="E11" s="203">
        <f t="shared" si="0"/>
        <v>9.3214360594117383E-3</v>
      </c>
      <c r="F11" s="650">
        <v>655670</v>
      </c>
      <c r="G11" s="651">
        <v>671957</v>
      </c>
      <c r="H11" s="651">
        <v>801575.369404</v>
      </c>
      <c r="I11" s="651">
        <v>721685.62314899999</v>
      </c>
      <c r="J11" s="203">
        <f t="shared" si="1"/>
        <v>7.0189609055490588E-3</v>
      </c>
      <c r="K11" s="651">
        <v>642239</v>
      </c>
      <c r="L11" s="203">
        <f t="shared" si="2"/>
        <v>4.1480002438790799E-3</v>
      </c>
      <c r="M11" s="651">
        <v>41190.388376916773</v>
      </c>
      <c r="N11" s="651">
        <v>66307.599093406432</v>
      </c>
      <c r="O11" s="651">
        <v>648413.61666889326</v>
      </c>
      <c r="P11" s="651">
        <v>81478.111927826161</v>
      </c>
      <c r="Q11" s="24">
        <f t="shared" si="3"/>
        <v>837389.71606704267</v>
      </c>
      <c r="R11" s="651">
        <v>27187.989672325468</v>
      </c>
      <c r="S11" s="651">
        <v>40459.915498852199</v>
      </c>
      <c r="T11" s="651">
        <v>552618.38832878391</v>
      </c>
      <c r="U11" s="651">
        <v>71066.961823966602</v>
      </c>
      <c r="V11" s="24">
        <f t="shared" si="4"/>
        <v>691333.2553239282</v>
      </c>
      <c r="W11" s="666">
        <v>1162163.9920334001</v>
      </c>
      <c r="X11" s="651">
        <v>750000.705384081</v>
      </c>
      <c r="Y11" s="631">
        <v>14.979961462473719</v>
      </c>
      <c r="Z11" s="27">
        <v>14.4310541556264</v>
      </c>
      <c r="AA11" s="23">
        <v>722545.86142926803</v>
      </c>
      <c r="AB11" s="10">
        <f t="shared" si="5"/>
        <v>728647.42422300007</v>
      </c>
      <c r="AC11" s="23">
        <v>70963.77893</v>
      </c>
      <c r="AD11" s="23">
        <v>39372.826228999998</v>
      </c>
      <c r="AE11" s="10">
        <v>63633.832144</v>
      </c>
      <c r="AF11" s="23">
        <v>625640.76585000008</v>
      </c>
      <c r="AG11" s="681">
        <f t="shared" si="6"/>
        <v>3.6642771626775268E-2</v>
      </c>
    </row>
    <row r="12" spans="1:33" ht="15">
      <c r="A12" s="23" t="s">
        <v>13</v>
      </c>
      <c r="B12" s="23" t="s">
        <v>54</v>
      </c>
      <c r="C12" s="651">
        <v>505784.80023094697</v>
      </c>
      <c r="D12" s="651">
        <v>441247.75501029799</v>
      </c>
      <c r="E12" s="203">
        <f t="shared" si="0"/>
        <v>2.7443552477833004E-3</v>
      </c>
      <c r="F12" s="650">
        <v>376918</v>
      </c>
      <c r="G12" s="651">
        <v>383033</v>
      </c>
      <c r="H12" s="651">
        <v>498901.31014700001</v>
      </c>
      <c r="I12" s="651">
        <v>440833.47137799999</v>
      </c>
      <c r="J12" s="203">
        <f t="shared" si="1"/>
        <v>1.8788409402754395E-4</v>
      </c>
      <c r="K12" s="651">
        <v>375223</v>
      </c>
      <c r="L12" s="203">
        <f t="shared" si="2"/>
        <v>9.0183466171315444E-4</v>
      </c>
      <c r="M12" s="651">
        <v>21677.331755724255</v>
      </c>
      <c r="N12" s="651">
        <v>40519.738111904451</v>
      </c>
      <c r="O12" s="651">
        <v>386529.69188372931</v>
      </c>
      <c r="P12" s="651">
        <v>56745.769741650118</v>
      </c>
      <c r="Q12" s="24">
        <f t="shared" si="3"/>
        <v>505472.53149300814</v>
      </c>
      <c r="R12" s="651">
        <v>13149.162077610968</v>
      </c>
      <c r="S12" s="651">
        <v>24745.884372379202</v>
      </c>
      <c r="T12" s="651">
        <v>331926.48542699398</v>
      </c>
      <c r="U12" s="651">
        <v>49968.835926990432</v>
      </c>
      <c r="V12" s="24">
        <f t="shared" si="4"/>
        <v>419790.3678039746</v>
      </c>
      <c r="W12" s="666">
        <v>828258.76459199004</v>
      </c>
      <c r="X12" s="651">
        <v>478166.94128297199</v>
      </c>
      <c r="Y12" s="631">
        <v>14.000915341608927</v>
      </c>
      <c r="Z12" s="27">
        <v>13.604760800847439</v>
      </c>
      <c r="AA12" s="23">
        <v>477445.80941587797</v>
      </c>
      <c r="AB12" s="10">
        <f t="shared" si="5"/>
        <v>445751.58163600002</v>
      </c>
      <c r="AC12" s="23">
        <v>52600.033271000008</v>
      </c>
      <c r="AD12" s="23">
        <v>22278.045496999999</v>
      </c>
      <c r="AE12" s="10">
        <v>41706.260788</v>
      </c>
      <c r="AF12" s="23">
        <v>381767.27535100002</v>
      </c>
      <c r="AG12" s="681">
        <f t="shared" si="6"/>
        <v>2.829490294710715E-2</v>
      </c>
    </row>
    <row r="13" spans="1:33" ht="15">
      <c r="A13" s="23" t="s">
        <v>14</v>
      </c>
      <c r="B13" s="23" t="s">
        <v>15</v>
      </c>
      <c r="C13" s="651">
        <v>267453.12002146</v>
      </c>
      <c r="D13" s="651">
        <v>226000.78785056999</v>
      </c>
      <c r="E13" s="203">
        <f t="shared" si="0"/>
        <v>1.4762852068046287E-2</v>
      </c>
      <c r="F13" s="650">
        <v>176312</v>
      </c>
      <c r="G13" s="651">
        <v>183415</v>
      </c>
      <c r="H13" s="651">
        <v>248556.35217900001</v>
      </c>
      <c r="I13" s="651">
        <v>214359.22037299999</v>
      </c>
      <c r="J13" s="203">
        <f t="shared" si="1"/>
        <v>1.0633190332829971E-2</v>
      </c>
      <c r="K13" s="651">
        <v>172523</v>
      </c>
      <c r="L13" s="203">
        <f t="shared" si="2"/>
        <v>4.3543712371245441E-3</v>
      </c>
      <c r="M13" s="651">
        <v>11611.565579787311</v>
      </c>
      <c r="N13" s="651">
        <v>24344.446073637551</v>
      </c>
      <c r="O13" s="651">
        <v>195048.27958929641</v>
      </c>
      <c r="P13" s="651">
        <v>36314.827037564908</v>
      </c>
      <c r="Q13" s="24">
        <f t="shared" si="3"/>
        <v>267319.11828028614</v>
      </c>
      <c r="R13" s="651">
        <v>7200.4747311988458</v>
      </c>
      <c r="S13" s="651">
        <v>14352.915634604811</v>
      </c>
      <c r="T13" s="651">
        <v>161651.47068370361</v>
      </c>
      <c r="U13" s="651">
        <v>31535.507128332498</v>
      </c>
      <c r="V13" s="24">
        <f t="shared" si="4"/>
        <v>214740.36817783979</v>
      </c>
      <c r="W13" s="666">
        <v>435436.15924246103</v>
      </c>
      <c r="X13" s="651">
        <v>254207.271543902</v>
      </c>
      <c r="Y13" s="631">
        <v>13.818733235727937</v>
      </c>
      <c r="Z13" s="27">
        <v>13.41800774171791</v>
      </c>
      <c r="AA13" s="23">
        <v>237262.60345025401</v>
      </c>
      <c r="AB13" s="10">
        <f t="shared" si="5"/>
        <v>217063.58802600001</v>
      </c>
      <c r="AC13" s="23">
        <v>30443.380390999999</v>
      </c>
      <c r="AD13" s="23">
        <v>12066.166047000001</v>
      </c>
      <c r="AE13" s="10">
        <v>22823.031981</v>
      </c>
      <c r="AF13" s="23">
        <v>182174.389998</v>
      </c>
      <c r="AG13" s="681">
        <f t="shared" si="6"/>
        <v>2.8998714077059024E-2</v>
      </c>
    </row>
    <row r="14" spans="1:33" ht="15">
      <c r="A14" s="23" t="s">
        <v>16</v>
      </c>
      <c r="B14" s="23" t="s">
        <v>17</v>
      </c>
      <c r="C14" s="651">
        <v>463822.22515435802</v>
      </c>
      <c r="D14" s="651">
        <v>411905.45061853499</v>
      </c>
      <c r="E14" s="203">
        <f t="shared" si="0"/>
        <v>1.2042152824172854E-2</v>
      </c>
      <c r="F14" s="650">
        <v>332377</v>
      </c>
      <c r="G14" s="651">
        <v>340642</v>
      </c>
      <c r="H14" s="651">
        <v>436876.361064</v>
      </c>
      <c r="I14" s="651">
        <v>391045.10272999998</v>
      </c>
      <c r="J14" s="203">
        <f t="shared" si="1"/>
        <v>1.0448392926818085E-2</v>
      </c>
      <c r="K14" s="651">
        <v>320311</v>
      </c>
      <c r="L14" s="203">
        <f t="shared" si="2"/>
        <v>7.4229078048217616E-3</v>
      </c>
      <c r="M14" s="651">
        <v>23631.405788863853</v>
      </c>
      <c r="N14" s="651">
        <v>36157.350667740277</v>
      </c>
      <c r="O14" s="651">
        <v>354127.86449609126</v>
      </c>
      <c r="P14" s="651">
        <v>50226.587824115886</v>
      </c>
      <c r="Q14" s="24">
        <f t="shared" si="3"/>
        <v>464143.20877681125</v>
      </c>
      <c r="R14" s="651">
        <v>16470.907069577057</v>
      </c>
      <c r="S14" s="651">
        <v>21470.387933809943</v>
      </c>
      <c r="T14" s="651">
        <v>289333.25082278001</v>
      </c>
      <c r="U14" s="651">
        <v>44224.687065412363</v>
      </c>
      <c r="V14" s="24">
        <f t="shared" si="4"/>
        <v>371499.23289157933</v>
      </c>
      <c r="W14" s="666">
        <v>683912.480062227</v>
      </c>
      <c r="X14" s="651">
        <v>458803.00000349298</v>
      </c>
      <c r="Y14" s="631">
        <v>13.75433527755975</v>
      </c>
      <c r="Z14" s="27">
        <v>13.393878586124586</v>
      </c>
      <c r="AA14" s="23">
        <v>433039.54092026502</v>
      </c>
      <c r="AB14" s="10">
        <f t="shared" si="5"/>
        <v>396140.24761400005</v>
      </c>
      <c r="AC14" s="23">
        <v>40841.411199999995</v>
      </c>
      <c r="AD14" s="23">
        <v>22976.974778</v>
      </c>
      <c r="AE14" s="10">
        <v>35653.666215999998</v>
      </c>
      <c r="AF14" s="23">
        <v>337509.60662000004</v>
      </c>
      <c r="AG14" s="681">
        <f t="shared" si="6"/>
        <v>2.6206769295732582E-2</v>
      </c>
    </row>
    <row r="15" spans="1:33" ht="15">
      <c r="A15" s="23" t="s">
        <v>18</v>
      </c>
      <c r="B15" s="23" t="s">
        <v>19</v>
      </c>
      <c r="C15" s="651">
        <v>232521.88054070499</v>
      </c>
      <c r="D15" s="651">
        <v>192518.81741844199</v>
      </c>
      <c r="E15" s="203">
        <f t="shared" si="0"/>
        <v>-4.300100708951959E-3</v>
      </c>
      <c r="F15" s="650">
        <v>164372</v>
      </c>
      <c r="G15" s="651">
        <v>164865</v>
      </c>
      <c r="H15" s="651">
        <v>237586.363725</v>
      </c>
      <c r="I15" s="651">
        <v>200747.43226199999</v>
      </c>
      <c r="J15" s="203">
        <f t="shared" si="1"/>
        <v>-8.3357950226438417E-3</v>
      </c>
      <c r="K15" s="651">
        <v>171173</v>
      </c>
      <c r="L15" s="203">
        <f t="shared" si="2"/>
        <v>-8.0757324776127883E-3</v>
      </c>
      <c r="M15" s="651">
        <v>8768.0268997818475</v>
      </c>
      <c r="N15" s="651">
        <v>18146.795160427358</v>
      </c>
      <c r="O15" s="651">
        <v>170076.43696389627</v>
      </c>
      <c r="P15" s="651">
        <v>35718.000176133603</v>
      </c>
      <c r="Q15" s="24">
        <f t="shared" si="3"/>
        <v>232709.25920023909</v>
      </c>
      <c r="R15" s="651">
        <v>5401.7640978178979</v>
      </c>
      <c r="S15" s="651">
        <v>10438.762992950669</v>
      </c>
      <c r="T15" s="651">
        <v>144863.85515042499</v>
      </c>
      <c r="U15" s="651">
        <v>31091.865557282952</v>
      </c>
      <c r="V15" s="24">
        <f t="shared" si="4"/>
        <v>191796.24779847651</v>
      </c>
      <c r="W15" s="666">
        <v>382279.29383582802</v>
      </c>
      <c r="X15" s="651">
        <v>241917.844198134</v>
      </c>
      <c r="Y15" s="631">
        <v>13.860712391384784</v>
      </c>
      <c r="Z15" s="27">
        <v>13.425039692425134</v>
      </c>
      <c r="AA15" s="23">
        <v>250596.586456666</v>
      </c>
      <c r="AB15" s="10">
        <f t="shared" si="5"/>
        <v>204275.71548399999</v>
      </c>
      <c r="AC15" s="23">
        <v>33321.599107000002</v>
      </c>
      <c r="AD15" s="23">
        <v>9722.7450900000003</v>
      </c>
      <c r="AE15" s="10">
        <v>18152.708595</v>
      </c>
      <c r="AF15" s="23">
        <v>176400.26179899997</v>
      </c>
      <c r="AG15" s="681">
        <f t="shared" si="6"/>
        <v>3.1432201077229244E-2</v>
      </c>
    </row>
    <row r="16" spans="1:33" ht="15">
      <c r="A16" s="23" t="s">
        <v>20</v>
      </c>
      <c r="B16" s="23" t="s">
        <v>21</v>
      </c>
      <c r="C16" s="651">
        <v>347776.70573005901</v>
      </c>
      <c r="D16" s="651">
        <v>307654.62749984802</v>
      </c>
      <c r="E16" s="203">
        <f t="shared" si="0"/>
        <v>7.3677790681559484E-3</v>
      </c>
      <c r="F16" s="650">
        <v>228389</v>
      </c>
      <c r="G16" s="651">
        <v>233397</v>
      </c>
      <c r="H16" s="651">
        <v>335243.380091</v>
      </c>
      <c r="I16" s="651">
        <v>298407.78463100002</v>
      </c>
      <c r="J16" s="203">
        <f t="shared" si="1"/>
        <v>6.1220352482766862E-3</v>
      </c>
      <c r="K16" s="651">
        <v>225554</v>
      </c>
      <c r="L16" s="203">
        <f t="shared" si="2"/>
        <v>2.5012664358293377E-3</v>
      </c>
      <c r="M16" s="651">
        <v>16804.690593196952</v>
      </c>
      <c r="N16" s="651">
        <v>30930.91742587764</v>
      </c>
      <c r="O16" s="651">
        <v>263669.66892909777</v>
      </c>
      <c r="P16" s="651">
        <v>35899.224664550449</v>
      </c>
      <c r="Q16" s="24">
        <f t="shared" si="3"/>
        <v>347304.50161272282</v>
      </c>
      <c r="R16" s="651">
        <v>11416.904949826647</v>
      </c>
      <c r="S16" s="651">
        <v>19611.59938472306</v>
      </c>
      <c r="T16" s="651">
        <v>219826.21850918871</v>
      </c>
      <c r="U16" s="651">
        <v>32390.606946695418</v>
      </c>
      <c r="V16" s="24">
        <f t="shared" si="4"/>
        <v>283245.32979043381</v>
      </c>
      <c r="W16" s="666">
        <v>520806.36908269301</v>
      </c>
      <c r="X16" s="651">
        <v>344267.762559522</v>
      </c>
      <c r="Y16" s="631">
        <v>13.513924240540103</v>
      </c>
      <c r="Z16" s="27">
        <v>13.16479815087312</v>
      </c>
      <c r="AA16" s="23">
        <v>327871.43944856501</v>
      </c>
      <c r="AB16" s="10">
        <f t="shared" si="5"/>
        <v>301268.83590100001</v>
      </c>
      <c r="AC16" s="23">
        <v>33083.806359000002</v>
      </c>
      <c r="AD16" s="23">
        <v>15589.731428999999</v>
      </c>
      <c r="AE16" s="10">
        <v>30314.625325000001</v>
      </c>
      <c r="AF16" s="23">
        <v>255364.47914700001</v>
      </c>
      <c r="AG16" s="681">
        <f t="shared" si="6"/>
        <v>2.5834545425350845E-2</v>
      </c>
    </row>
    <row r="17" spans="1:33" ht="15">
      <c r="A17" s="23" t="s">
        <v>22</v>
      </c>
      <c r="B17" s="23" t="s">
        <v>23</v>
      </c>
      <c r="C17" s="651">
        <v>327383.45325654902</v>
      </c>
      <c r="D17" s="651">
        <v>295318.79629029601</v>
      </c>
      <c r="E17" s="203">
        <f t="shared" si="0"/>
        <v>-6.2020799620968832E-4</v>
      </c>
      <c r="F17" s="650">
        <v>218576</v>
      </c>
      <c r="G17" s="651">
        <v>218497</v>
      </c>
      <c r="H17" s="651">
        <v>328400.57413099997</v>
      </c>
      <c r="I17" s="651">
        <v>298380.92086200003</v>
      </c>
      <c r="J17" s="203">
        <f t="shared" si="1"/>
        <v>-2.0609712608104873E-3</v>
      </c>
      <c r="K17" s="651">
        <v>229632</v>
      </c>
      <c r="L17" s="203">
        <f t="shared" si="2"/>
        <v>-9.8203121874771739E-3</v>
      </c>
      <c r="M17" s="651">
        <v>19086.438264118948</v>
      </c>
      <c r="N17" s="651">
        <v>28138.667332985242</v>
      </c>
      <c r="O17" s="651">
        <v>252682.83128376049</v>
      </c>
      <c r="P17" s="651">
        <v>27601.915851925223</v>
      </c>
      <c r="Q17" s="24">
        <f t="shared" si="3"/>
        <v>327509.85273278988</v>
      </c>
      <c r="R17" s="651">
        <v>13124.846171182679</v>
      </c>
      <c r="S17" s="651">
        <v>16593.39856615003</v>
      </c>
      <c r="T17" s="651">
        <v>216124.73325986671</v>
      </c>
      <c r="U17" s="651">
        <v>24855.14181578999</v>
      </c>
      <c r="V17" s="24">
        <f t="shared" si="4"/>
        <v>270698.11981298943</v>
      </c>
      <c r="W17" s="666">
        <v>537180.55246636504</v>
      </c>
      <c r="X17" s="651">
        <v>334843.10260444501</v>
      </c>
      <c r="Y17" s="631">
        <v>13.597969100016153</v>
      </c>
      <c r="Z17" s="27">
        <v>13.227189820904128</v>
      </c>
      <c r="AA17" s="23">
        <v>337827.37494399998</v>
      </c>
      <c r="AB17" s="10">
        <f t="shared" si="5"/>
        <v>301043.06979099999</v>
      </c>
      <c r="AC17" s="23">
        <v>27197.398660999999</v>
      </c>
      <c r="AD17" s="23">
        <v>19107.801342999999</v>
      </c>
      <c r="AE17" s="10">
        <v>27691.206944000001</v>
      </c>
      <c r="AF17" s="23">
        <v>254244.06150400001</v>
      </c>
      <c r="AG17" s="681">
        <f t="shared" si="6"/>
        <v>2.7267254130735181E-2</v>
      </c>
    </row>
    <row r="18" spans="1:33" ht="15">
      <c r="A18" s="23" t="s">
        <v>24</v>
      </c>
      <c r="B18" s="23" t="s">
        <v>25</v>
      </c>
      <c r="C18" s="651">
        <v>278062.73531427799</v>
      </c>
      <c r="D18" s="651">
        <v>251748.381061094</v>
      </c>
      <c r="E18" s="203">
        <f>+RATE((2013-2008),,-H18,C18)</f>
        <v>4.3657199765244733E-4</v>
      </c>
      <c r="F18" s="650">
        <v>208240</v>
      </c>
      <c r="G18" s="651">
        <v>209010</v>
      </c>
      <c r="H18" s="651">
        <v>277456.557447</v>
      </c>
      <c r="I18" s="651">
        <v>253829.92957899999</v>
      </c>
      <c r="J18" s="203">
        <f t="shared" si="1"/>
        <v>-1.6455193126931325E-3</v>
      </c>
      <c r="K18" s="651">
        <v>211643</v>
      </c>
      <c r="L18" s="203">
        <f t="shared" si="2"/>
        <v>-3.2366770833257706E-3</v>
      </c>
      <c r="M18" s="651">
        <v>13242.12690357714</v>
      </c>
      <c r="N18" s="651">
        <v>23017.588258729411</v>
      </c>
      <c r="O18" s="651">
        <v>217893.82965633896</v>
      </c>
      <c r="P18" s="651">
        <v>23167.914245608525</v>
      </c>
      <c r="Q18" s="24">
        <f t="shared" si="3"/>
        <v>277321.45906425407</v>
      </c>
      <c r="R18" s="651">
        <v>8953.8594948181581</v>
      </c>
      <c r="S18" s="651">
        <v>14631.01605695903</v>
      </c>
      <c r="T18" s="651">
        <v>185517.8214089144</v>
      </c>
      <c r="U18" s="651">
        <v>20211.730961541354</v>
      </c>
      <c r="V18" s="24">
        <f t="shared" si="4"/>
        <v>229314.42792223295</v>
      </c>
      <c r="W18" s="666">
        <v>390148.10991035798</v>
      </c>
      <c r="X18" s="651">
        <v>239680.07894262299</v>
      </c>
      <c r="Y18" s="631">
        <v>13.795929401059361</v>
      </c>
      <c r="Z18" s="27">
        <v>13.407632051817881</v>
      </c>
      <c r="AA18" s="23">
        <v>244392.9887164</v>
      </c>
      <c r="AB18" s="10">
        <f t="shared" si="5"/>
        <v>256881.897513</v>
      </c>
      <c r="AC18" s="23">
        <v>20584.389017000005</v>
      </c>
      <c r="AD18" s="23">
        <v>12787.057648999998</v>
      </c>
      <c r="AE18" s="10">
        <v>22736.623454</v>
      </c>
      <c r="AF18" s="23">
        <v>221358.21640999999</v>
      </c>
      <c r="AG18" s="681">
        <f t="shared" si="6"/>
        <v>2.8145791265912341E-2</v>
      </c>
    </row>
    <row r="19" spans="1:33" ht="15">
      <c r="A19" s="23" t="s">
        <v>51</v>
      </c>
      <c r="B19" s="23" t="s">
        <v>55</v>
      </c>
      <c r="C19" s="651">
        <v>218578.722232728</v>
      </c>
      <c r="D19" s="651">
        <v>184143.81834894599</v>
      </c>
      <c r="E19" s="203">
        <f t="shared" si="0"/>
        <v>8.0096122576923116E-6</v>
      </c>
      <c r="F19" s="650">
        <v>125275</v>
      </c>
      <c r="G19" s="651">
        <v>125682</v>
      </c>
      <c r="H19" s="651">
        <v>218569.96878900001</v>
      </c>
      <c r="I19" s="651">
        <v>187995.22128</v>
      </c>
      <c r="J19" s="203">
        <f t="shared" si="1"/>
        <v>-4.1313364559664991E-3</v>
      </c>
      <c r="K19" s="651">
        <v>124615</v>
      </c>
      <c r="L19" s="203">
        <f t="shared" si="2"/>
        <v>1.0570255592380674E-3</v>
      </c>
      <c r="M19" s="651">
        <v>7690.6598882417929</v>
      </c>
      <c r="N19" s="651">
        <v>20966.549153085121</v>
      </c>
      <c r="O19" s="651">
        <v>159831.99800141601</v>
      </c>
      <c r="P19" s="651">
        <v>30580.373561543518</v>
      </c>
      <c r="Q19" s="24">
        <f t="shared" si="3"/>
        <v>219069.58060428646</v>
      </c>
      <c r="R19" s="651">
        <v>4685.1209910044645</v>
      </c>
      <c r="S19" s="651">
        <v>13844.06144424235</v>
      </c>
      <c r="T19" s="651">
        <v>133858.28696339039</v>
      </c>
      <c r="U19" s="651">
        <v>27014.3029683407</v>
      </c>
      <c r="V19" s="24">
        <f t="shared" si="4"/>
        <v>179401.77236697791</v>
      </c>
      <c r="W19" s="666">
        <v>370103.84070545703</v>
      </c>
      <c r="X19" s="651">
        <v>221969.09059669299</v>
      </c>
      <c r="Y19" s="631">
        <v>12.791901451173304</v>
      </c>
      <c r="Z19" s="27">
        <v>12.448909705786413</v>
      </c>
      <c r="AA19" s="23">
        <v>222876.54310259901</v>
      </c>
      <c r="AB19" s="10">
        <f t="shared" si="5"/>
        <v>190348.54826499999</v>
      </c>
      <c r="AC19" s="23">
        <v>27611.707331000001</v>
      </c>
      <c r="AD19" s="23">
        <v>8379.9659460000003</v>
      </c>
      <c r="AE19" s="10">
        <v>23238.732591</v>
      </c>
      <c r="AF19" s="23">
        <v>158729.849728</v>
      </c>
      <c r="AG19" s="681">
        <f t="shared" si="6"/>
        <v>2.681319479329098E-2</v>
      </c>
    </row>
    <row r="20" spans="1:33" ht="15">
      <c r="A20" s="23" t="s">
        <v>26</v>
      </c>
      <c r="B20" s="23" t="s">
        <v>27</v>
      </c>
      <c r="C20" s="651">
        <v>630708.37720184296</v>
      </c>
      <c r="D20" s="651">
        <v>549671.60423330101</v>
      </c>
      <c r="E20" s="203">
        <f t="shared" si="0"/>
        <v>1.2323002856327181E-2</v>
      </c>
      <c r="F20" s="650">
        <v>440030</v>
      </c>
      <c r="G20" s="651">
        <v>449559</v>
      </c>
      <c r="H20" s="651">
        <v>593243.61490599997</v>
      </c>
      <c r="I20" s="651">
        <v>522887.66638000001</v>
      </c>
      <c r="J20" s="203">
        <f t="shared" si="1"/>
        <v>1.0040947939928014E-2</v>
      </c>
      <c r="K20" s="651">
        <v>414759</v>
      </c>
      <c r="L20" s="203">
        <f t="shared" si="2"/>
        <v>1.1899295512235987E-2</v>
      </c>
      <c r="M20" s="651">
        <v>29018.86888941456</v>
      </c>
      <c r="N20" s="651">
        <v>50521.040771191721</v>
      </c>
      <c r="O20" s="651">
        <v>478830.14009566279</v>
      </c>
      <c r="P20" s="651">
        <v>71401.690928578086</v>
      </c>
      <c r="Q20" s="24">
        <f t="shared" si="3"/>
        <v>629771.74068484711</v>
      </c>
      <c r="R20" s="651">
        <v>20230.702510546762</v>
      </c>
      <c r="S20" s="651">
        <v>29794.339120840999</v>
      </c>
      <c r="T20" s="651">
        <v>407554.17886808596</v>
      </c>
      <c r="U20" s="651">
        <v>62282.161666350221</v>
      </c>
      <c r="V20" s="24">
        <f t="shared" si="4"/>
        <v>519861.38216582395</v>
      </c>
      <c r="W20" s="666">
        <v>951646.22090723203</v>
      </c>
      <c r="X20" s="651">
        <v>621656.86494457105</v>
      </c>
      <c r="Y20" s="631">
        <v>14.945434254949156</v>
      </c>
      <c r="Z20" s="27">
        <v>14.469494715567311</v>
      </c>
      <c r="AA20" s="23">
        <v>580137.83770902595</v>
      </c>
      <c r="AB20" s="10">
        <f t="shared" si="5"/>
        <v>530039.4719169999</v>
      </c>
      <c r="AC20" s="23">
        <v>62079.259387999991</v>
      </c>
      <c r="AD20" s="23">
        <v>27961.751189000002</v>
      </c>
      <c r="AE20" s="10">
        <v>48768.823919999995</v>
      </c>
      <c r="AF20" s="23">
        <v>453308.89680799993</v>
      </c>
      <c r="AG20" s="681">
        <f t="shared" si="6"/>
        <v>3.1845146234157622E-2</v>
      </c>
    </row>
    <row r="21" spans="1:33" ht="15">
      <c r="A21" s="23" t="s">
        <v>28</v>
      </c>
      <c r="B21" s="23" t="s">
        <v>29</v>
      </c>
      <c r="C21" s="651">
        <v>996189.35122381104</v>
      </c>
      <c r="D21" s="651">
        <v>881057.56754287903</v>
      </c>
      <c r="E21" s="203">
        <f t="shared" si="0"/>
        <v>9.0813880199497009E-3</v>
      </c>
      <c r="F21" s="650">
        <v>765017</v>
      </c>
      <c r="G21" s="651">
        <v>783230</v>
      </c>
      <c r="H21" s="651">
        <v>952162.15416000003</v>
      </c>
      <c r="I21" s="651">
        <v>851837.278147</v>
      </c>
      <c r="J21" s="203">
        <f t="shared" si="1"/>
        <v>6.7682913970371376E-3</v>
      </c>
      <c r="K21" s="651">
        <v>750819</v>
      </c>
      <c r="L21" s="203">
        <f t="shared" si="2"/>
        <v>3.7537166272614275E-3</v>
      </c>
      <c r="M21" s="651">
        <v>50986.711883319389</v>
      </c>
      <c r="N21" s="651">
        <v>77027.902098551276</v>
      </c>
      <c r="O21" s="651">
        <v>764278.20848929486</v>
      </c>
      <c r="P21" s="651">
        <v>101968.02710458099</v>
      </c>
      <c r="Q21" s="24">
        <f t="shared" si="3"/>
        <v>994260.84957574657</v>
      </c>
      <c r="R21" s="651">
        <v>34489.850637050848</v>
      </c>
      <c r="S21" s="651">
        <v>46810.002082020503</v>
      </c>
      <c r="T21" s="651">
        <v>649733.42340445099</v>
      </c>
      <c r="U21" s="651">
        <v>89341.00652709679</v>
      </c>
      <c r="V21" s="24">
        <f t="shared" si="4"/>
        <v>820374.28265061905</v>
      </c>
      <c r="W21" s="666">
        <v>1455146.8604387001</v>
      </c>
      <c r="X21" s="651">
        <v>952448.28859524499</v>
      </c>
      <c r="Y21" s="631">
        <v>14.861451964915183</v>
      </c>
      <c r="Z21" s="678">
        <v>14.316024307753795</v>
      </c>
      <c r="AA21" s="23">
        <v>912121.39386323199</v>
      </c>
      <c r="AB21" s="10">
        <f t="shared" si="5"/>
        <v>861520.58272700012</v>
      </c>
      <c r="AC21" s="23">
        <v>89257.591108999986</v>
      </c>
      <c r="AD21" s="23">
        <v>49038.530569999995</v>
      </c>
      <c r="AE21" s="10">
        <v>74651.326885000002</v>
      </c>
      <c r="AF21" s="23">
        <v>737830.72527200007</v>
      </c>
      <c r="AG21" s="681">
        <f t="shared" si="6"/>
        <v>3.670083235803813E-2</v>
      </c>
    </row>
    <row r="22" spans="1:33" ht="15">
      <c r="A22" s="23" t="s">
        <v>30</v>
      </c>
      <c r="B22" s="23" t="s">
        <v>485</v>
      </c>
      <c r="C22" s="651">
        <v>688605.441483045</v>
      </c>
      <c r="D22" s="651">
        <v>601515.43208262697</v>
      </c>
      <c r="E22" s="203">
        <f t="shared" si="0"/>
        <v>2.5572744039192214E-3</v>
      </c>
      <c r="F22" s="650">
        <v>512369</v>
      </c>
      <c r="G22" s="651">
        <v>521553</v>
      </c>
      <c r="H22" s="651">
        <v>679867.82372800005</v>
      </c>
      <c r="I22" s="651">
        <v>602224.87962699996</v>
      </c>
      <c r="J22" s="203">
        <f t="shared" si="1"/>
        <v>-2.3571994751747232E-4</v>
      </c>
      <c r="K22" s="651">
        <v>509414</v>
      </c>
      <c r="L22" s="203">
        <f t="shared" si="2"/>
        <v>1.1574739768097811E-3</v>
      </c>
      <c r="M22" s="651">
        <v>30324.406655272556</v>
      </c>
      <c r="N22" s="651">
        <v>55713.46120947782</v>
      </c>
      <c r="O22" s="651">
        <v>524664.94018051389</v>
      </c>
      <c r="P22" s="651">
        <v>77299.86451622867</v>
      </c>
      <c r="Q22" s="24">
        <f t="shared" si="3"/>
        <v>688002.672561493</v>
      </c>
      <c r="R22" s="651">
        <v>18477.419802505268</v>
      </c>
      <c r="S22" s="651">
        <v>33683.424357947399</v>
      </c>
      <c r="T22" s="651">
        <v>449731.62275426602</v>
      </c>
      <c r="U22" s="651">
        <v>67702.114140697697</v>
      </c>
      <c r="V22" s="24">
        <f t="shared" si="4"/>
        <v>569594.58105541638</v>
      </c>
      <c r="W22" s="666">
        <v>1108587.3981570599</v>
      </c>
      <c r="X22" s="651">
        <v>650554.73893784406</v>
      </c>
      <c r="Y22" s="631">
        <v>14.329480415194649</v>
      </c>
      <c r="Z22" s="678">
        <v>13.912795852155888</v>
      </c>
      <c r="AA22" s="23">
        <v>648987.94354324799</v>
      </c>
      <c r="AB22" s="10">
        <f t="shared" si="5"/>
        <v>608663.57602499996</v>
      </c>
      <c r="AC22" s="23">
        <v>70092.342994000006</v>
      </c>
      <c r="AD22" s="23">
        <v>31186.028713000003</v>
      </c>
      <c r="AE22" s="10">
        <v>56868.864819999995</v>
      </c>
      <c r="AF22" s="23">
        <v>520608.68249199999</v>
      </c>
      <c r="AG22" s="681">
        <f t="shared" si="6"/>
        <v>2.9078832655852468E-2</v>
      </c>
    </row>
    <row r="23" spans="1:33" ht="15">
      <c r="A23" s="23" t="s">
        <v>31</v>
      </c>
      <c r="B23" s="23" t="s">
        <v>32</v>
      </c>
      <c r="C23" s="651">
        <v>585136.96504631604</v>
      </c>
      <c r="D23" s="651">
        <v>514114.92727282201</v>
      </c>
      <c r="E23" s="203">
        <f t="shared" si="0"/>
        <v>1.3159458095122461E-2</v>
      </c>
      <c r="F23" s="650">
        <v>417025</v>
      </c>
      <c r="G23" s="651">
        <v>426634</v>
      </c>
      <c r="H23" s="651">
        <v>548111.00209700002</v>
      </c>
      <c r="I23" s="651">
        <v>487309.67577099998</v>
      </c>
      <c r="J23" s="203">
        <f t="shared" si="1"/>
        <v>1.0766956716773503E-2</v>
      </c>
      <c r="K23" s="651">
        <v>392229</v>
      </c>
      <c r="L23" s="203">
        <f t="shared" si="2"/>
        <v>1.2335526488562345E-2</v>
      </c>
      <c r="M23" s="651">
        <v>26578.692500875713</v>
      </c>
      <c r="N23" s="651">
        <v>46273.466883257919</v>
      </c>
      <c r="O23" s="651">
        <v>449196.01192483655</v>
      </c>
      <c r="P23" s="651">
        <v>61993.863728132419</v>
      </c>
      <c r="Q23" s="24">
        <f t="shared" si="3"/>
        <v>584042.03503710264</v>
      </c>
      <c r="R23" s="651">
        <v>18578.815241116987</v>
      </c>
      <c r="S23" s="651">
        <v>27373.886166321099</v>
      </c>
      <c r="T23" s="651">
        <v>383583.12067707395</v>
      </c>
      <c r="U23" s="651">
        <v>53825.785769220616</v>
      </c>
      <c r="V23" s="24">
        <f t="shared" si="4"/>
        <v>483361.60785373265</v>
      </c>
      <c r="W23" s="666">
        <v>870242.057499605</v>
      </c>
      <c r="X23" s="651">
        <v>570012.99181795004</v>
      </c>
      <c r="Y23" s="631">
        <v>15.128036887189754</v>
      </c>
      <c r="Z23" s="678">
        <v>14.652794322327852</v>
      </c>
      <c r="AA23" s="23">
        <v>530487.21427943895</v>
      </c>
      <c r="AB23" s="10">
        <f t="shared" si="5"/>
        <v>493792.95183200005</v>
      </c>
      <c r="AC23" s="23">
        <v>53034.128169999996</v>
      </c>
      <c r="AD23" s="23">
        <v>25779.858155000002</v>
      </c>
      <c r="AE23" s="10">
        <v>44420.139586000005</v>
      </c>
      <c r="AF23" s="23">
        <v>423592.95409100002</v>
      </c>
      <c r="AG23" s="681">
        <f t="shared" si="6"/>
        <v>3.1414688396505207E-2</v>
      </c>
    </row>
    <row r="24" spans="1:33" ht="15">
      <c r="A24" s="23" t="s">
        <v>33</v>
      </c>
      <c r="B24" s="23" t="s">
        <v>34</v>
      </c>
      <c r="C24" s="651">
        <v>515372.49998033699</v>
      </c>
      <c r="D24" s="651">
        <v>470326.215491226</v>
      </c>
      <c r="E24" s="203">
        <f t="shared" si="0"/>
        <v>4.9414729293823408E-3</v>
      </c>
      <c r="F24" s="650">
        <v>387537</v>
      </c>
      <c r="G24" s="651">
        <v>392278</v>
      </c>
      <c r="H24" s="651">
        <v>502825.61519699998</v>
      </c>
      <c r="I24" s="651">
        <v>463858.40402199997</v>
      </c>
      <c r="J24" s="203">
        <f t="shared" si="1"/>
        <v>2.7732759446185795E-3</v>
      </c>
      <c r="K24" s="651">
        <v>390533</v>
      </c>
      <c r="L24" s="203">
        <f t="shared" si="2"/>
        <v>-1.5390433852506252E-3</v>
      </c>
      <c r="M24" s="651">
        <v>23479.538433109941</v>
      </c>
      <c r="N24" s="651">
        <v>42572.28715641921</v>
      </c>
      <c r="O24" s="651">
        <v>408466.38690410508</v>
      </c>
      <c r="P24" s="651">
        <v>40526.588523692393</v>
      </c>
      <c r="Q24" s="24">
        <f t="shared" si="3"/>
        <v>515044.80101732659</v>
      </c>
      <c r="R24" s="651">
        <v>13668.584374906637</v>
      </c>
      <c r="S24" s="651">
        <v>25007.6395518434</v>
      </c>
      <c r="T24" s="651">
        <v>348594.74337827403</v>
      </c>
      <c r="U24" s="651">
        <v>35738.869624507184</v>
      </c>
      <c r="V24" s="24">
        <f t="shared" si="4"/>
        <v>423009.83692953124</v>
      </c>
      <c r="W24" s="666">
        <v>783346.80999858701</v>
      </c>
      <c r="X24" s="651">
        <v>462517.55100313999</v>
      </c>
      <c r="Y24" s="631">
        <v>14.267949149476069</v>
      </c>
      <c r="Z24" s="678">
        <v>13.928100174927568</v>
      </c>
      <c r="AA24" s="23">
        <v>459031.21814614598</v>
      </c>
      <c r="AB24" s="10">
        <f t="shared" si="5"/>
        <v>467715.20560600003</v>
      </c>
      <c r="AC24" s="23">
        <v>33935.312629</v>
      </c>
      <c r="AD24" s="23">
        <v>23313.085898000001</v>
      </c>
      <c r="AE24" s="10">
        <v>42236.336986000002</v>
      </c>
      <c r="AF24" s="23">
        <v>402165.78272200003</v>
      </c>
      <c r="AG24" s="681">
        <f t="shared" si="6"/>
        <v>2.3819048623465275E-2</v>
      </c>
    </row>
    <row r="25" spans="1:33" ht="15">
      <c r="A25" s="23" t="s">
        <v>35</v>
      </c>
      <c r="B25" s="23" t="s">
        <v>61</v>
      </c>
      <c r="C25" s="651">
        <v>512882.00462141802</v>
      </c>
      <c r="D25" s="651">
        <v>447935.376947137</v>
      </c>
      <c r="E25" s="203">
        <f t="shared" si="0"/>
        <v>1.0494707002205398E-2</v>
      </c>
      <c r="F25" s="650">
        <v>352500</v>
      </c>
      <c r="G25" s="651">
        <v>360254</v>
      </c>
      <c r="H25" s="651">
        <v>486796.27495799999</v>
      </c>
      <c r="I25" s="651">
        <v>431683.99110400002</v>
      </c>
      <c r="J25" s="203">
        <f t="shared" si="1"/>
        <v>7.418412213654229E-3</v>
      </c>
      <c r="K25" s="651">
        <v>337384</v>
      </c>
      <c r="L25" s="203">
        <f t="shared" si="2"/>
        <v>8.8043068548697753E-3</v>
      </c>
      <c r="M25" s="651">
        <v>23096.269371553819</v>
      </c>
      <c r="N25" s="651">
        <v>42707.971705598982</v>
      </c>
      <c r="O25" s="651">
        <v>389254.37106353132</v>
      </c>
      <c r="P25" s="651">
        <v>58542.349740917867</v>
      </c>
      <c r="Q25" s="24">
        <f t="shared" si="3"/>
        <v>513600.96188160201</v>
      </c>
      <c r="R25" s="651">
        <v>15014.209395536865</v>
      </c>
      <c r="S25" s="651">
        <v>25816.3696017525</v>
      </c>
      <c r="T25" s="651">
        <v>337713.52355393698</v>
      </c>
      <c r="U25" s="651">
        <v>51578.945077267548</v>
      </c>
      <c r="V25" s="24">
        <f t="shared" si="4"/>
        <v>430123.04762849386</v>
      </c>
      <c r="W25" s="666">
        <v>786074.49734392005</v>
      </c>
      <c r="X25" s="651">
        <v>502201.74749420898</v>
      </c>
      <c r="Y25" s="631">
        <v>14.009168103141862</v>
      </c>
      <c r="Z25" s="678">
        <v>13.617335550067656</v>
      </c>
      <c r="AA25" s="23">
        <v>474929.022115689</v>
      </c>
      <c r="AB25" s="10">
        <f t="shared" si="5"/>
        <v>437636.29533899995</v>
      </c>
      <c r="AC25" s="23">
        <v>47890.450849000001</v>
      </c>
      <c r="AD25" s="23">
        <v>22388.032539</v>
      </c>
      <c r="AE25" s="10">
        <v>42074.458440000002</v>
      </c>
      <c r="AF25" s="23">
        <v>373173.80435999995</v>
      </c>
      <c r="AG25" s="681">
        <f t="shared" si="6"/>
        <v>2.7969723126266787E-2</v>
      </c>
    </row>
    <row r="26" spans="1:33" ht="15">
      <c r="A26" s="23" t="s">
        <v>36</v>
      </c>
      <c r="B26" s="23" t="s">
        <v>37</v>
      </c>
      <c r="C26" s="651">
        <v>392892.37895711401</v>
      </c>
      <c r="D26" s="651">
        <v>325565.87056983699</v>
      </c>
      <c r="E26" s="203">
        <f t="shared" si="0"/>
        <v>-1.4739409536275545E-3</v>
      </c>
      <c r="F26" s="650">
        <v>283843</v>
      </c>
      <c r="G26" s="651">
        <v>285089</v>
      </c>
      <c r="H26" s="651">
        <v>395800.72735100001</v>
      </c>
      <c r="I26" s="651">
        <v>334131.35727600002</v>
      </c>
      <c r="J26" s="203">
        <f t="shared" si="1"/>
        <v>-5.1804136150061892E-3</v>
      </c>
      <c r="K26" s="651">
        <v>289340</v>
      </c>
      <c r="L26" s="203">
        <f t="shared" si="2"/>
        <v>-3.8288907929705197E-3</v>
      </c>
      <c r="M26" s="651">
        <v>14244.013478951307</v>
      </c>
      <c r="N26" s="651">
        <v>29201.705889899051</v>
      </c>
      <c r="O26" s="651">
        <v>289359.86545078881</v>
      </c>
      <c r="P26" s="651">
        <v>59996.532411959335</v>
      </c>
      <c r="Q26" s="24">
        <f t="shared" si="3"/>
        <v>392802.11723159847</v>
      </c>
      <c r="R26" s="651">
        <v>8838.3194206987464</v>
      </c>
      <c r="S26" s="651">
        <v>17255.40623594886</v>
      </c>
      <c r="T26" s="651">
        <v>248672.495741722</v>
      </c>
      <c r="U26" s="651">
        <v>52692.947857321626</v>
      </c>
      <c r="V26" s="24">
        <f t="shared" si="4"/>
        <v>327459.16925569123</v>
      </c>
      <c r="W26" s="666">
        <v>617020.295934494</v>
      </c>
      <c r="X26" s="651">
        <v>394314.51727321098</v>
      </c>
      <c r="Y26" s="631">
        <v>14.171843034329285</v>
      </c>
      <c r="Z26" s="678">
        <v>13.728346434753751</v>
      </c>
      <c r="AA26" s="23">
        <v>401214.73646928498</v>
      </c>
      <c r="AB26" s="10">
        <f t="shared" si="5"/>
        <v>340831.21386200003</v>
      </c>
      <c r="AC26" s="23">
        <v>55146.995300999995</v>
      </c>
      <c r="AD26" s="23">
        <v>15549.024776000002</v>
      </c>
      <c r="AE26" s="10">
        <v>29879.064994</v>
      </c>
      <c r="AF26" s="23">
        <v>295403.12409200001</v>
      </c>
      <c r="AG26" s="681">
        <f t="shared" si="6"/>
        <v>3.1294207711814619E-2</v>
      </c>
    </row>
    <row r="27" spans="1:33" ht="15">
      <c r="A27" s="23" t="s">
        <v>38</v>
      </c>
      <c r="B27" s="23" t="s">
        <v>39</v>
      </c>
      <c r="C27" s="651">
        <v>412261.70266536402</v>
      </c>
      <c r="D27" s="651">
        <v>367962.76934933098</v>
      </c>
      <c r="E27" s="203">
        <f t="shared" si="0"/>
        <v>1.3142100213415676E-2</v>
      </c>
      <c r="F27" s="650">
        <v>298288</v>
      </c>
      <c r="G27" s="651">
        <v>305537</v>
      </c>
      <c r="H27" s="651">
        <v>386207.92417700001</v>
      </c>
      <c r="I27" s="651">
        <v>347801.66729499999</v>
      </c>
      <c r="J27" s="203">
        <f t="shared" si="1"/>
        <v>1.133361767418669E-2</v>
      </c>
      <c r="K27" s="651">
        <v>285321</v>
      </c>
      <c r="L27" s="203">
        <f t="shared" si="2"/>
        <v>8.9285438699916678E-3</v>
      </c>
      <c r="M27" s="651">
        <v>20678.647392906692</v>
      </c>
      <c r="N27" s="651">
        <v>32226.930293693422</v>
      </c>
      <c r="O27" s="651">
        <v>315941.34814109682</v>
      </c>
      <c r="P27" s="651">
        <v>43195.344309757995</v>
      </c>
      <c r="Q27" s="24">
        <f t="shared" si="3"/>
        <v>412042.27013745491</v>
      </c>
      <c r="R27" s="651">
        <v>14327.275010090019</v>
      </c>
      <c r="S27" s="651">
        <v>18929.591035494941</v>
      </c>
      <c r="T27" s="651">
        <v>258611.07900979</v>
      </c>
      <c r="U27" s="651">
        <v>37782.808569078137</v>
      </c>
      <c r="V27" s="24">
        <f t="shared" si="4"/>
        <v>329650.75362445315</v>
      </c>
      <c r="W27" s="666">
        <v>598988.96924922301</v>
      </c>
      <c r="X27" s="651">
        <v>397707.97566772398</v>
      </c>
      <c r="Y27" s="631">
        <v>14.059346151643572</v>
      </c>
      <c r="Z27" s="678">
        <v>13.687143535015636</v>
      </c>
      <c r="AA27" s="23">
        <v>376298.47884402802</v>
      </c>
      <c r="AB27" s="10">
        <f t="shared" si="5"/>
        <v>352458.02160800004</v>
      </c>
      <c r="AC27" s="23">
        <v>33909.391466000001</v>
      </c>
      <c r="AD27" s="23">
        <v>19759.271101999999</v>
      </c>
      <c r="AE27" s="10">
        <v>31560.473679000002</v>
      </c>
      <c r="AF27" s="23">
        <v>301138.27682700002</v>
      </c>
      <c r="AG27" s="681">
        <f t="shared" si="6"/>
        <v>2.6473678975776876E-2</v>
      </c>
    </row>
    <row r="28" spans="1:33" ht="15">
      <c r="A28" s="23" t="s">
        <v>40</v>
      </c>
      <c r="B28" s="23" t="s">
        <v>41</v>
      </c>
      <c r="C28" s="651">
        <v>341277.24497960799</v>
      </c>
      <c r="D28" s="651">
        <v>306590.93328608503</v>
      </c>
      <c r="E28" s="203">
        <f t="shared" si="0"/>
        <v>7.0430232111446723E-4</v>
      </c>
      <c r="F28" s="650">
        <v>253483</v>
      </c>
      <c r="G28" s="651">
        <v>254314</v>
      </c>
      <c r="H28" s="651">
        <v>340077.96834999998</v>
      </c>
      <c r="I28" s="651">
        <v>309065.39053199999</v>
      </c>
      <c r="J28" s="203">
        <f t="shared" si="1"/>
        <v>-1.6064043797708058E-3</v>
      </c>
      <c r="K28" s="651">
        <v>258107</v>
      </c>
      <c r="L28" s="203">
        <f t="shared" si="2"/>
        <v>-3.6089655705513228E-3</v>
      </c>
      <c r="M28" s="651">
        <v>17276.807111064569</v>
      </c>
      <c r="N28" s="651">
        <v>27529.396354908444</v>
      </c>
      <c r="O28" s="651">
        <v>264870.7359125776</v>
      </c>
      <c r="P28" s="651">
        <v>30744.069944657367</v>
      </c>
      <c r="Q28" s="24">
        <f t="shared" si="3"/>
        <v>340421.00932320801</v>
      </c>
      <c r="R28" s="651">
        <v>12017.448165134612</v>
      </c>
      <c r="S28" s="651">
        <v>17621.011675785801</v>
      </c>
      <c r="T28" s="651">
        <v>225588.76811301531</v>
      </c>
      <c r="U28" s="651">
        <v>27075.20112014296</v>
      </c>
      <c r="V28" s="24">
        <f t="shared" si="4"/>
        <v>282302.42907407868</v>
      </c>
      <c r="W28" s="666">
        <v>516735.56525321701</v>
      </c>
      <c r="X28" s="651">
        <v>329058.877250736</v>
      </c>
      <c r="Y28" s="631">
        <v>13.833107097891439</v>
      </c>
      <c r="Z28" s="678">
        <v>13.424881559356336</v>
      </c>
      <c r="AA28" s="23">
        <v>331664.21238597698</v>
      </c>
      <c r="AB28" s="10">
        <f t="shared" si="5"/>
        <v>312904.43601500004</v>
      </c>
      <c r="AC28" s="23">
        <v>27227.780623999999</v>
      </c>
      <c r="AD28" s="23">
        <v>16884.968123999999</v>
      </c>
      <c r="AE28" s="10">
        <v>27375.459509</v>
      </c>
      <c r="AF28" s="23">
        <v>268644.00838200003</v>
      </c>
      <c r="AG28" s="681">
        <f t="shared" si="6"/>
        <v>2.9510762524012253E-2</v>
      </c>
    </row>
    <row r="29" spans="1:33" ht="15">
      <c r="A29" s="23" t="s">
        <v>42</v>
      </c>
      <c r="B29" s="23" t="s">
        <v>43</v>
      </c>
      <c r="C29" s="651">
        <v>302172.22911288001</v>
      </c>
      <c r="D29" s="651">
        <v>268598.46116540901</v>
      </c>
      <c r="E29" s="203">
        <f t="shared" si="0"/>
        <v>3.5413768699620509E-3</v>
      </c>
      <c r="F29" s="650">
        <v>212027</v>
      </c>
      <c r="G29" s="651">
        <v>210787</v>
      </c>
      <c r="H29" s="651">
        <v>296878.07870000001</v>
      </c>
      <c r="I29" s="651">
        <v>266582.41866800003</v>
      </c>
      <c r="J29" s="203">
        <f t="shared" si="1"/>
        <v>1.5079550005426125E-3</v>
      </c>
      <c r="K29" s="651">
        <v>215553</v>
      </c>
      <c r="L29" s="203">
        <f t="shared" si="2"/>
        <v>-3.2932042537619144E-3</v>
      </c>
      <c r="M29" s="651">
        <v>14307.784203074389</v>
      </c>
      <c r="N29" s="651">
        <v>29446.061281504812</v>
      </c>
      <c r="O29" s="651">
        <v>228776.23263845587</v>
      </c>
      <c r="P29" s="651">
        <v>30292.555353707936</v>
      </c>
      <c r="Q29" s="24">
        <f t="shared" si="3"/>
        <v>302822.63347674301</v>
      </c>
      <c r="R29" s="651">
        <v>9498.3573999143337</v>
      </c>
      <c r="S29" s="651">
        <v>18461.656496318101</v>
      </c>
      <c r="T29" s="651">
        <v>187084.91146517309</v>
      </c>
      <c r="U29" s="651">
        <v>26227.553139694563</v>
      </c>
      <c r="V29" s="24">
        <f t="shared" si="4"/>
        <v>241272.47850110009</v>
      </c>
      <c r="W29" s="666">
        <v>446431.78578848799</v>
      </c>
      <c r="X29" s="651">
        <v>291054.25539636199</v>
      </c>
      <c r="Y29" s="631">
        <v>15.166371190156772</v>
      </c>
      <c r="Z29" s="678">
        <v>14.682110121976743</v>
      </c>
      <c r="AA29" s="23">
        <v>288647.44694691797</v>
      </c>
      <c r="AB29" s="10">
        <f t="shared" si="5"/>
        <v>270150.86518299999</v>
      </c>
      <c r="AC29" s="23">
        <v>27174.904012999996</v>
      </c>
      <c r="AD29" s="23">
        <v>14445.233749000001</v>
      </c>
      <c r="AE29" s="10">
        <v>28099.448241999991</v>
      </c>
      <c r="AF29" s="23">
        <v>227606.183192</v>
      </c>
      <c r="AG29" s="681">
        <f t="shared" si="6"/>
        <v>3.1929923256416297E-2</v>
      </c>
    </row>
    <row r="30" spans="1:33" ht="15">
      <c r="A30" s="23" t="s">
        <v>44</v>
      </c>
      <c r="B30" s="23" t="s">
        <v>45</v>
      </c>
      <c r="C30" s="651">
        <v>314668.22815308301</v>
      </c>
      <c r="D30" s="651">
        <v>280572.49151107902</v>
      </c>
      <c r="E30" s="203">
        <f t="shared" si="0"/>
        <v>7.4746991802218917E-3</v>
      </c>
      <c r="F30" s="650">
        <v>210893</v>
      </c>
      <c r="G30" s="651">
        <v>215507</v>
      </c>
      <c r="H30" s="651">
        <v>303167.15788499999</v>
      </c>
      <c r="I30" s="651">
        <v>272428.217848</v>
      </c>
      <c r="J30" s="203">
        <f t="shared" si="1"/>
        <v>5.9087823263007811E-3</v>
      </c>
      <c r="K30" s="651">
        <v>209147</v>
      </c>
      <c r="L30" s="203">
        <f t="shared" si="2"/>
        <v>1.6640914330255244E-3</v>
      </c>
      <c r="M30" s="651">
        <v>14768.17506269009</v>
      </c>
      <c r="N30" s="651">
        <v>27845.991743517909</v>
      </c>
      <c r="O30" s="651">
        <v>240806.30371984976</v>
      </c>
      <c r="P30" s="651">
        <v>30528.157733652137</v>
      </c>
      <c r="Q30" s="24">
        <f t="shared" si="3"/>
        <v>313948.62825970992</v>
      </c>
      <c r="R30" s="651">
        <v>9946.0637639308516</v>
      </c>
      <c r="S30" s="651">
        <v>17417.61121114546</v>
      </c>
      <c r="T30" s="651">
        <v>200201.89920723822</v>
      </c>
      <c r="U30" s="651">
        <v>27374.851960103879</v>
      </c>
      <c r="V30" s="24">
        <f t="shared" si="4"/>
        <v>254940.42614241841</v>
      </c>
      <c r="W30" s="666">
        <v>467170.84638019698</v>
      </c>
      <c r="X30" s="651">
        <v>307049.62812100397</v>
      </c>
      <c r="Y30" s="631">
        <v>13.735824318387049</v>
      </c>
      <c r="Z30" s="678">
        <v>13.382181159897238</v>
      </c>
      <c r="AA30" s="23">
        <v>291376.17305935902</v>
      </c>
      <c r="AB30" s="10">
        <f t="shared" si="5"/>
        <v>274481.85611499997</v>
      </c>
      <c r="AC30" s="23">
        <v>27437.883377000002</v>
      </c>
      <c r="AD30" s="23">
        <v>13872.239827999998</v>
      </c>
      <c r="AE30" s="10">
        <v>27040.976541</v>
      </c>
      <c r="AF30" s="23">
        <v>233568.639746</v>
      </c>
      <c r="AG30" s="681">
        <f t="shared" si="6"/>
        <v>2.5746045544308368E-2</v>
      </c>
    </row>
    <row r="31" spans="1:33" ht="15">
      <c r="A31" s="23" t="s">
        <v>46</v>
      </c>
      <c r="B31" s="23" t="s">
        <v>47</v>
      </c>
      <c r="C31" s="651">
        <v>263148.73609833699</v>
      </c>
      <c r="D31" s="651">
        <v>238669.82057074399</v>
      </c>
      <c r="E31" s="203">
        <f t="shared" si="0"/>
        <v>-1.5340682357988132E-3</v>
      </c>
      <c r="F31" s="650">
        <v>177344</v>
      </c>
      <c r="G31" s="651">
        <v>176332</v>
      </c>
      <c r="H31" s="651">
        <v>265176.49931500002</v>
      </c>
      <c r="I31" s="651">
        <v>242364.825606</v>
      </c>
      <c r="J31" s="203">
        <f t="shared" si="1"/>
        <v>-3.0678927483931921E-3</v>
      </c>
      <c r="K31" s="651">
        <v>186609</v>
      </c>
      <c r="L31" s="203">
        <f t="shared" si="2"/>
        <v>-1.0133144116154524E-2</v>
      </c>
      <c r="M31" s="651">
        <v>14501.307630141846</v>
      </c>
      <c r="N31" s="651">
        <v>22604.750720332559</v>
      </c>
      <c r="O31" s="651">
        <v>205245.88283203513</v>
      </c>
      <c r="P31" s="651">
        <v>21080.084355190651</v>
      </c>
      <c r="Q31" s="24">
        <f t="shared" si="3"/>
        <v>263432.02553770016</v>
      </c>
      <c r="R31" s="651">
        <v>9824.3913284783976</v>
      </c>
      <c r="S31" s="651">
        <v>13206.88490614621</v>
      </c>
      <c r="T31" s="651">
        <v>175027.67625210929</v>
      </c>
      <c r="U31" s="651">
        <v>18897.276656955593</v>
      </c>
      <c r="V31" s="24">
        <f t="shared" si="4"/>
        <v>216956.2291436895</v>
      </c>
      <c r="W31" s="666">
        <v>428840.98143891402</v>
      </c>
      <c r="X31" s="651">
        <v>266391.06123466301</v>
      </c>
      <c r="Y31" s="631">
        <v>13.749689694954252</v>
      </c>
      <c r="Z31" s="678">
        <v>13.362351238586584</v>
      </c>
      <c r="AA31" s="23">
        <v>269981.45874592802</v>
      </c>
      <c r="AB31" s="10">
        <f t="shared" si="5"/>
        <v>244793.507316</v>
      </c>
      <c r="AC31" s="23">
        <v>20610.293355999998</v>
      </c>
      <c r="AD31" s="23">
        <v>14378.120566</v>
      </c>
      <c r="AE31" s="10">
        <v>22368.466770999999</v>
      </c>
      <c r="AF31" s="23">
        <v>208046.919979</v>
      </c>
      <c r="AG31" s="681">
        <f t="shared" si="6"/>
        <v>2.8170705300339324E-2</v>
      </c>
    </row>
    <row r="32" spans="1:33" ht="15">
      <c r="A32" s="28" t="s">
        <v>56</v>
      </c>
      <c r="B32" s="23" t="s">
        <v>63</v>
      </c>
      <c r="C32" s="651">
        <v>215469.95945528499</v>
      </c>
      <c r="D32" s="651">
        <v>181898.43176467699</v>
      </c>
      <c r="E32" s="203">
        <f t="shared" si="0"/>
        <v>-2.616209461533287E-4</v>
      </c>
      <c r="F32" s="650">
        <v>124819</v>
      </c>
      <c r="G32" s="651">
        <v>125949</v>
      </c>
      <c r="H32" s="651">
        <v>215752.03808299999</v>
      </c>
      <c r="I32" s="651">
        <v>185825.08018399999</v>
      </c>
      <c r="J32" s="203">
        <f t="shared" si="1"/>
        <v>-4.2623578658573759E-3</v>
      </c>
      <c r="K32" s="651">
        <v>123581</v>
      </c>
      <c r="L32" s="203">
        <f t="shared" si="2"/>
        <v>1.9955637749549983E-3</v>
      </c>
      <c r="M32" s="651">
        <v>7380.0421457069851</v>
      </c>
      <c r="N32" s="651">
        <v>20305.779399521161</v>
      </c>
      <c r="O32" s="651">
        <v>158474.04179881379</v>
      </c>
      <c r="P32" s="651">
        <v>29902.943942059894</v>
      </c>
      <c r="Q32" s="24">
        <f t="shared" si="3"/>
        <v>216062.80728610186</v>
      </c>
      <c r="R32" s="651">
        <v>4426.5210119123112</v>
      </c>
      <c r="S32" s="651">
        <v>13260.659508560941</v>
      </c>
      <c r="T32" s="651">
        <v>132980.56327739431</v>
      </c>
      <c r="U32" s="651">
        <v>26495.205182435613</v>
      </c>
      <c r="V32" s="24">
        <f t="shared" si="4"/>
        <v>177162.94898030316</v>
      </c>
      <c r="W32" s="666">
        <v>371432.082320577</v>
      </c>
      <c r="X32" s="651">
        <v>223520.45763995199</v>
      </c>
      <c r="Y32" s="631">
        <v>13.073932935456888</v>
      </c>
      <c r="Z32" s="678">
        <v>12.712411847539666</v>
      </c>
      <c r="AA32" s="23">
        <v>224542.09590658499</v>
      </c>
      <c r="AB32" s="10">
        <f t="shared" si="5"/>
        <v>188349.764967</v>
      </c>
      <c r="AC32" s="23">
        <v>27241.937475999999</v>
      </c>
      <c r="AD32" s="23">
        <v>8219.0505850000009</v>
      </c>
      <c r="AE32" s="10">
        <v>22662.654039000001</v>
      </c>
      <c r="AF32" s="23">
        <v>157468.06034299999</v>
      </c>
      <c r="AG32" s="681">
        <f t="shared" si="6"/>
        <v>2.7652053112247957E-2</v>
      </c>
    </row>
    <row r="33" spans="1:33" ht="15">
      <c r="A33" s="23" t="s">
        <v>57</v>
      </c>
      <c r="B33" s="23" t="s">
        <v>64</v>
      </c>
      <c r="C33" s="651">
        <v>171973.33753685199</v>
      </c>
      <c r="D33" s="651">
        <v>157904.74392839099</v>
      </c>
      <c r="E33" s="203">
        <f t="shared" si="0"/>
        <v>-1.5171786061290639E-3</v>
      </c>
      <c r="F33" s="650">
        <v>119764</v>
      </c>
      <c r="G33" s="651">
        <v>122566</v>
      </c>
      <c r="H33" s="651">
        <v>173283.86776699999</v>
      </c>
      <c r="I33" s="651">
        <v>160295.141925</v>
      </c>
      <c r="J33" s="203">
        <f t="shared" si="1"/>
        <v>-3.0004472982483816E-3</v>
      </c>
      <c r="K33" s="651">
        <v>122923</v>
      </c>
      <c r="L33" s="203">
        <f t="shared" si="2"/>
        <v>-5.1934677498213719E-3</v>
      </c>
      <c r="M33" s="651">
        <v>10325.978952476355</v>
      </c>
      <c r="N33" s="651">
        <v>16533.13835056212</v>
      </c>
      <c r="O33" s="651">
        <v>133431.70845179344</v>
      </c>
      <c r="P33" s="651">
        <v>12330.956819464902</v>
      </c>
      <c r="Q33" s="24">
        <f t="shared" si="3"/>
        <v>172621.78257429681</v>
      </c>
      <c r="R33" s="651">
        <v>6175.3768749260071</v>
      </c>
      <c r="S33" s="651">
        <v>9470.3161446728009</v>
      </c>
      <c r="T33" s="651">
        <v>112750.970161921</v>
      </c>
      <c r="U33" s="651">
        <v>11106.342835296597</v>
      </c>
      <c r="V33" s="24">
        <f t="shared" si="4"/>
        <v>139503.00601681639</v>
      </c>
      <c r="W33" s="666">
        <v>344526.25095678202</v>
      </c>
      <c r="X33" s="651">
        <v>184730.95495971301</v>
      </c>
      <c r="Y33" s="631">
        <v>12.204248163133006</v>
      </c>
      <c r="Z33" s="678">
        <v>12.014897101278523</v>
      </c>
      <c r="AA33" s="23">
        <v>186249.46196030799</v>
      </c>
      <c r="AB33" s="10">
        <f t="shared" si="5"/>
        <v>162652.29892299999</v>
      </c>
      <c r="AC33" s="23">
        <v>11419.565167999999</v>
      </c>
      <c r="AD33" s="23">
        <v>10622.434739</v>
      </c>
      <c r="AE33" s="10">
        <v>15334.642460000001</v>
      </c>
      <c r="AF33" s="23">
        <v>136695.221724</v>
      </c>
      <c r="AG33" s="681">
        <f t="shared" si="6"/>
        <v>1.5515176299551217E-2</v>
      </c>
    </row>
    <row r="34" spans="1:33" ht="15">
      <c r="A34" s="23" t="s">
        <v>48</v>
      </c>
      <c r="B34" s="23" t="s">
        <v>49</v>
      </c>
      <c r="C34" s="651">
        <v>243680.604512016</v>
      </c>
      <c r="D34" s="651">
        <v>207269.44397473399</v>
      </c>
      <c r="E34" s="203">
        <f t="shared" si="0"/>
        <v>1.4653820819829848E-2</v>
      </c>
      <c r="F34" s="650">
        <v>161907</v>
      </c>
      <c r="G34" s="651">
        <v>168111</v>
      </c>
      <c r="H34" s="651">
        <v>226585.173113</v>
      </c>
      <c r="I34" s="651">
        <v>196731.767445</v>
      </c>
      <c r="J34" s="203">
        <f t="shared" si="1"/>
        <v>1.0490320442827519E-2</v>
      </c>
      <c r="K34" s="651">
        <v>157428</v>
      </c>
      <c r="L34" s="203">
        <f t="shared" si="2"/>
        <v>5.6265469752958932E-3</v>
      </c>
      <c r="M34" s="651">
        <v>10714.521009827433</v>
      </c>
      <c r="N34" s="651">
        <v>22124.819788217799</v>
      </c>
      <c r="O34" s="651">
        <v>178632.17111004528</v>
      </c>
      <c r="P34" s="651">
        <v>32023.296937507806</v>
      </c>
      <c r="Q34" s="24">
        <f t="shared" si="3"/>
        <v>243494.80884559831</v>
      </c>
      <c r="R34" s="651">
        <v>6612.8245060780664</v>
      </c>
      <c r="S34" s="651">
        <v>12997.893606929381</v>
      </c>
      <c r="T34" s="651">
        <v>148279.3543162909</v>
      </c>
      <c r="U34" s="651">
        <v>27741.859212862724</v>
      </c>
      <c r="V34" s="24">
        <f t="shared" si="4"/>
        <v>195631.9316421611</v>
      </c>
      <c r="W34" s="666">
        <v>389514.835661877</v>
      </c>
      <c r="X34" s="651">
        <v>227300.71337585701</v>
      </c>
      <c r="Y34" s="631">
        <v>13.964184858858722</v>
      </c>
      <c r="Z34" s="678">
        <v>13.568142770712591</v>
      </c>
      <c r="AA34" s="23">
        <v>210978.49178048599</v>
      </c>
      <c r="AB34" s="10">
        <f t="shared" si="5"/>
        <v>198539.83925799999</v>
      </c>
      <c r="AC34" s="23">
        <v>26689.169656999999</v>
      </c>
      <c r="AD34" s="23">
        <v>11095.652118</v>
      </c>
      <c r="AE34" s="10">
        <v>20536.791565</v>
      </c>
      <c r="AF34" s="23">
        <v>166907.395575</v>
      </c>
      <c r="AG34" s="681">
        <f t="shared" si="6"/>
        <v>2.8361275086879637E-2</v>
      </c>
    </row>
    <row r="35" spans="1:33" ht="15">
      <c r="A35" s="23" t="s">
        <v>58</v>
      </c>
      <c r="B35" s="23" t="s">
        <v>65</v>
      </c>
      <c r="C35" s="651">
        <v>197860.46563411501</v>
      </c>
      <c r="D35" s="651">
        <v>164301.97401030001</v>
      </c>
      <c r="E35" s="203">
        <f t="shared" si="0"/>
        <v>1.8034910956186137E-3</v>
      </c>
      <c r="F35" s="650">
        <v>124933</v>
      </c>
      <c r="G35" s="651">
        <v>123158</v>
      </c>
      <c r="H35" s="651">
        <v>196085.880573</v>
      </c>
      <c r="I35" s="651">
        <v>165780.20462900001</v>
      </c>
      <c r="J35" s="203">
        <f t="shared" si="1"/>
        <v>-1.7897570437215449E-3</v>
      </c>
      <c r="K35" s="651">
        <v>126904</v>
      </c>
      <c r="L35" s="203">
        <f t="shared" si="2"/>
        <v>-3.1257648936328158E-3</v>
      </c>
      <c r="M35" s="651">
        <v>8954.0168176387888</v>
      </c>
      <c r="N35" s="651">
        <v>17790.795590925663</v>
      </c>
      <c r="O35" s="651">
        <v>140757.60994165763</v>
      </c>
      <c r="P35" s="651">
        <v>30279.566345516461</v>
      </c>
      <c r="Q35" s="24">
        <f t="shared" si="3"/>
        <v>197781.98869573855</v>
      </c>
      <c r="R35" s="651">
        <v>5281.2261799670268</v>
      </c>
      <c r="S35" s="651">
        <v>10287.904224591512</v>
      </c>
      <c r="T35" s="651">
        <v>116060.95695574451</v>
      </c>
      <c r="U35" s="651">
        <v>26606.791991045186</v>
      </c>
      <c r="V35" s="24">
        <f t="shared" si="4"/>
        <v>158236.87935134821</v>
      </c>
      <c r="W35" s="666">
        <v>325054.382290982</v>
      </c>
      <c r="X35" s="651">
        <v>197483.18750056199</v>
      </c>
      <c r="Y35" s="631">
        <v>13.033938239280731</v>
      </c>
      <c r="Z35" s="678">
        <v>12.618542249533519</v>
      </c>
      <c r="AA35" s="23">
        <v>197479.47893611499</v>
      </c>
      <c r="AB35" s="10">
        <f t="shared" si="5"/>
        <v>168222.61428100002</v>
      </c>
      <c r="AC35" s="23">
        <v>27586.867468999997</v>
      </c>
      <c r="AD35" s="23">
        <v>9641.604711</v>
      </c>
      <c r="AE35" s="10">
        <v>17670.626966</v>
      </c>
      <c r="AF35" s="23">
        <v>140910.38260400001</v>
      </c>
      <c r="AG35" s="681">
        <f t="shared" si="6"/>
        <v>3.1870335897044709E-2</v>
      </c>
    </row>
    <row r="36" spans="1:33" ht="15">
      <c r="A36" s="23" t="s">
        <v>69</v>
      </c>
      <c r="B36" s="23" t="s">
        <v>70</v>
      </c>
      <c r="C36" s="651">
        <v>395299.46245830599</v>
      </c>
      <c r="D36" s="651">
        <v>352005.72450703802</v>
      </c>
      <c r="E36" s="168">
        <f t="shared" si="0"/>
        <v>8.279896135021227E-3</v>
      </c>
      <c r="F36" s="650">
        <v>282044</v>
      </c>
      <c r="G36" s="651">
        <v>287386</v>
      </c>
      <c r="H36" s="651">
        <v>379333.05082200002</v>
      </c>
      <c r="I36" s="651">
        <v>342791.34951700002</v>
      </c>
      <c r="J36" s="203">
        <f t="shared" si="1"/>
        <v>5.3191942755561978E-3</v>
      </c>
      <c r="K36" s="651">
        <v>272728</v>
      </c>
      <c r="L36" s="203">
        <f t="shared" si="2"/>
        <v>6.7402389765748348E-3</v>
      </c>
      <c r="M36" s="651">
        <v>17585.575339062256</v>
      </c>
      <c r="N36" s="651">
        <v>32643.691268965089</v>
      </c>
      <c r="O36" s="651">
        <v>306688.92083347408</v>
      </c>
      <c r="P36" s="651">
        <v>38060.467398376335</v>
      </c>
      <c r="Q36" s="24">
        <f>SUM(M36:P36)</f>
        <v>394978.65483987774</v>
      </c>
      <c r="R36" s="651">
        <v>11288.834950089584</v>
      </c>
      <c r="S36" s="651">
        <v>20364.700795279739</v>
      </c>
      <c r="T36" s="651">
        <v>267483.76465370198</v>
      </c>
      <c r="U36" s="651">
        <v>33466.052883747645</v>
      </c>
      <c r="V36" s="24">
        <f t="shared" si="4"/>
        <v>332603.35328281892</v>
      </c>
      <c r="W36" s="666">
        <v>513101.56195481902</v>
      </c>
      <c r="X36" s="651">
        <v>315858.732629782</v>
      </c>
      <c r="Y36" s="631">
        <v>14.179078321786458</v>
      </c>
      <c r="Z36" s="679">
        <v>13.791506747866327</v>
      </c>
      <c r="AA36" s="23">
        <v>306235.04564743501</v>
      </c>
      <c r="AB36" s="10">
        <f t="shared" si="5"/>
        <v>346358.00509200001</v>
      </c>
      <c r="AC36" s="23">
        <v>31448.475811999997</v>
      </c>
      <c r="AD36" s="23">
        <v>17079.582193000002</v>
      </c>
      <c r="AE36" s="10">
        <v>32089.938102999997</v>
      </c>
      <c r="AF36" s="23">
        <v>297188.484796</v>
      </c>
      <c r="AG36" s="681">
        <f t="shared" si="6"/>
        <v>2.7334045635717973E-2</v>
      </c>
    </row>
    <row r="37" spans="1:33" ht="15">
      <c r="A37" s="23" t="s">
        <v>71</v>
      </c>
      <c r="B37" s="23" t="s">
        <v>116</v>
      </c>
      <c r="C37" s="651">
        <v>634730.42292500997</v>
      </c>
      <c r="D37" s="651">
        <v>547605.14064186101</v>
      </c>
      <c r="E37" s="203">
        <f t="shared" si="0"/>
        <v>9.4796052347009899E-3</v>
      </c>
      <c r="F37" s="650">
        <v>410588</v>
      </c>
      <c r="G37" s="651">
        <v>417767</v>
      </c>
      <c r="H37" s="651">
        <v>605482.46272900002</v>
      </c>
      <c r="I37" s="651">
        <v>529659.13707599998</v>
      </c>
      <c r="J37" s="203">
        <f t="shared" si="1"/>
        <v>6.6864187296138654E-3</v>
      </c>
      <c r="K37" s="651">
        <v>393363</v>
      </c>
      <c r="L37" s="203">
        <f t="shared" si="2"/>
        <v>8.6083261595958464E-3</v>
      </c>
      <c r="M37" s="651">
        <v>28282.899738570879</v>
      </c>
      <c r="N37" s="651">
        <v>55051.873373011011</v>
      </c>
      <c r="O37" s="651">
        <v>473232.90534846258</v>
      </c>
      <c r="P37" s="651">
        <v>78568.06812686169</v>
      </c>
      <c r="Q37" s="24">
        <f t="shared" si="3"/>
        <v>635135.74658690614</v>
      </c>
      <c r="R37" s="651">
        <v>18326.482049409478</v>
      </c>
      <c r="S37" s="651">
        <v>32922.477840719301</v>
      </c>
      <c r="T37" s="651">
        <v>408533.664160138</v>
      </c>
      <c r="U37" s="651">
        <v>69483.879300141256</v>
      </c>
      <c r="V37" s="24">
        <f t="shared" si="4"/>
        <v>529266.50335040805</v>
      </c>
      <c r="W37" s="666">
        <v>982508.35824444599</v>
      </c>
      <c r="X37" s="651">
        <v>625131.57056856097</v>
      </c>
      <c r="Y37" s="631">
        <v>13.743413535452037</v>
      </c>
      <c r="Z37" s="678">
        <v>13.359295599141969</v>
      </c>
      <c r="AA37" s="23">
        <v>597376.74756069004</v>
      </c>
      <c r="AB37" s="10">
        <f t="shared" si="5"/>
        <v>537534.93079699995</v>
      </c>
      <c r="AC37" s="23">
        <v>66979.884732000006</v>
      </c>
      <c r="AD37" s="23">
        <v>27622.045413</v>
      </c>
      <c r="AE37" s="10">
        <v>54162.800637</v>
      </c>
      <c r="AF37" s="23">
        <v>455750.08474700002</v>
      </c>
      <c r="AG37" s="681">
        <f t="shared" si="6"/>
        <v>2.7949238034583629E-2</v>
      </c>
    </row>
    <row r="38" spans="1:33" ht="15">
      <c r="A38" s="23" t="s">
        <v>73</v>
      </c>
      <c r="B38" s="23" t="s">
        <v>74</v>
      </c>
      <c r="C38" s="651">
        <v>1328033.9164851799</v>
      </c>
      <c r="D38" s="651">
        <v>1119221.86353913</v>
      </c>
      <c r="E38" s="203">
        <f t="shared" si="0"/>
        <v>5.9541997368824694E-3</v>
      </c>
      <c r="F38" s="650">
        <v>803694</v>
      </c>
      <c r="G38" s="651">
        <v>810253</v>
      </c>
      <c r="H38" s="651">
        <v>1289193.5560630001</v>
      </c>
      <c r="I38" s="651">
        <v>1098438.6982770001</v>
      </c>
      <c r="J38" s="203">
        <f t="shared" si="1"/>
        <v>3.7558100040987735E-3</v>
      </c>
      <c r="K38" s="651">
        <v>796842</v>
      </c>
      <c r="L38" s="203">
        <f t="shared" si="2"/>
        <v>1.713903855994039E-3</v>
      </c>
      <c r="M38" s="651">
        <v>58871.093882804111</v>
      </c>
      <c r="N38" s="651">
        <v>118831.9704809142</v>
      </c>
      <c r="O38" s="651">
        <v>962808.52860888606</v>
      </c>
      <c r="P38" s="651">
        <v>189046.62691321844</v>
      </c>
      <c r="Q38" s="24">
        <f t="shared" si="3"/>
        <v>1329558.2198858229</v>
      </c>
      <c r="R38" s="651">
        <v>38639.648850792037</v>
      </c>
      <c r="S38" s="651">
        <v>71647.039178609004</v>
      </c>
      <c r="T38" s="651">
        <v>822349.66275751102</v>
      </c>
      <c r="U38" s="651">
        <v>168262.61715896431</v>
      </c>
      <c r="V38" s="24">
        <f t="shared" si="4"/>
        <v>1100898.9679458763</v>
      </c>
      <c r="W38" s="666">
        <v>2084129.14666235</v>
      </c>
      <c r="X38" s="651">
        <v>1326759.54524424</v>
      </c>
      <c r="Y38" s="631">
        <v>13.098953263660176</v>
      </c>
      <c r="Z38" s="678">
        <v>12.710461342421162</v>
      </c>
      <c r="AA38" s="23">
        <v>1289397.5693369301</v>
      </c>
      <c r="AB38" s="10">
        <f t="shared" si="5"/>
        <v>1117801.9229059999</v>
      </c>
      <c r="AC38" s="23">
        <v>172841.01940000019</v>
      </c>
      <c r="AD38" s="23">
        <v>58792.763772000006</v>
      </c>
      <c r="AE38" s="10">
        <v>115729.883846</v>
      </c>
      <c r="AF38" s="23">
        <v>943279.275288</v>
      </c>
      <c r="AG38" s="681">
        <f t="shared" si="6"/>
        <v>2.9658241648726956E-2</v>
      </c>
    </row>
    <row r="39" spans="1:33" ht="15">
      <c r="A39" s="23" t="s">
        <v>75</v>
      </c>
      <c r="B39" s="23" t="s">
        <v>1538</v>
      </c>
      <c r="C39" s="651">
        <v>25773895.08251014</v>
      </c>
      <c r="D39" s="651">
        <v>22442549.607158169</v>
      </c>
      <c r="E39" s="203">
        <f t="shared" si="0"/>
        <v>1.4548468273645602E-3</v>
      </c>
      <c r="F39" s="650">
        <v>17381191</v>
      </c>
      <c r="G39" s="651">
        <v>17445314</v>
      </c>
      <c r="H39" s="651">
        <v>25587225.252719007</v>
      </c>
      <c r="I39" s="651">
        <v>22514745.084590003</v>
      </c>
      <c r="J39" s="203">
        <f t="shared" si="1"/>
        <v>-6.4214146006887378E-4</v>
      </c>
      <c r="K39" s="651">
        <v>17647045</v>
      </c>
      <c r="L39" s="203">
        <f t="shared" si="2"/>
        <v>-3.0313367395163335E-3</v>
      </c>
      <c r="M39" s="651">
        <v>1212025.4989528353</v>
      </c>
      <c r="N39" s="651">
        <v>2190620.1139214546</v>
      </c>
      <c r="O39" s="651">
        <v>19389910.245100126</v>
      </c>
      <c r="P39" s="651">
        <v>2984185.2446197439</v>
      </c>
      <c r="Q39" s="24">
        <f t="shared" si="3"/>
        <v>25776741.10259416</v>
      </c>
      <c r="R39" s="651">
        <v>796067.36796042079</v>
      </c>
      <c r="S39" s="651">
        <v>1340052.3546047159</v>
      </c>
      <c r="T39" s="651">
        <v>16499696.083052743</v>
      </c>
      <c r="U39" s="651">
        <v>2640720.9228788964</v>
      </c>
      <c r="V39" s="24">
        <f t="shared" si="4"/>
        <v>21276536.728496775</v>
      </c>
      <c r="W39" s="666">
        <v>40599859.135305263</v>
      </c>
      <c r="X39" s="651">
        <v>25868473.752772484</v>
      </c>
      <c r="Y39" s="631">
        <v>14.275429319018484</v>
      </c>
      <c r="Z39" s="678">
        <v>13.854748928709387</v>
      </c>
      <c r="AA39" s="23">
        <v>25780508.312381402</v>
      </c>
      <c r="AB39" s="10">
        <f t="shared" si="5"/>
        <v>22819997.523491003</v>
      </c>
      <c r="AC39" s="23">
        <v>2764680.1816409999</v>
      </c>
      <c r="AD39" s="23">
        <v>1225913.6165569997</v>
      </c>
      <c r="AE39" s="10">
        <v>2168454.3295969996</v>
      </c>
      <c r="AF39" s="23">
        <v>19425629.577337004</v>
      </c>
      <c r="AG39" s="681">
        <f t="shared" si="6"/>
        <v>2.9468843346703653E-2</v>
      </c>
    </row>
    <row r="40" spans="1:33" ht="15">
      <c r="A40" s="29" t="s">
        <v>66</v>
      </c>
      <c r="B40" s="29"/>
      <c r="E40" s="203"/>
      <c r="F40" s="229"/>
      <c r="I40" s="203"/>
      <c r="K40" s="203"/>
      <c r="U40" s="27"/>
    </row>
    <row r="41" spans="1:33" ht="15">
      <c r="A41" s="29"/>
      <c r="B41" s="29" t="s">
        <v>60</v>
      </c>
      <c r="E41" s="203"/>
      <c r="F41" s="229"/>
      <c r="I41" s="203"/>
      <c r="K41" s="203"/>
      <c r="O41" s="54"/>
      <c r="U41" s="27"/>
    </row>
    <row r="42" spans="1:33" ht="15">
      <c r="A42" s="29"/>
      <c r="B42" s="29" t="s">
        <v>62</v>
      </c>
      <c r="E42" s="203"/>
      <c r="F42" s="229"/>
      <c r="I42" s="203"/>
      <c r="K42" s="203"/>
      <c r="U42" s="27"/>
    </row>
    <row r="43" spans="1:33">
      <c r="A43" s="29"/>
      <c r="B43" s="29"/>
      <c r="U43" s="27"/>
    </row>
    <row r="44" spans="1:33" s="165" customFormat="1" ht="15.75">
      <c r="A44" s="165" t="s">
        <v>707</v>
      </c>
      <c r="F44" s="317"/>
      <c r="AA44" s="670"/>
      <c r="AB44" s="670"/>
      <c r="AC44" s="670"/>
      <c r="AD44" s="670"/>
      <c r="AE44" s="670"/>
      <c r="AF44" s="670"/>
    </row>
    <row r="45" spans="1:33" ht="15">
      <c r="A45" s="23" t="s">
        <v>890</v>
      </c>
      <c r="B45" s="24"/>
      <c r="K45"/>
      <c r="L45"/>
      <c r="M45"/>
      <c r="N45"/>
      <c r="O45"/>
      <c r="P45"/>
      <c r="Q45"/>
      <c r="R45"/>
      <c r="S45"/>
    </row>
    <row r="46" spans="1:33" ht="15">
      <c r="A46"/>
      <c r="B46"/>
      <c r="C46" s="59">
        <v>2008</v>
      </c>
      <c r="D46" s="59">
        <v>2009</v>
      </c>
      <c r="E46" s="649">
        <v>2010</v>
      </c>
      <c r="F46" s="59">
        <v>2011</v>
      </c>
      <c r="G46" s="59">
        <v>2012</v>
      </c>
      <c r="H46" s="59">
        <v>2013</v>
      </c>
      <c r="I46" s="24">
        <v>2014</v>
      </c>
      <c r="J46" s="24">
        <v>2015</v>
      </c>
      <c r="K46" s="59">
        <v>215</v>
      </c>
      <c r="L46" t="s">
        <v>1677</v>
      </c>
      <c r="M46"/>
      <c r="N46" t="s">
        <v>1641</v>
      </c>
      <c r="O46"/>
      <c r="P46"/>
      <c r="Q46"/>
      <c r="R46"/>
      <c r="S46"/>
    </row>
    <row r="47" spans="1:33" ht="15">
      <c r="A47" t="s">
        <v>483</v>
      </c>
      <c r="B47" t="s">
        <v>484</v>
      </c>
      <c r="C47" s="16" t="s">
        <v>706</v>
      </c>
      <c r="D47" s="16" t="s">
        <v>709</v>
      </c>
      <c r="E47" s="22" t="s">
        <v>710</v>
      </c>
      <c r="F47" s="16" t="s">
        <v>711</v>
      </c>
      <c r="G47" s="16" t="s">
        <v>712</v>
      </c>
      <c r="H47" s="16" t="s">
        <v>713</v>
      </c>
      <c r="I47" s="16" t="s">
        <v>714</v>
      </c>
      <c r="J47" s="16" t="s">
        <v>715</v>
      </c>
      <c r="K47" s="16" t="s">
        <v>723</v>
      </c>
      <c r="L47" s="16" t="s">
        <v>708</v>
      </c>
      <c r="M47"/>
      <c r="N47" t="s">
        <v>1648</v>
      </c>
      <c r="O47" t="s">
        <v>1675</v>
      </c>
      <c r="P47" t="s">
        <v>1642</v>
      </c>
      <c r="Q47" t="s">
        <v>1643</v>
      </c>
      <c r="R47" t="s">
        <v>1644</v>
      </c>
      <c r="S47" t="s">
        <v>1645</v>
      </c>
      <c r="T47" t="s">
        <v>1646</v>
      </c>
      <c r="U47" s="24" t="s">
        <v>1647</v>
      </c>
      <c r="V47" s="24" t="s">
        <v>1676</v>
      </c>
    </row>
    <row r="48" spans="1:33" ht="15">
      <c r="A48" t="s">
        <v>88</v>
      </c>
      <c r="B48" t="s">
        <v>89</v>
      </c>
      <c r="C48" s="16">
        <v>100</v>
      </c>
      <c r="D48" s="16">
        <f>(P48/$O48)*100</f>
        <v>97.672297297297291</v>
      </c>
      <c r="E48" s="16">
        <f t="shared" ref="E48:J63" si="7">(Q48/$O48)*100</f>
        <v>99.456081081081081</v>
      </c>
      <c r="F48" s="16">
        <f t="shared" si="7"/>
        <v>99.483108108108112</v>
      </c>
      <c r="G48" s="16">
        <f t="shared" si="7"/>
        <v>99.240709459459467</v>
      </c>
      <c r="H48" s="16">
        <f t="shared" si="7"/>
        <v>99.37753378378379</v>
      </c>
      <c r="I48" s="16">
        <f t="shared" si="7"/>
        <v>98.38597972972974</v>
      </c>
      <c r="J48" s="16">
        <f t="shared" si="7"/>
        <v>97.682432432432435</v>
      </c>
      <c r="K48" s="651">
        <v>115656</v>
      </c>
      <c r="L48" s="168">
        <f>+RATE((2015-2008),,-O48,V48)</f>
        <v>-3.3441749553008967E-3</v>
      </c>
      <c r="M48"/>
      <c r="N48" s="24" t="s">
        <v>89</v>
      </c>
      <c r="O48" s="651">
        <v>118400</v>
      </c>
      <c r="P48" s="651">
        <v>115644</v>
      </c>
      <c r="Q48" s="651">
        <v>117756</v>
      </c>
      <c r="R48" s="651">
        <v>117788</v>
      </c>
      <c r="S48" s="651">
        <v>117501</v>
      </c>
      <c r="T48" s="651">
        <v>117663</v>
      </c>
      <c r="U48" s="651">
        <v>116489</v>
      </c>
      <c r="V48" s="651">
        <v>115656</v>
      </c>
    </row>
    <row r="49" spans="1:22" ht="15">
      <c r="A49" t="s">
        <v>5</v>
      </c>
      <c r="B49" t="s">
        <v>6</v>
      </c>
      <c r="C49" s="16">
        <v>100</v>
      </c>
      <c r="D49" s="16">
        <f t="shared" ref="D49:D95" si="8">(P49/$O49)*100</f>
        <v>99.491915938289438</v>
      </c>
      <c r="E49" s="16">
        <f t="shared" si="7"/>
        <v>100.9945232867115</v>
      </c>
      <c r="F49" s="16">
        <f t="shared" si="7"/>
        <v>102.49969383948074</v>
      </c>
      <c r="G49" s="16">
        <f t="shared" si="7"/>
        <v>103.57880286964966</v>
      </c>
      <c r="H49" s="16">
        <f t="shared" si="7"/>
        <v>104.23953999025983</v>
      </c>
      <c r="I49" s="16">
        <f t="shared" si="7"/>
        <v>104.66189910658088</v>
      </c>
      <c r="J49" s="16">
        <f t="shared" si="7"/>
        <v>106.38551162982772</v>
      </c>
      <c r="K49" s="651">
        <v>373544</v>
      </c>
      <c r="L49" s="168">
        <f t="shared" ref="L49:L95" si="9">+RATE((2015-2008),,-O49,V49)</f>
        <v>8.8819572430639485E-3</v>
      </c>
      <c r="N49" s="24" t="s">
        <v>6</v>
      </c>
      <c r="O49" s="651">
        <v>351123</v>
      </c>
      <c r="P49" s="651">
        <v>349339</v>
      </c>
      <c r="Q49" s="651">
        <v>354615</v>
      </c>
      <c r="R49" s="651">
        <v>359900</v>
      </c>
      <c r="S49" s="651">
        <v>363689</v>
      </c>
      <c r="T49" s="651">
        <v>366009</v>
      </c>
      <c r="U49" s="651">
        <v>367492</v>
      </c>
      <c r="V49" s="651">
        <v>373544</v>
      </c>
    </row>
    <row r="50" spans="1:22" ht="15">
      <c r="A50" s="23" t="s">
        <v>87</v>
      </c>
      <c r="B50" s="24" t="s">
        <v>1406</v>
      </c>
      <c r="C50" s="24">
        <v>100</v>
      </c>
      <c r="D50" s="16">
        <f t="shared" si="8"/>
        <v>100.6656667203828</v>
      </c>
      <c r="E50" s="16">
        <f t="shared" si="7"/>
        <v>100.38303727485713</v>
      </c>
      <c r="F50" s="16">
        <f t="shared" si="7"/>
        <v>101.18134149818398</v>
      </c>
      <c r="G50" s="16">
        <f t="shared" si="7"/>
        <v>98.517435013821569</v>
      </c>
      <c r="H50" s="16">
        <f t="shared" si="7"/>
        <v>98.035229512464213</v>
      </c>
      <c r="I50" s="16">
        <f t="shared" si="7"/>
        <v>98.72320908380955</v>
      </c>
      <c r="J50" s="16">
        <f t="shared" si="7"/>
        <v>99.928103035787331</v>
      </c>
      <c r="K50" s="651">
        <v>80613</v>
      </c>
      <c r="L50" s="168">
        <f t="shared" si="9"/>
        <v>-1.0274161096906962E-4</v>
      </c>
      <c r="N50" s="24" t="s">
        <v>1649</v>
      </c>
      <c r="O50" s="651">
        <v>80671</v>
      </c>
      <c r="P50" s="651">
        <v>81208</v>
      </c>
      <c r="Q50" s="651">
        <v>80980</v>
      </c>
      <c r="R50" s="651">
        <v>81624</v>
      </c>
      <c r="S50" s="651">
        <v>79475</v>
      </c>
      <c r="T50" s="651">
        <v>79086</v>
      </c>
      <c r="U50" s="651">
        <v>79641</v>
      </c>
      <c r="V50" s="651">
        <v>80613</v>
      </c>
    </row>
    <row r="51" spans="1:22" ht="15">
      <c r="A51" s="23" t="s">
        <v>7</v>
      </c>
      <c r="B51" s="24" t="s">
        <v>8</v>
      </c>
      <c r="C51" s="24">
        <v>100</v>
      </c>
      <c r="D51" s="16">
        <f t="shared" si="8"/>
        <v>97.03861595132652</v>
      </c>
      <c r="E51" s="16">
        <f t="shared" si="7"/>
        <v>98.35437274947229</v>
      </c>
      <c r="F51" s="16">
        <f t="shared" si="7"/>
        <v>98.704523819378338</v>
      </c>
      <c r="G51" s="16">
        <f t="shared" si="7"/>
        <v>98.135010968089063</v>
      </c>
      <c r="H51" s="16">
        <f t="shared" si="7"/>
        <v>98.147013782542118</v>
      </c>
      <c r="I51" s="16">
        <f t="shared" si="7"/>
        <v>97.563428666032038</v>
      </c>
      <c r="J51" s="16">
        <f t="shared" si="7"/>
        <v>97.601506560158938</v>
      </c>
      <c r="K51" s="651">
        <v>235815</v>
      </c>
      <c r="L51" s="168">
        <f t="shared" si="9"/>
        <v>-3.4621723293757766E-3</v>
      </c>
      <c r="N51" s="24" t="s">
        <v>8</v>
      </c>
      <c r="O51" s="651">
        <v>241610</v>
      </c>
      <c r="P51" s="651">
        <v>234455</v>
      </c>
      <c r="Q51" s="651">
        <v>237634</v>
      </c>
      <c r="R51" s="651">
        <v>238480</v>
      </c>
      <c r="S51" s="651">
        <v>237104</v>
      </c>
      <c r="T51" s="651">
        <v>237133</v>
      </c>
      <c r="U51" s="651">
        <v>235723</v>
      </c>
      <c r="V51" s="651">
        <v>235815</v>
      </c>
    </row>
    <row r="52" spans="1:22" ht="15">
      <c r="A52" s="23" t="s">
        <v>9</v>
      </c>
      <c r="B52" s="24" t="s">
        <v>10</v>
      </c>
      <c r="C52" s="24">
        <v>100</v>
      </c>
      <c r="D52" s="16">
        <f t="shared" si="8"/>
        <v>99.002279898075145</v>
      </c>
      <c r="E52" s="16">
        <f t="shared" si="7"/>
        <v>100.23257783769665</v>
      </c>
      <c r="F52" s="16">
        <f t="shared" si="7"/>
        <v>101.45864067253466</v>
      </c>
      <c r="G52" s="16">
        <f t="shared" si="7"/>
        <v>101.73180493107368</v>
      </c>
      <c r="H52" s="16">
        <f t="shared" si="7"/>
        <v>100.95889830807563</v>
      </c>
      <c r="I52" s="16">
        <f t="shared" si="7"/>
        <v>101.91179688437457</v>
      </c>
      <c r="J52" s="16">
        <f t="shared" si="7"/>
        <v>103.56384067535804</v>
      </c>
      <c r="K52" s="651">
        <v>293444</v>
      </c>
      <c r="L52" s="168">
        <f t="shared" si="9"/>
        <v>5.0151130316156128E-3</v>
      </c>
      <c r="N52" s="24" t="s">
        <v>10</v>
      </c>
      <c r="O52" s="651">
        <v>283346</v>
      </c>
      <c r="P52" s="651">
        <v>280519</v>
      </c>
      <c r="Q52" s="651">
        <v>284005</v>
      </c>
      <c r="R52" s="651">
        <v>287479</v>
      </c>
      <c r="S52" s="651">
        <v>288253</v>
      </c>
      <c r="T52" s="651">
        <v>286063</v>
      </c>
      <c r="U52" s="651">
        <v>288763</v>
      </c>
      <c r="V52" s="651">
        <v>293444</v>
      </c>
    </row>
    <row r="53" spans="1:22" ht="15">
      <c r="A53" s="23" t="s">
        <v>11</v>
      </c>
      <c r="B53" s="24" t="s">
        <v>12</v>
      </c>
      <c r="C53" s="24">
        <v>100</v>
      </c>
      <c r="D53" s="16">
        <f t="shared" si="8"/>
        <v>97.86870619815987</v>
      </c>
      <c r="E53" s="16">
        <f t="shared" si="7"/>
        <v>99.600460264792389</v>
      </c>
      <c r="F53" s="16">
        <f t="shared" si="7"/>
        <v>101.21605819640351</v>
      </c>
      <c r="G53" s="16">
        <f t="shared" si="7"/>
        <v>101.59177502456251</v>
      </c>
      <c r="H53" s="16">
        <f t="shared" si="7"/>
        <v>102.09127754620944</v>
      </c>
      <c r="I53" s="16">
        <f t="shared" si="7"/>
        <v>102.79989225194981</v>
      </c>
      <c r="J53" s="16">
        <f t="shared" si="7"/>
        <v>104.62724935732648</v>
      </c>
      <c r="K53" s="651">
        <v>671957</v>
      </c>
      <c r="L53" s="168">
        <f t="shared" si="9"/>
        <v>6.4829010244731033E-3</v>
      </c>
      <c r="N53" s="24" t="s">
        <v>12</v>
      </c>
      <c r="O53" s="651">
        <v>642239</v>
      </c>
      <c r="P53" s="651">
        <v>628551</v>
      </c>
      <c r="Q53" s="651">
        <v>639673</v>
      </c>
      <c r="R53" s="651">
        <v>650049</v>
      </c>
      <c r="S53" s="651">
        <v>652462</v>
      </c>
      <c r="T53" s="651">
        <v>655670</v>
      </c>
      <c r="U53" s="651">
        <v>660221</v>
      </c>
      <c r="V53" s="651">
        <v>671957</v>
      </c>
    </row>
    <row r="54" spans="1:22" ht="15">
      <c r="A54" s="23" t="s">
        <v>13</v>
      </c>
      <c r="B54" s="24" t="s">
        <v>54</v>
      </c>
      <c r="C54" s="24">
        <v>100</v>
      </c>
      <c r="D54" s="16">
        <f t="shared" si="8"/>
        <v>98.934500283831213</v>
      </c>
      <c r="E54" s="16">
        <f t="shared" si="7"/>
        <v>99.217265466136141</v>
      </c>
      <c r="F54" s="16">
        <f t="shared" si="7"/>
        <v>99.994936344520454</v>
      </c>
      <c r="G54" s="16">
        <f t="shared" si="7"/>
        <v>100.36804780090773</v>
      </c>
      <c r="H54" s="16">
        <f t="shared" si="7"/>
        <v>100.45173137041172</v>
      </c>
      <c r="I54" s="16">
        <f t="shared" si="7"/>
        <v>101.07882512532547</v>
      </c>
      <c r="J54" s="16">
        <f t="shared" si="7"/>
        <v>102.0814289102747</v>
      </c>
      <c r="K54" s="651">
        <v>383033</v>
      </c>
      <c r="L54" s="168">
        <f t="shared" si="9"/>
        <v>2.9472820716395683E-3</v>
      </c>
      <c r="N54" s="24" t="s">
        <v>54</v>
      </c>
      <c r="O54" s="651">
        <v>375223</v>
      </c>
      <c r="P54" s="651">
        <v>371225</v>
      </c>
      <c r="Q54" s="651">
        <v>372286</v>
      </c>
      <c r="R54" s="651">
        <v>375204</v>
      </c>
      <c r="S54" s="651">
        <v>376604</v>
      </c>
      <c r="T54" s="651">
        <v>376918</v>
      </c>
      <c r="U54" s="651">
        <v>379271</v>
      </c>
      <c r="V54" s="651">
        <v>383033</v>
      </c>
    </row>
    <row r="55" spans="1:22" ht="15">
      <c r="A55" s="23" t="s">
        <v>14</v>
      </c>
      <c r="B55" s="24" t="s">
        <v>15</v>
      </c>
      <c r="C55" s="24">
        <v>100</v>
      </c>
      <c r="D55" s="16">
        <f t="shared" si="8"/>
        <v>99.670188902349253</v>
      </c>
      <c r="E55" s="16">
        <f t="shared" si="7"/>
        <v>101.22708276577616</v>
      </c>
      <c r="F55" s="16">
        <f t="shared" si="7"/>
        <v>102.18637514998001</v>
      </c>
      <c r="G55" s="16">
        <f t="shared" si="7"/>
        <v>102.06349298354422</v>
      </c>
      <c r="H55" s="16">
        <f t="shared" si="7"/>
        <v>102.19622890860929</v>
      </c>
      <c r="I55" s="16">
        <f t="shared" si="7"/>
        <v>103.82557687960445</v>
      </c>
      <c r="J55" s="16">
        <f t="shared" si="7"/>
        <v>106.31336111706844</v>
      </c>
      <c r="K55" s="651">
        <v>183415</v>
      </c>
      <c r="L55" s="168">
        <f t="shared" si="9"/>
        <v>8.7841827628682648E-3</v>
      </c>
      <c r="N55" s="24" t="s">
        <v>15</v>
      </c>
      <c r="O55" s="651">
        <v>172523</v>
      </c>
      <c r="P55" s="651">
        <v>171954</v>
      </c>
      <c r="Q55" s="651">
        <v>174640</v>
      </c>
      <c r="R55" s="651">
        <v>176295</v>
      </c>
      <c r="S55" s="651">
        <v>176083</v>
      </c>
      <c r="T55" s="651">
        <v>176312</v>
      </c>
      <c r="U55" s="651">
        <v>179123</v>
      </c>
      <c r="V55" s="651">
        <v>183415</v>
      </c>
    </row>
    <row r="56" spans="1:22" ht="15">
      <c r="A56" s="23" t="s">
        <v>16</v>
      </c>
      <c r="B56" s="24" t="s">
        <v>17</v>
      </c>
      <c r="C56" s="24">
        <v>100</v>
      </c>
      <c r="D56" s="16">
        <f t="shared" si="8"/>
        <v>98.242957625557665</v>
      </c>
      <c r="E56" s="16">
        <f t="shared" si="7"/>
        <v>100.33155277214956</v>
      </c>
      <c r="F56" s="16">
        <f t="shared" si="7"/>
        <v>102.42170890166121</v>
      </c>
      <c r="G56" s="16">
        <f t="shared" si="7"/>
        <v>103.31084477273649</v>
      </c>
      <c r="H56" s="16">
        <f t="shared" si="7"/>
        <v>103.7669639818801</v>
      </c>
      <c r="I56" s="16">
        <f t="shared" si="7"/>
        <v>104.53808954422421</v>
      </c>
      <c r="J56" s="16">
        <f t="shared" si="7"/>
        <v>106.34726874818537</v>
      </c>
      <c r="K56" s="651">
        <v>340642</v>
      </c>
      <c r="L56" s="168">
        <f t="shared" si="9"/>
        <v>8.8301396357580112E-3</v>
      </c>
      <c r="N56" s="24" t="s">
        <v>17</v>
      </c>
      <c r="O56" s="651">
        <v>320311</v>
      </c>
      <c r="P56" s="651">
        <v>314683</v>
      </c>
      <c r="Q56" s="651">
        <v>321373</v>
      </c>
      <c r="R56" s="651">
        <v>328068</v>
      </c>
      <c r="S56" s="651">
        <v>330916</v>
      </c>
      <c r="T56" s="651">
        <v>332377</v>
      </c>
      <c r="U56" s="651">
        <v>334847</v>
      </c>
      <c r="V56" s="651">
        <v>340642</v>
      </c>
    </row>
    <row r="57" spans="1:22" ht="15">
      <c r="A57" s="23" t="s">
        <v>18</v>
      </c>
      <c r="B57" s="24" t="s">
        <v>19</v>
      </c>
      <c r="C57" s="24">
        <v>100</v>
      </c>
      <c r="D57" s="16">
        <f t="shared" si="8"/>
        <v>97.807481320068007</v>
      </c>
      <c r="E57" s="16">
        <f t="shared" si="7"/>
        <v>97.939511488377249</v>
      </c>
      <c r="F57" s="16">
        <f t="shared" si="7"/>
        <v>97.108188791456598</v>
      </c>
      <c r="G57" s="16">
        <f t="shared" si="7"/>
        <v>96.612783558154618</v>
      </c>
      <c r="H57" s="16">
        <f t="shared" si="7"/>
        <v>96.026826660746735</v>
      </c>
      <c r="I57" s="16">
        <f t="shared" si="7"/>
        <v>94.584426282182349</v>
      </c>
      <c r="J57" s="16">
        <f t="shared" si="7"/>
        <v>96.314839373031958</v>
      </c>
      <c r="K57" s="651">
        <v>164865</v>
      </c>
      <c r="L57" s="168">
        <f t="shared" si="9"/>
        <v>-5.3496087197694329E-3</v>
      </c>
      <c r="N57" s="24" t="s">
        <v>19</v>
      </c>
      <c r="O57" s="651">
        <v>171173</v>
      </c>
      <c r="P57" s="651">
        <v>167420</v>
      </c>
      <c r="Q57" s="651">
        <v>167646</v>
      </c>
      <c r="R57" s="651">
        <v>166223</v>
      </c>
      <c r="S57" s="651">
        <v>165375</v>
      </c>
      <c r="T57" s="651">
        <v>164372</v>
      </c>
      <c r="U57" s="651">
        <v>161903</v>
      </c>
      <c r="V57" s="651">
        <v>164865</v>
      </c>
    </row>
    <row r="58" spans="1:22" ht="15">
      <c r="A58" s="23" t="s">
        <v>20</v>
      </c>
      <c r="B58" s="24" t="s">
        <v>21</v>
      </c>
      <c r="C58" s="24">
        <v>100</v>
      </c>
      <c r="D58" s="16">
        <f t="shared" si="8"/>
        <v>98.35117089477464</v>
      </c>
      <c r="E58" s="16">
        <f t="shared" si="7"/>
        <v>99.289305443485816</v>
      </c>
      <c r="F58" s="16">
        <f t="shared" si="7"/>
        <v>100.85212410331894</v>
      </c>
      <c r="G58" s="16">
        <f t="shared" si="7"/>
        <v>100.55685113099302</v>
      </c>
      <c r="H58" s="16">
        <f t="shared" si="7"/>
        <v>101.256905220036</v>
      </c>
      <c r="I58" s="16">
        <f t="shared" si="7"/>
        <v>101.85942169059294</v>
      </c>
      <c r="J58" s="16">
        <f t="shared" si="7"/>
        <v>103.47721609902729</v>
      </c>
      <c r="K58" s="651">
        <v>233397</v>
      </c>
      <c r="L58" s="168">
        <f t="shared" si="9"/>
        <v>4.8949797712878398E-3</v>
      </c>
      <c r="N58" s="24" t="s">
        <v>21</v>
      </c>
      <c r="O58" s="651">
        <v>225554</v>
      </c>
      <c r="P58" s="651">
        <v>221835</v>
      </c>
      <c r="Q58" s="651">
        <v>223951</v>
      </c>
      <c r="R58" s="651">
        <v>227476</v>
      </c>
      <c r="S58" s="651">
        <v>226810</v>
      </c>
      <c r="T58" s="651">
        <v>228389</v>
      </c>
      <c r="U58" s="651">
        <v>229748</v>
      </c>
      <c r="V58" s="651">
        <v>233397</v>
      </c>
    </row>
    <row r="59" spans="1:22" ht="15">
      <c r="A59" s="23" t="s">
        <v>22</v>
      </c>
      <c r="B59" s="24" t="s">
        <v>23</v>
      </c>
      <c r="C59" s="24">
        <v>100</v>
      </c>
      <c r="D59" s="16">
        <f t="shared" si="8"/>
        <v>97.469864827201775</v>
      </c>
      <c r="E59" s="16">
        <f t="shared" si="7"/>
        <v>96.965144230769226</v>
      </c>
      <c r="F59" s="16">
        <f t="shared" si="7"/>
        <v>97.287834448160538</v>
      </c>
      <c r="G59" s="16">
        <f t="shared" si="7"/>
        <v>96.148184921962098</v>
      </c>
      <c r="H59" s="16">
        <f t="shared" si="7"/>
        <v>95.185340022296543</v>
      </c>
      <c r="I59" s="16">
        <f t="shared" si="7"/>
        <v>94.790795707915279</v>
      </c>
      <c r="J59" s="16">
        <f t="shared" si="7"/>
        <v>95.150937151616503</v>
      </c>
      <c r="K59" s="651">
        <v>218497</v>
      </c>
      <c r="L59" s="168">
        <f t="shared" si="9"/>
        <v>-7.0756691829687596E-3</v>
      </c>
      <c r="N59" s="24" t="s">
        <v>23</v>
      </c>
      <c r="O59" s="651">
        <v>229632</v>
      </c>
      <c r="P59" s="651">
        <v>223822</v>
      </c>
      <c r="Q59" s="651">
        <v>222663</v>
      </c>
      <c r="R59" s="651">
        <v>223404</v>
      </c>
      <c r="S59" s="651">
        <v>220787</v>
      </c>
      <c r="T59" s="651">
        <v>218576</v>
      </c>
      <c r="U59" s="651">
        <v>217670</v>
      </c>
      <c r="V59" s="651">
        <v>218497</v>
      </c>
    </row>
    <row r="60" spans="1:22" ht="15">
      <c r="A60" s="23" t="s">
        <v>24</v>
      </c>
      <c r="B60" s="24" t="s">
        <v>25</v>
      </c>
      <c r="C60" s="24">
        <v>100</v>
      </c>
      <c r="D60" s="16">
        <f t="shared" si="8"/>
        <v>97.662573295596829</v>
      </c>
      <c r="E60" s="16">
        <f t="shared" si="7"/>
        <v>98.327844530648306</v>
      </c>
      <c r="F60" s="16">
        <f t="shared" si="7"/>
        <v>99.097064396176577</v>
      </c>
      <c r="G60" s="16">
        <f t="shared" si="7"/>
        <v>98.52770939742868</v>
      </c>
      <c r="H60" s="16">
        <f t="shared" si="7"/>
        <v>98.392103684033955</v>
      </c>
      <c r="I60" s="16">
        <f t="shared" si="7"/>
        <v>97.996153900672354</v>
      </c>
      <c r="J60" s="16">
        <f t="shared" si="7"/>
        <v>98.755923890702732</v>
      </c>
      <c r="K60" s="651">
        <v>209010</v>
      </c>
      <c r="L60" s="168">
        <f t="shared" si="9"/>
        <v>-1.7868010867670644E-3</v>
      </c>
      <c r="N60" s="24" t="s">
        <v>25</v>
      </c>
      <c r="O60" s="651">
        <v>211643</v>
      </c>
      <c r="P60" s="651">
        <v>206696</v>
      </c>
      <c r="Q60" s="651">
        <v>208104</v>
      </c>
      <c r="R60" s="651">
        <v>209732</v>
      </c>
      <c r="S60" s="651">
        <v>208527</v>
      </c>
      <c r="T60" s="651">
        <v>208240</v>
      </c>
      <c r="U60" s="651">
        <v>207402</v>
      </c>
      <c r="V60" s="651">
        <v>209010</v>
      </c>
    </row>
    <row r="61" spans="1:22" ht="15">
      <c r="A61" s="23" t="s">
        <v>51</v>
      </c>
      <c r="B61" s="24" t="s">
        <v>55</v>
      </c>
      <c r="C61" s="24">
        <v>100</v>
      </c>
      <c r="D61" s="16">
        <f t="shared" si="8"/>
        <v>99.851542751675154</v>
      </c>
      <c r="E61" s="16">
        <f t="shared" si="7"/>
        <v>101.56160975805481</v>
      </c>
      <c r="F61" s="16">
        <f t="shared" si="7"/>
        <v>101.9138947959716</v>
      </c>
      <c r="G61" s="16">
        <f t="shared" si="7"/>
        <v>101.15796653693377</v>
      </c>
      <c r="H61" s="16">
        <f t="shared" si="7"/>
        <v>100.52963126429401</v>
      </c>
      <c r="I61" s="16">
        <f t="shared" si="7"/>
        <v>99.953456646471125</v>
      </c>
      <c r="J61" s="16">
        <f t="shared" si="7"/>
        <v>100.85623721060868</v>
      </c>
      <c r="K61" s="651">
        <v>125682</v>
      </c>
      <c r="L61" s="168">
        <f t="shared" si="9"/>
        <v>1.2187310371552136E-3</v>
      </c>
      <c r="N61" s="24" t="s">
        <v>55</v>
      </c>
      <c r="O61" s="651">
        <v>124615</v>
      </c>
      <c r="P61" s="651">
        <v>124430</v>
      </c>
      <c r="Q61" s="651">
        <v>126561</v>
      </c>
      <c r="R61" s="651">
        <v>127000</v>
      </c>
      <c r="S61" s="651">
        <v>126058</v>
      </c>
      <c r="T61" s="651">
        <v>125275</v>
      </c>
      <c r="U61" s="651">
        <v>124557</v>
      </c>
      <c r="V61" s="651">
        <v>125682</v>
      </c>
    </row>
    <row r="62" spans="1:22" ht="15">
      <c r="A62" s="23" t="s">
        <v>26</v>
      </c>
      <c r="B62" s="23" t="s">
        <v>27</v>
      </c>
      <c r="C62" s="24">
        <v>100</v>
      </c>
      <c r="D62" s="16">
        <f t="shared" si="8"/>
        <v>99.797713853105051</v>
      </c>
      <c r="E62" s="16">
        <f t="shared" si="7"/>
        <v>101.54933346835151</v>
      </c>
      <c r="F62" s="16">
        <f t="shared" si="7"/>
        <v>103.7195094018454</v>
      </c>
      <c r="G62" s="16">
        <f t="shared" si="7"/>
        <v>105.20374482530819</v>
      </c>
      <c r="H62" s="16">
        <f t="shared" si="7"/>
        <v>106.09293589771409</v>
      </c>
      <c r="I62" s="16">
        <f t="shared" si="7"/>
        <v>106.73354888019308</v>
      </c>
      <c r="J62" s="16">
        <f t="shared" si="7"/>
        <v>108.39041467454594</v>
      </c>
      <c r="K62" s="651">
        <v>449559</v>
      </c>
      <c r="L62" s="168">
        <f t="shared" si="9"/>
        <v>1.1576418852877891E-2</v>
      </c>
      <c r="N62" s="24" t="s">
        <v>27</v>
      </c>
      <c r="O62" s="651">
        <v>414759</v>
      </c>
      <c r="P62" s="651">
        <v>413920</v>
      </c>
      <c r="Q62" s="651">
        <v>421185</v>
      </c>
      <c r="R62" s="651">
        <v>430186</v>
      </c>
      <c r="S62" s="651">
        <v>436342</v>
      </c>
      <c r="T62" s="651">
        <v>440030</v>
      </c>
      <c r="U62" s="651">
        <v>442687</v>
      </c>
      <c r="V62" s="651">
        <v>449559</v>
      </c>
    </row>
    <row r="63" spans="1:22" ht="15">
      <c r="A63" s="23" t="s">
        <v>28</v>
      </c>
      <c r="B63" s="23" t="s">
        <v>29</v>
      </c>
      <c r="C63" s="24">
        <v>100</v>
      </c>
      <c r="D63" s="16">
        <f t="shared" si="8"/>
        <v>97.86379939772435</v>
      </c>
      <c r="E63" s="16">
        <f t="shared" si="7"/>
        <v>99.50600610799674</v>
      </c>
      <c r="F63" s="16">
        <f t="shared" si="7"/>
        <v>101.16286348640617</v>
      </c>
      <c r="G63" s="16">
        <f t="shared" si="7"/>
        <v>101.29631775434558</v>
      </c>
      <c r="H63" s="16">
        <f t="shared" si="7"/>
        <v>101.89100169281811</v>
      </c>
      <c r="I63" s="16">
        <f t="shared" si="7"/>
        <v>102.61474469878893</v>
      </c>
      <c r="J63" s="16">
        <f t="shared" si="7"/>
        <v>104.31675277263895</v>
      </c>
      <c r="K63" s="651">
        <v>783230</v>
      </c>
      <c r="L63" s="168">
        <f t="shared" si="9"/>
        <v>6.0556595531909207E-3</v>
      </c>
      <c r="N63" s="23" t="s">
        <v>29</v>
      </c>
      <c r="O63" s="177">
        <v>750819</v>
      </c>
      <c r="P63" s="177">
        <v>734780</v>
      </c>
      <c r="Q63" s="177">
        <v>747110</v>
      </c>
      <c r="R63" s="177">
        <v>759550</v>
      </c>
      <c r="S63" s="177">
        <v>760552</v>
      </c>
      <c r="T63" s="177">
        <v>765017</v>
      </c>
      <c r="U63" s="651">
        <v>770451</v>
      </c>
      <c r="V63" s="651">
        <v>783230</v>
      </c>
    </row>
    <row r="64" spans="1:22" ht="15">
      <c r="A64" s="23" t="s">
        <v>30</v>
      </c>
      <c r="B64" s="23" t="s">
        <v>485</v>
      </c>
      <c r="C64" s="24">
        <v>100</v>
      </c>
      <c r="D64" s="16">
        <f t="shared" si="8"/>
        <v>98.830028228513541</v>
      </c>
      <c r="E64" s="16">
        <f t="shared" ref="E64:E95" si="10">(Q64/$O64)*100</f>
        <v>99.381249828234004</v>
      </c>
      <c r="F64" s="16">
        <f t="shared" ref="F64:F95" si="11">(R64/$O64)*100</f>
        <v>100.50607168236445</v>
      </c>
      <c r="G64" s="16">
        <f t="shared" ref="G64:G95" si="12">(S64/$O64)*100</f>
        <v>100.58145241395016</v>
      </c>
      <c r="H64" s="16">
        <f t="shared" ref="H64:H95" si="13">(T64/$O64)*100</f>
        <v>100.58007828603061</v>
      </c>
      <c r="I64" s="16">
        <f t="shared" ref="I64:I95" si="14">(U64/$O64)*100</f>
        <v>101.44087127562258</v>
      </c>
      <c r="J64" s="16">
        <f t="shared" ref="J64:J95" si="15">(V64/$O64)*100</f>
        <v>102.38293411645539</v>
      </c>
      <c r="K64" s="651">
        <v>521553</v>
      </c>
      <c r="L64" s="168">
        <f t="shared" si="9"/>
        <v>3.3699303060919887E-3</v>
      </c>
      <c r="N64" s="23" t="s">
        <v>485</v>
      </c>
      <c r="O64" s="651">
        <v>509414</v>
      </c>
      <c r="P64" s="651">
        <v>503454</v>
      </c>
      <c r="Q64" s="651">
        <v>506262</v>
      </c>
      <c r="R64" s="651">
        <v>511992</v>
      </c>
      <c r="S64" s="651">
        <v>512376</v>
      </c>
      <c r="T64" s="651">
        <v>512369</v>
      </c>
      <c r="U64" s="651">
        <v>516754</v>
      </c>
      <c r="V64" s="651">
        <v>521553</v>
      </c>
    </row>
    <row r="65" spans="1:22" ht="15">
      <c r="A65" s="23" t="s">
        <v>31</v>
      </c>
      <c r="B65" s="23" t="s">
        <v>32</v>
      </c>
      <c r="C65" s="24">
        <v>100</v>
      </c>
      <c r="D65" s="16">
        <f t="shared" si="8"/>
        <v>99.762383709516627</v>
      </c>
      <c r="E65" s="16">
        <f t="shared" si="10"/>
        <v>101.45807678677508</v>
      </c>
      <c r="F65" s="16">
        <f t="shared" si="11"/>
        <v>103.74475115302539</v>
      </c>
      <c r="G65" s="16">
        <f t="shared" si="12"/>
        <v>105.32291085054904</v>
      </c>
      <c r="H65" s="16">
        <f t="shared" si="13"/>
        <v>106.32181710174413</v>
      </c>
      <c r="I65" s="16">
        <f t="shared" si="14"/>
        <v>107.09585471752472</v>
      </c>
      <c r="J65" s="16">
        <f t="shared" si="15"/>
        <v>108.77166145287573</v>
      </c>
      <c r="K65" s="651">
        <v>426634</v>
      </c>
      <c r="L65" s="168">
        <f t="shared" si="9"/>
        <v>1.2083949440202708E-2</v>
      </c>
      <c r="N65" s="23" t="s">
        <v>32</v>
      </c>
      <c r="O65" s="651">
        <v>392229</v>
      </c>
      <c r="P65" s="651">
        <v>391297</v>
      </c>
      <c r="Q65" s="651">
        <v>397948</v>
      </c>
      <c r="R65" s="651">
        <v>406917</v>
      </c>
      <c r="S65" s="651">
        <v>413107</v>
      </c>
      <c r="T65" s="651">
        <v>417025</v>
      </c>
      <c r="U65" s="651">
        <v>420061</v>
      </c>
      <c r="V65" s="651">
        <v>426634</v>
      </c>
    </row>
    <row r="66" spans="1:22" ht="15">
      <c r="A66" s="23" t="s">
        <v>33</v>
      </c>
      <c r="B66" s="23" t="s">
        <v>34</v>
      </c>
      <c r="C66" s="24">
        <v>100</v>
      </c>
      <c r="D66" s="16">
        <f t="shared" si="8"/>
        <v>98.516898699981823</v>
      </c>
      <c r="E66" s="16">
        <f t="shared" si="10"/>
        <v>99.325537150509689</v>
      </c>
      <c r="F66" s="16">
        <f t="shared" si="11"/>
        <v>100.08501202203144</v>
      </c>
      <c r="G66" s="16">
        <f t="shared" si="12"/>
        <v>99.867872881421022</v>
      </c>
      <c r="H66" s="16">
        <f t="shared" si="13"/>
        <v>99.232843319258563</v>
      </c>
      <c r="I66" s="16">
        <f t="shared" si="14"/>
        <v>99.488135445660163</v>
      </c>
      <c r="J66" s="16">
        <f t="shared" si="15"/>
        <v>100.44682523627966</v>
      </c>
      <c r="K66" s="651">
        <v>392278</v>
      </c>
      <c r="L66" s="168">
        <f t="shared" si="9"/>
        <v>6.3710277246170567E-4</v>
      </c>
      <c r="N66" s="23" t="s">
        <v>34</v>
      </c>
      <c r="O66" s="651">
        <v>390533</v>
      </c>
      <c r="P66" s="651">
        <v>384741</v>
      </c>
      <c r="Q66" s="651">
        <v>387899</v>
      </c>
      <c r="R66" s="651">
        <v>390865</v>
      </c>
      <c r="S66" s="651">
        <v>390017</v>
      </c>
      <c r="T66" s="651">
        <v>387537</v>
      </c>
      <c r="U66" s="651">
        <v>388534</v>
      </c>
      <c r="V66" s="651">
        <v>392278</v>
      </c>
    </row>
    <row r="67" spans="1:22" ht="15">
      <c r="A67" s="23" t="s">
        <v>35</v>
      </c>
      <c r="B67" s="23" t="s">
        <v>61</v>
      </c>
      <c r="C67" s="24">
        <v>100</v>
      </c>
      <c r="D67" s="16">
        <f t="shared" si="8"/>
        <v>99.52042776183815</v>
      </c>
      <c r="E67" s="16">
        <f t="shared" si="10"/>
        <v>101.10082280131837</v>
      </c>
      <c r="F67" s="16">
        <f t="shared" si="11"/>
        <v>102.66165556161526</v>
      </c>
      <c r="G67" s="16">
        <f t="shared" si="12"/>
        <v>103.80812368102814</v>
      </c>
      <c r="H67" s="16">
        <f t="shared" si="13"/>
        <v>104.48035472932919</v>
      </c>
      <c r="I67" s="16">
        <f t="shared" si="14"/>
        <v>105.00794347094113</v>
      </c>
      <c r="J67" s="16">
        <f t="shared" si="15"/>
        <v>106.77862613520499</v>
      </c>
      <c r="K67" s="651">
        <v>360254</v>
      </c>
      <c r="L67" s="168">
        <f t="shared" si="9"/>
        <v>9.4136884539134866E-3</v>
      </c>
      <c r="N67" s="23" t="s">
        <v>61</v>
      </c>
      <c r="O67" s="651">
        <v>337384</v>
      </c>
      <c r="P67" s="651">
        <v>335766</v>
      </c>
      <c r="Q67" s="651">
        <v>341098</v>
      </c>
      <c r="R67" s="651">
        <v>346364</v>
      </c>
      <c r="S67" s="651">
        <v>350232</v>
      </c>
      <c r="T67" s="651">
        <v>352500</v>
      </c>
      <c r="U67" s="651">
        <v>354280</v>
      </c>
      <c r="V67" s="651">
        <v>360254</v>
      </c>
    </row>
    <row r="68" spans="1:22" ht="15">
      <c r="A68" s="23" t="s">
        <v>36</v>
      </c>
      <c r="B68" s="23" t="s">
        <v>37</v>
      </c>
      <c r="C68" s="24">
        <v>100</v>
      </c>
      <c r="D68" s="16">
        <f t="shared" si="8"/>
        <v>98.260869565217391</v>
      </c>
      <c r="E68" s="16">
        <f t="shared" si="10"/>
        <v>98.693578488974907</v>
      </c>
      <c r="F68" s="16">
        <f t="shared" si="11"/>
        <v>99.27974009815442</v>
      </c>
      <c r="G68" s="16">
        <f t="shared" si="12"/>
        <v>99.133199695859545</v>
      </c>
      <c r="H68" s="16">
        <f t="shared" si="13"/>
        <v>98.100158982511914</v>
      </c>
      <c r="I68" s="16">
        <f t="shared" si="14"/>
        <v>97.047072648095664</v>
      </c>
      <c r="J68" s="16">
        <f t="shared" si="15"/>
        <v>98.530794221331305</v>
      </c>
      <c r="K68" s="651">
        <v>285089</v>
      </c>
      <c r="L68" s="168">
        <f t="shared" si="9"/>
        <v>-2.1122025798068311E-3</v>
      </c>
      <c r="N68" s="23" t="s">
        <v>37</v>
      </c>
      <c r="O68" s="651">
        <v>289340</v>
      </c>
      <c r="P68" s="651">
        <v>284308</v>
      </c>
      <c r="Q68" s="651">
        <v>285560</v>
      </c>
      <c r="R68" s="651">
        <v>287256</v>
      </c>
      <c r="S68" s="651">
        <v>286832</v>
      </c>
      <c r="T68" s="651">
        <v>283843</v>
      </c>
      <c r="U68" s="651">
        <v>280796</v>
      </c>
      <c r="V68" s="651">
        <v>285089</v>
      </c>
    </row>
    <row r="69" spans="1:22" ht="15">
      <c r="A69" s="23" t="s">
        <v>38</v>
      </c>
      <c r="B69" s="23" t="s">
        <v>39</v>
      </c>
      <c r="C69" s="24">
        <v>100</v>
      </c>
      <c r="D69" s="16">
        <f t="shared" si="8"/>
        <v>98.435446391958521</v>
      </c>
      <c r="E69" s="16">
        <f t="shared" si="10"/>
        <v>100.6711738708332</v>
      </c>
      <c r="F69" s="16">
        <f t="shared" si="11"/>
        <v>102.95807178581317</v>
      </c>
      <c r="G69" s="16">
        <f t="shared" si="12"/>
        <v>103.9404740625471</v>
      </c>
      <c r="H69" s="16">
        <f t="shared" si="13"/>
        <v>104.54470578751651</v>
      </c>
      <c r="I69" s="16">
        <f t="shared" si="14"/>
        <v>105.31892149543847</v>
      </c>
      <c r="J69" s="16">
        <f t="shared" si="15"/>
        <v>107.08535298838852</v>
      </c>
      <c r="K69" s="651">
        <v>305537</v>
      </c>
      <c r="L69" s="168">
        <f t="shared" si="9"/>
        <v>9.8274066134934335E-3</v>
      </c>
      <c r="N69" s="23" t="s">
        <v>39</v>
      </c>
      <c r="O69" s="651">
        <v>285321</v>
      </c>
      <c r="P69" s="651">
        <v>280857</v>
      </c>
      <c r="Q69" s="651">
        <v>287236</v>
      </c>
      <c r="R69" s="651">
        <v>293761</v>
      </c>
      <c r="S69" s="651">
        <v>296564</v>
      </c>
      <c r="T69" s="651">
        <v>298288</v>
      </c>
      <c r="U69" s="651">
        <v>300497</v>
      </c>
      <c r="V69" s="651">
        <v>305537</v>
      </c>
    </row>
    <row r="70" spans="1:22" ht="15">
      <c r="A70" s="23" t="s">
        <v>40</v>
      </c>
      <c r="B70" s="23" t="s">
        <v>41</v>
      </c>
      <c r="C70" s="24">
        <v>100</v>
      </c>
      <c r="D70" s="16">
        <f t="shared" si="8"/>
        <v>97.40107784755935</v>
      </c>
      <c r="E70" s="16">
        <f t="shared" si="10"/>
        <v>98.116672542782652</v>
      </c>
      <c r="F70" s="16">
        <f t="shared" si="11"/>
        <v>98.83924108993557</v>
      </c>
      <c r="G70" s="16">
        <f t="shared" si="12"/>
        <v>98.074441994986572</v>
      </c>
      <c r="H70" s="16">
        <f t="shared" si="13"/>
        <v>98.208494926522718</v>
      </c>
      <c r="I70" s="16">
        <f t="shared" si="14"/>
        <v>98.010127582746691</v>
      </c>
      <c r="J70" s="16">
        <f t="shared" si="15"/>
        <v>98.530454423940455</v>
      </c>
      <c r="K70" s="651">
        <v>254314</v>
      </c>
      <c r="L70" s="168">
        <f t="shared" si="9"/>
        <v>-2.1126942030076229E-3</v>
      </c>
      <c r="N70" s="23" t="s">
        <v>41</v>
      </c>
      <c r="O70" s="651">
        <v>258107</v>
      </c>
      <c r="P70" s="651">
        <v>251399</v>
      </c>
      <c r="Q70" s="651">
        <v>253246</v>
      </c>
      <c r="R70" s="651">
        <v>255111</v>
      </c>
      <c r="S70" s="651">
        <v>253137</v>
      </c>
      <c r="T70" s="651">
        <v>253483</v>
      </c>
      <c r="U70" s="651">
        <v>252971</v>
      </c>
      <c r="V70" s="651">
        <v>254314</v>
      </c>
    </row>
    <row r="71" spans="1:22" ht="15">
      <c r="A71" s="23" t="s">
        <v>42</v>
      </c>
      <c r="B71" s="23" t="s">
        <v>43</v>
      </c>
      <c r="C71" s="24">
        <v>100</v>
      </c>
      <c r="D71" s="16">
        <f t="shared" si="8"/>
        <v>96.990067408015662</v>
      </c>
      <c r="E71" s="16">
        <f t="shared" si="10"/>
        <v>98.295082879848579</v>
      </c>
      <c r="F71" s="16">
        <f t="shared" si="11"/>
        <v>98.844367742504176</v>
      </c>
      <c r="G71" s="16">
        <f t="shared" si="12"/>
        <v>98.394362407389366</v>
      </c>
      <c r="H71" s="16">
        <f t="shared" si="13"/>
        <v>98.364207410706413</v>
      </c>
      <c r="I71" s="16">
        <f t="shared" si="14"/>
        <v>97.782911859264317</v>
      </c>
      <c r="J71" s="16">
        <f t="shared" si="15"/>
        <v>97.788942858600905</v>
      </c>
      <c r="K71" s="651">
        <v>210787</v>
      </c>
      <c r="L71" s="168">
        <f t="shared" si="9"/>
        <v>-3.189000593330596E-3</v>
      </c>
      <c r="N71" s="23" t="s">
        <v>43</v>
      </c>
      <c r="O71" s="651">
        <v>215553</v>
      </c>
      <c r="P71" s="651">
        <v>209065</v>
      </c>
      <c r="Q71" s="651">
        <v>211878</v>
      </c>
      <c r="R71" s="651">
        <v>213062</v>
      </c>
      <c r="S71" s="651">
        <v>212092</v>
      </c>
      <c r="T71" s="651">
        <v>212027</v>
      </c>
      <c r="U71" s="651">
        <v>210774</v>
      </c>
      <c r="V71" s="651">
        <v>210787</v>
      </c>
    </row>
    <row r="72" spans="1:22" ht="15">
      <c r="A72" s="23" t="s">
        <v>44</v>
      </c>
      <c r="B72" s="23" t="s">
        <v>45</v>
      </c>
      <c r="C72" s="24">
        <v>100</v>
      </c>
      <c r="D72" s="16">
        <f t="shared" si="8"/>
        <v>97.976542814384132</v>
      </c>
      <c r="E72" s="16">
        <f t="shared" si="10"/>
        <v>98.78028372388799</v>
      </c>
      <c r="F72" s="16">
        <f t="shared" si="11"/>
        <v>100.49725790950863</v>
      </c>
      <c r="G72" s="16">
        <f t="shared" si="12"/>
        <v>100.28353263494097</v>
      </c>
      <c r="H72" s="16">
        <f t="shared" si="13"/>
        <v>100.83481952884814</v>
      </c>
      <c r="I72" s="16">
        <f t="shared" si="14"/>
        <v>101.35646220122689</v>
      </c>
      <c r="J72" s="16">
        <f t="shared" si="15"/>
        <v>103.04092336968735</v>
      </c>
      <c r="K72" s="651">
        <v>215507</v>
      </c>
      <c r="L72" s="168">
        <f t="shared" si="9"/>
        <v>4.2886037964988168E-3</v>
      </c>
      <c r="N72" s="23" t="s">
        <v>45</v>
      </c>
      <c r="O72" s="651">
        <v>209147</v>
      </c>
      <c r="P72" s="651">
        <v>204915</v>
      </c>
      <c r="Q72" s="651">
        <v>206596</v>
      </c>
      <c r="R72" s="651">
        <v>210187</v>
      </c>
      <c r="S72" s="651">
        <v>209740</v>
      </c>
      <c r="T72" s="651">
        <v>210893</v>
      </c>
      <c r="U72" s="651">
        <v>211984</v>
      </c>
      <c r="V72" s="651">
        <v>215507</v>
      </c>
    </row>
    <row r="73" spans="1:22" ht="15">
      <c r="A73" s="23" t="s">
        <v>46</v>
      </c>
      <c r="B73" s="23" t="s">
        <v>47</v>
      </c>
      <c r="C73" s="24">
        <v>100</v>
      </c>
      <c r="D73" s="16">
        <f t="shared" si="8"/>
        <v>97.68553499563258</v>
      </c>
      <c r="E73" s="16">
        <f t="shared" si="10"/>
        <v>97.057483829825998</v>
      </c>
      <c r="F73" s="16">
        <f t="shared" si="11"/>
        <v>97.385978168255548</v>
      </c>
      <c r="G73" s="16">
        <f t="shared" si="12"/>
        <v>96.176497382227012</v>
      </c>
      <c r="H73" s="16">
        <f t="shared" si="13"/>
        <v>95.035073335155332</v>
      </c>
      <c r="I73" s="16">
        <f t="shared" si="14"/>
        <v>94.379156417964836</v>
      </c>
      <c r="J73" s="16">
        <f t="shared" si="15"/>
        <v>94.4927629428377</v>
      </c>
      <c r="K73" s="651">
        <v>176332</v>
      </c>
      <c r="L73" s="168">
        <f t="shared" si="9"/>
        <v>-8.0597640959906899E-3</v>
      </c>
      <c r="N73" s="23" t="s">
        <v>47</v>
      </c>
      <c r="O73" s="651">
        <v>186609</v>
      </c>
      <c r="P73" s="651">
        <v>182290</v>
      </c>
      <c r="Q73" s="651">
        <v>181118</v>
      </c>
      <c r="R73" s="651">
        <v>181731</v>
      </c>
      <c r="S73" s="651">
        <v>179474</v>
      </c>
      <c r="T73" s="651">
        <v>177344</v>
      </c>
      <c r="U73" s="651">
        <v>176120</v>
      </c>
      <c r="V73" s="651">
        <v>176332</v>
      </c>
    </row>
    <row r="74" spans="1:22" ht="15">
      <c r="A74" s="23" t="s">
        <v>56</v>
      </c>
      <c r="B74" s="23" t="s">
        <v>63</v>
      </c>
      <c r="C74" s="24">
        <v>100</v>
      </c>
      <c r="D74" s="16">
        <f t="shared" si="8"/>
        <v>99.719212500303442</v>
      </c>
      <c r="E74" s="16">
        <f t="shared" si="10"/>
        <v>101.19840428544842</v>
      </c>
      <c r="F74" s="16">
        <f t="shared" si="11"/>
        <v>102.03267492575721</v>
      </c>
      <c r="G74" s="16">
        <f t="shared" si="12"/>
        <v>101.3424393717481</v>
      </c>
      <c r="H74" s="16">
        <f t="shared" si="13"/>
        <v>101.00177211707302</v>
      </c>
      <c r="I74" s="16">
        <f t="shared" si="14"/>
        <v>100.97506898309612</v>
      </c>
      <c r="J74" s="16">
        <f t="shared" si="15"/>
        <v>101.91615215931252</v>
      </c>
      <c r="K74" s="651">
        <v>125949</v>
      </c>
      <c r="L74" s="168">
        <f t="shared" si="9"/>
        <v>2.7151438566409281E-3</v>
      </c>
      <c r="N74" s="23" t="s">
        <v>63</v>
      </c>
      <c r="O74" s="651">
        <v>123581</v>
      </c>
      <c r="P74" s="651">
        <v>123234</v>
      </c>
      <c r="Q74" s="651">
        <v>125062</v>
      </c>
      <c r="R74" s="651">
        <v>126093</v>
      </c>
      <c r="S74" s="651">
        <v>125240</v>
      </c>
      <c r="T74" s="651">
        <v>124819</v>
      </c>
      <c r="U74" s="651">
        <v>124786</v>
      </c>
      <c r="V74" s="651">
        <v>125949</v>
      </c>
    </row>
    <row r="75" spans="1:22" ht="15">
      <c r="A75" s="23" t="s">
        <v>57</v>
      </c>
      <c r="B75" s="23" t="s">
        <v>64</v>
      </c>
      <c r="C75" s="24">
        <v>100</v>
      </c>
      <c r="D75" s="16">
        <f t="shared" si="8"/>
        <v>99.708760768936656</v>
      </c>
      <c r="E75" s="16">
        <f t="shared" si="10"/>
        <v>99.434605403382605</v>
      </c>
      <c r="F75" s="16">
        <f t="shared" si="11"/>
        <v>100.06345435760598</v>
      </c>
      <c r="G75" s="16">
        <f t="shared" si="12"/>
        <v>98.045117675292659</v>
      </c>
      <c r="H75" s="16">
        <f t="shared" si="13"/>
        <v>97.43009851695777</v>
      </c>
      <c r="I75" s="16">
        <f t="shared" si="14"/>
        <v>97.958071312935729</v>
      </c>
      <c r="J75" s="16">
        <f t="shared" si="15"/>
        <v>99.709574286341848</v>
      </c>
      <c r="K75" s="651">
        <v>122566</v>
      </c>
      <c r="L75" s="168">
        <f t="shared" si="9"/>
        <v>-4.154112178127222E-4</v>
      </c>
      <c r="N75" s="23" t="s">
        <v>64</v>
      </c>
      <c r="O75" s="651">
        <v>122923</v>
      </c>
      <c r="P75" s="651">
        <v>122565</v>
      </c>
      <c r="Q75" s="651">
        <v>122228</v>
      </c>
      <c r="R75" s="651">
        <v>123001</v>
      </c>
      <c r="S75" s="651">
        <v>120520</v>
      </c>
      <c r="T75" s="651">
        <v>119764</v>
      </c>
      <c r="U75" s="651">
        <v>120413</v>
      </c>
      <c r="V75" s="651">
        <v>122566</v>
      </c>
    </row>
    <row r="76" spans="1:22" ht="15">
      <c r="A76" s="23" t="s">
        <v>48</v>
      </c>
      <c r="B76" s="23" t="s">
        <v>49</v>
      </c>
      <c r="C76" s="24">
        <v>100</v>
      </c>
      <c r="D76" s="16">
        <f t="shared" si="8"/>
        <v>99.795462052493832</v>
      </c>
      <c r="E76" s="16">
        <f t="shared" si="10"/>
        <v>101.75508804024697</v>
      </c>
      <c r="F76" s="16">
        <f t="shared" si="11"/>
        <v>103.05600020326753</v>
      </c>
      <c r="G76" s="16">
        <f t="shared" si="12"/>
        <v>102.95944812866836</v>
      </c>
      <c r="H76" s="16">
        <f t="shared" si="13"/>
        <v>102.84511014559037</v>
      </c>
      <c r="I76" s="16">
        <f t="shared" si="14"/>
        <v>104.40391798155346</v>
      </c>
      <c r="J76" s="16">
        <f t="shared" si="15"/>
        <v>106.78595929567803</v>
      </c>
      <c r="K76" s="651">
        <v>168111</v>
      </c>
      <c r="L76" s="168">
        <f t="shared" si="9"/>
        <v>9.4235914185418733E-3</v>
      </c>
      <c r="N76" s="23" t="s">
        <v>49</v>
      </c>
      <c r="O76" s="651">
        <v>157428</v>
      </c>
      <c r="P76" s="651">
        <v>157106</v>
      </c>
      <c r="Q76" s="651">
        <v>160191</v>
      </c>
      <c r="R76" s="651">
        <v>162239</v>
      </c>
      <c r="S76" s="651">
        <v>162087</v>
      </c>
      <c r="T76" s="651">
        <v>161907</v>
      </c>
      <c r="U76" s="651">
        <v>164361</v>
      </c>
      <c r="V76" s="651">
        <v>168111</v>
      </c>
    </row>
    <row r="77" spans="1:22" ht="15">
      <c r="A77" s="23" t="s">
        <v>58</v>
      </c>
      <c r="B77" s="23" t="s">
        <v>65</v>
      </c>
      <c r="C77" s="24">
        <v>100</v>
      </c>
      <c r="D77" s="16">
        <f t="shared" si="8"/>
        <v>97.616308390594469</v>
      </c>
      <c r="E77" s="16">
        <f t="shared" si="10"/>
        <v>99.415306058122681</v>
      </c>
      <c r="F77" s="16">
        <f t="shared" si="11"/>
        <v>99.223822732143987</v>
      </c>
      <c r="G77" s="16">
        <f t="shared" si="12"/>
        <v>98.345993822101747</v>
      </c>
      <c r="H77" s="16">
        <f t="shared" si="13"/>
        <v>98.446857467061719</v>
      </c>
      <c r="I77" s="16">
        <f t="shared" si="14"/>
        <v>97.494956817751998</v>
      </c>
      <c r="J77" s="16">
        <f t="shared" si="15"/>
        <v>97.048162390468377</v>
      </c>
      <c r="K77" s="651">
        <v>123158</v>
      </c>
      <c r="L77" s="168">
        <f t="shared" si="9"/>
        <v>-4.2712537407960964E-3</v>
      </c>
      <c r="N77" s="23" t="s">
        <v>65</v>
      </c>
      <c r="O77" s="651">
        <v>126904</v>
      </c>
      <c r="P77" s="651">
        <v>123879</v>
      </c>
      <c r="Q77" s="651">
        <v>126162</v>
      </c>
      <c r="R77" s="651">
        <v>125919</v>
      </c>
      <c r="S77" s="651">
        <v>124805</v>
      </c>
      <c r="T77" s="651">
        <v>124933</v>
      </c>
      <c r="U77" s="651">
        <v>123725</v>
      </c>
      <c r="V77" s="651">
        <v>123158</v>
      </c>
    </row>
    <row r="78" spans="1:22" ht="15">
      <c r="A78" s="23" t="s">
        <v>486</v>
      </c>
      <c r="B78" s="23" t="s">
        <v>465</v>
      </c>
      <c r="C78" s="24">
        <v>100</v>
      </c>
      <c r="D78" s="16">
        <f t="shared" si="8"/>
        <v>98.162732278617895</v>
      </c>
      <c r="E78" s="16">
        <f t="shared" si="10"/>
        <v>98.583287584635087</v>
      </c>
      <c r="F78" s="16">
        <f t="shared" si="11"/>
        <v>99.021809652143531</v>
      </c>
      <c r="G78" s="16">
        <f t="shared" si="12"/>
        <v>98.953935219843288</v>
      </c>
      <c r="H78" s="16">
        <f t="shared" si="13"/>
        <v>97.944802116085242</v>
      </c>
      <c r="I78" s="16">
        <f t="shared" si="14"/>
        <v>96.805909068223784</v>
      </c>
      <c r="J78" s="16">
        <f t="shared" si="15"/>
        <v>98.264211209262868</v>
      </c>
      <c r="K78" s="651">
        <v>295338</v>
      </c>
      <c r="L78" s="168">
        <f t="shared" si="9"/>
        <v>-2.4983456905431889E-3</v>
      </c>
      <c r="N78" s="24" t="s">
        <v>465</v>
      </c>
      <c r="O78" s="651">
        <v>300555</v>
      </c>
      <c r="P78" s="651">
        <v>295033</v>
      </c>
      <c r="Q78" s="651">
        <v>296297</v>
      </c>
      <c r="R78" s="651">
        <v>297615</v>
      </c>
      <c r="S78" s="651">
        <v>297411</v>
      </c>
      <c r="T78" s="651">
        <v>294378</v>
      </c>
      <c r="U78" s="651">
        <v>290955</v>
      </c>
      <c r="V78" s="651">
        <v>295338</v>
      </c>
    </row>
    <row r="79" spans="1:22" ht="15">
      <c r="A79" s="23" t="s">
        <v>487</v>
      </c>
      <c r="B79" s="23" t="s">
        <v>466</v>
      </c>
      <c r="C79" s="24">
        <v>100</v>
      </c>
      <c r="D79" s="16">
        <f t="shared" si="8"/>
        <v>98.76723799646831</v>
      </c>
      <c r="E79" s="16">
        <f t="shared" si="10"/>
        <v>99.405604451046898</v>
      </c>
      <c r="F79" s="16">
        <f t="shared" si="11"/>
        <v>100.57424951649523</v>
      </c>
      <c r="G79" s="16">
        <f t="shared" si="12"/>
        <v>100.82213330717269</v>
      </c>
      <c r="H79" s="16">
        <f t="shared" si="13"/>
        <v>100.88519914791041</v>
      </c>
      <c r="I79" s="16">
        <f t="shared" si="14"/>
        <v>101.70242733413684</v>
      </c>
      <c r="J79" s="16">
        <f t="shared" si="15"/>
        <v>102.75457577711131</v>
      </c>
      <c r="K79" s="651">
        <v>586556</v>
      </c>
      <c r="L79" s="168">
        <f t="shared" si="9"/>
        <v>3.8894299208177127E-3</v>
      </c>
      <c r="N79" s="24" t="s">
        <v>466</v>
      </c>
      <c r="O79" s="651">
        <v>570832</v>
      </c>
      <c r="P79" s="651">
        <v>563795</v>
      </c>
      <c r="Q79" s="651">
        <v>567439</v>
      </c>
      <c r="R79" s="651">
        <v>574110</v>
      </c>
      <c r="S79" s="651">
        <v>575525</v>
      </c>
      <c r="T79" s="651">
        <v>575885</v>
      </c>
      <c r="U79" s="651">
        <v>580550</v>
      </c>
      <c r="V79" s="651">
        <v>586556</v>
      </c>
    </row>
    <row r="80" spans="1:22" ht="15">
      <c r="A80" s="23" t="s">
        <v>488</v>
      </c>
      <c r="B80" s="23" t="s">
        <v>467</v>
      </c>
      <c r="C80" s="23">
        <v>100</v>
      </c>
      <c r="D80" s="16">
        <f t="shared" si="8"/>
        <v>99.760342268226736</v>
      </c>
      <c r="E80" s="16">
        <f t="shared" si="10"/>
        <v>101.43919590957482</v>
      </c>
      <c r="F80" s="16">
        <f t="shared" si="11"/>
        <v>103.66858759377639</v>
      </c>
      <c r="G80" s="16">
        <f t="shared" si="12"/>
        <v>105.12652628737935</v>
      </c>
      <c r="H80" s="16">
        <f t="shared" si="13"/>
        <v>106.01243521244321</v>
      </c>
      <c r="I80" s="16">
        <f t="shared" si="14"/>
        <v>106.69517235864193</v>
      </c>
      <c r="J80" s="16">
        <f t="shared" si="15"/>
        <v>108.37602523028633</v>
      </c>
      <c r="K80" s="651">
        <v>433671</v>
      </c>
      <c r="L80" s="168">
        <f t="shared" si="9"/>
        <v>1.1557233114816158E-2</v>
      </c>
      <c r="N80" s="24" t="s">
        <v>467</v>
      </c>
      <c r="O80" s="651">
        <v>400154</v>
      </c>
      <c r="P80" s="651">
        <v>399195</v>
      </c>
      <c r="Q80" s="651">
        <v>405913</v>
      </c>
      <c r="R80" s="651">
        <v>414834</v>
      </c>
      <c r="S80" s="651">
        <v>420668</v>
      </c>
      <c r="T80" s="651">
        <v>424213</v>
      </c>
      <c r="U80" s="651">
        <v>426945</v>
      </c>
      <c r="V80" s="651">
        <v>433671</v>
      </c>
    </row>
    <row r="81" spans="1:22" ht="15">
      <c r="A81" s="23" t="s">
        <v>71</v>
      </c>
      <c r="B81" s="23" t="s">
        <v>116</v>
      </c>
      <c r="C81" s="24">
        <v>100</v>
      </c>
      <c r="D81" s="16">
        <f t="shared" si="8"/>
        <v>99.474785376357204</v>
      </c>
      <c r="E81" s="16">
        <f t="shared" si="10"/>
        <v>100.98153613837599</v>
      </c>
      <c r="F81" s="16">
        <f t="shared" si="11"/>
        <v>102.51243762123026</v>
      </c>
      <c r="G81" s="16">
        <f t="shared" si="12"/>
        <v>103.63582746725035</v>
      </c>
      <c r="H81" s="16">
        <f t="shared" si="13"/>
        <v>104.37890701464043</v>
      </c>
      <c r="I81" s="16">
        <f t="shared" si="14"/>
        <v>104.75260764230494</v>
      </c>
      <c r="J81" s="16">
        <f t="shared" si="15"/>
        <v>106.2039388554592</v>
      </c>
      <c r="K81" s="651">
        <v>417767</v>
      </c>
      <c r="L81" s="168">
        <f t="shared" si="9"/>
        <v>8.6357910283477637E-3</v>
      </c>
      <c r="N81" s="24" t="s">
        <v>72</v>
      </c>
      <c r="O81" s="651">
        <v>393363</v>
      </c>
      <c r="P81" s="651">
        <v>391297</v>
      </c>
      <c r="Q81" s="651">
        <v>397224</v>
      </c>
      <c r="R81" s="651">
        <v>403246</v>
      </c>
      <c r="S81" s="651">
        <v>407665</v>
      </c>
      <c r="T81" s="651">
        <v>410588</v>
      </c>
      <c r="U81" s="651">
        <v>412058</v>
      </c>
      <c r="V81" s="651">
        <v>417767</v>
      </c>
    </row>
    <row r="82" spans="1:22" ht="15">
      <c r="A82" s="23" t="s">
        <v>489</v>
      </c>
      <c r="B82" s="23" t="s">
        <v>468</v>
      </c>
      <c r="C82" s="24">
        <v>100</v>
      </c>
      <c r="D82" s="16">
        <f t="shared" si="8"/>
        <v>99.235681114551085</v>
      </c>
      <c r="E82" s="16">
        <f t="shared" si="10"/>
        <v>100.87316176470588</v>
      </c>
      <c r="F82" s="16">
        <f t="shared" si="11"/>
        <v>101.46373516511869</v>
      </c>
      <c r="G82" s="16">
        <f t="shared" si="12"/>
        <v>101.06424148606811</v>
      </c>
      <c r="H82" s="16">
        <f t="shared" si="13"/>
        <v>101.09689434984521</v>
      </c>
      <c r="I82" s="16">
        <f t="shared" si="14"/>
        <v>102.02770252837978</v>
      </c>
      <c r="J82" s="16">
        <f t="shared" si="15"/>
        <v>104.3202560629515</v>
      </c>
      <c r="K82" s="651">
        <v>258781</v>
      </c>
      <c r="L82" s="168">
        <f t="shared" si="9"/>
        <v>6.0604861362740297E-3</v>
      </c>
      <c r="N82" s="24" t="s">
        <v>468</v>
      </c>
      <c r="O82" s="651">
        <v>248064</v>
      </c>
      <c r="P82" s="651">
        <v>246168</v>
      </c>
      <c r="Q82" s="651">
        <v>250230</v>
      </c>
      <c r="R82" s="651">
        <v>251695</v>
      </c>
      <c r="S82" s="651">
        <v>250704</v>
      </c>
      <c r="T82" s="651">
        <v>250785</v>
      </c>
      <c r="U82" s="651">
        <v>253094</v>
      </c>
      <c r="V82" s="651">
        <v>258781</v>
      </c>
    </row>
    <row r="83" spans="1:22" ht="15">
      <c r="A83" s="23" t="s">
        <v>490</v>
      </c>
      <c r="B83" s="23" t="s">
        <v>469</v>
      </c>
      <c r="C83" s="24">
        <v>100</v>
      </c>
      <c r="D83" s="16">
        <f t="shared" si="8"/>
        <v>98.276580432559371</v>
      </c>
      <c r="E83" s="16">
        <f t="shared" si="10"/>
        <v>99.586448171729032</v>
      </c>
      <c r="F83" s="16">
        <f t="shared" si="11"/>
        <v>101.04093853194267</v>
      </c>
      <c r="G83" s="16">
        <f t="shared" si="12"/>
        <v>100.54646690380184</v>
      </c>
      <c r="H83" s="16">
        <f t="shared" si="13"/>
        <v>100.80472158423753</v>
      </c>
      <c r="I83" s="16">
        <f t="shared" si="14"/>
        <v>101.4465705500136</v>
      </c>
      <c r="J83" s="16">
        <f t="shared" si="15"/>
        <v>103.12763634986277</v>
      </c>
      <c r="K83" s="651">
        <v>299494</v>
      </c>
      <c r="L83" s="168">
        <f t="shared" si="9"/>
        <v>4.4092957414360087E-3</v>
      </c>
      <c r="N83" s="24" t="s">
        <v>469</v>
      </c>
      <c r="O83" s="651">
        <v>290411</v>
      </c>
      <c r="P83" s="651">
        <v>285406</v>
      </c>
      <c r="Q83" s="651">
        <v>289210</v>
      </c>
      <c r="R83" s="651">
        <v>293434</v>
      </c>
      <c r="S83" s="651">
        <v>291998</v>
      </c>
      <c r="T83" s="651">
        <v>292748</v>
      </c>
      <c r="U83" s="651">
        <v>294612</v>
      </c>
      <c r="V83" s="651">
        <v>299494</v>
      </c>
    </row>
    <row r="84" spans="1:22" ht="15">
      <c r="A84" s="23" t="s">
        <v>491</v>
      </c>
      <c r="B84" s="23" t="s">
        <v>470</v>
      </c>
      <c r="C84" s="24">
        <v>100</v>
      </c>
      <c r="D84" s="16">
        <f t="shared" si="8"/>
        <v>97.215552946262179</v>
      </c>
      <c r="E84" s="16">
        <f t="shared" si="10"/>
        <v>98.50569273818077</v>
      </c>
      <c r="F84" s="16">
        <f t="shared" si="11"/>
        <v>99.055688941074763</v>
      </c>
      <c r="G84" s="16">
        <f t="shared" si="12"/>
        <v>98.371333602051607</v>
      </c>
      <c r="H84" s="16">
        <f t="shared" si="13"/>
        <v>98.90351261515454</v>
      </c>
      <c r="I84" s="16">
        <f t="shared" si="14"/>
        <v>98.53519333111349</v>
      </c>
      <c r="J84" s="16">
        <f t="shared" si="15"/>
        <v>98.737608290542866</v>
      </c>
      <c r="K84" s="651">
        <v>338044</v>
      </c>
      <c r="L84" s="168">
        <f t="shared" si="9"/>
        <v>-1.8132506063403223E-3</v>
      </c>
      <c r="N84" s="24" t="s">
        <v>470</v>
      </c>
      <c r="O84" s="651">
        <v>342366</v>
      </c>
      <c r="P84" s="651">
        <v>332833</v>
      </c>
      <c r="Q84" s="651">
        <v>337250</v>
      </c>
      <c r="R84" s="651">
        <v>339133</v>
      </c>
      <c r="S84" s="651">
        <v>336790</v>
      </c>
      <c r="T84" s="651">
        <v>338612</v>
      </c>
      <c r="U84" s="651">
        <v>337351</v>
      </c>
      <c r="V84" s="651">
        <v>338044</v>
      </c>
    </row>
    <row r="85" spans="1:22" ht="15">
      <c r="A85" s="23" t="s">
        <v>492</v>
      </c>
      <c r="B85" s="23" t="s">
        <v>471</v>
      </c>
      <c r="C85" s="24">
        <v>100</v>
      </c>
      <c r="D85" s="16">
        <f t="shared" si="8"/>
        <v>97.707863100609131</v>
      </c>
      <c r="E85" s="16">
        <f t="shared" si="10"/>
        <v>99.505632567924394</v>
      </c>
      <c r="F85" s="16">
        <f t="shared" si="11"/>
        <v>101.67532789546199</v>
      </c>
      <c r="G85" s="16">
        <f t="shared" si="12"/>
        <v>102.57229548551024</v>
      </c>
      <c r="H85" s="16">
        <f t="shared" si="13"/>
        <v>102.99713450935182</v>
      </c>
      <c r="I85" s="16">
        <f t="shared" si="14"/>
        <v>103.51501890303598</v>
      </c>
      <c r="J85" s="16">
        <f t="shared" si="15"/>
        <v>105.24632739189228</v>
      </c>
      <c r="K85" s="651">
        <v>411731</v>
      </c>
      <c r="L85" s="168">
        <f t="shared" si="9"/>
        <v>7.3315151774157421E-3</v>
      </c>
      <c r="N85" s="24" t="s">
        <v>471</v>
      </c>
      <c r="O85" s="651">
        <v>391207</v>
      </c>
      <c r="P85" s="651">
        <v>382240</v>
      </c>
      <c r="Q85" s="651">
        <v>389273</v>
      </c>
      <c r="R85" s="651">
        <v>397761</v>
      </c>
      <c r="S85" s="651">
        <v>401270</v>
      </c>
      <c r="T85" s="651">
        <v>402932</v>
      </c>
      <c r="U85" s="651">
        <v>404958</v>
      </c>
      <c r="V85" s="651">
        <v>411731</v>
      </c>
    </row>
    <row r="86" spans="1:22" ht="15">
      <c r="A86" s="23" t="s">
        <v>493</v>
      </c>
      <c r="B86" s="23" t="s">
        <v>472</v>
      </c>
      <c r="C86" s="24">
        <v>100</v>
      </c>
      <c r="D86" s="16">
        <f t="shared" si="8"/>
        <v>97.595899484896066</v>
      </c>
      <c r="E86" s="16">
        <f t="shared" si="10"/>
        <v>98.172940042805408</v>
      </c>
      <c r="F86" s="16">
        <f t="shared" si="11"/>
        <v>99.111160020824258</v>
      </c>
      <c r="G86" s="16">
        <f t="shared" si="12"/>
        <v>98.218369641741049</v>
      </c>
      <c r="H86" s="16">
        <f t="shared" si="13"/>
        <v>97.453402916805985</v>
      </c>
      <c r="I86" s="16">
        <f t="shared" si="14"/>
        <v>97.427866403118557</v>
      </c>
      <c r="J86" s="16">
        <f t="shared" si="15"/>
        <v>97.963992104843612</v>
      </c>
      <c r="K86" s="651">
        <v>694358</v>
      </c>
      <c r="L86" s="168">
        <f t="shared" si="9"/>
        <v>-2.9342868741283907E-3</v>
      </c>
      <c r="N86" s="24" t="s">
        <v>472</v>
      </c>
      <c r="O86" s="651">
        <v>708789</v>
      </c>
      <c r="P86" s="651">
        <v>691749</v>
      </c>
      <c r="Q86" s="651">
        <v>695839</v>
      </c>
      <c r="R86" s="651">
        <v>702489</v>
      </c>
      <c r="S86" s="651">
        <v>696161</v>
      </c>
      <c r="T86" s="651">
        <v>690739</v>
      </c>
      <c r="U86" s="651">
        <v>690558</v>
      </c>
      <c r="V86" s="651">
        <v>694358</v>
      </c>
    </row>
    <row r="87" spans="1:22" ht="15">
      <c r="A87" s="23" t="s">
        <v>494</v>
      </c>
      <c r="B87" s="23" t="s">
        <v>478</v>
      </c>
      <c r="C87" s="24">
        <v>100</v>
      </c>
      <c r="D87" s="16">
        <f t="shared" si="8"/>
        <v>98.456454561881174</v>
      </c>
      <c r="E87" s="16">
        <f t="shared" si="10"/>
        <v>98.630715941700529</v>
      </c>
      <c r="F87" s="16">
        <f t="shared" si="11"/>
        <v>98.83713451814738</v>
      </c>
      <c r="G87" s="16">
        <f t="shared" si="12"/>
        <v>96.636357232766031</v>
      </c>
      <c r="H87" s="16">
        <f t="shared" si="13"/>
        <v>95.766887887762195</v>
      </c>
      <c r="I87" s="16">
        <f t="shared" si="14"/>
        <v>95.473185491897922</v>
      </c>
      <c r="J87" s="16">
        <f t="shared" si="15"/>
        <v>95.770869254963699</v>
      </c>
      <c r="K87" s="651">
        <v>312712</v>
      </c>
      <c r="L87" s="168">
        <f t="shared" si="9"/>
        <v>-6.1540750594812014E-3</v>
      </c>
      <c r="N87" s="24" t="s">
        <v>478</v>
      </c>
      <c r="O87" s="651">
        <v>326521</v>
      </c>
      <c r="P87" s="651">
        <v>321481</v>
      </c>
      <c r="Q87" s="651">
        <v>322050</v>
      </c>
      <c r="R87" s="651">
        <v>322724</v>
      </c>
      <c r="S87" s="651">
        <v>315538</v>
      </c>
      <c r="T87" s="651">
        <v>312699</v>
      </c>
      <c r="U87" s="651">
        <v>311740</v>
      </c>
      <c r="V87" s="651">
        <v>312712</v>
      </c>
    </row>
    <row r="88" spans="1:22" ht="15">
      <c r="A88" s="23" t="s">
        <v>495</v>
      </c>
      <c r="B88" s="23" t="s">
        <v>473</v>
      </c>
      <c r="C88" s="24">
        <v>100</v>
      </c>
      <c r="D88" s="16">
        <f t="shared" si="8"/>
        <v>97.344468099242306</v>
      </c>
      <c r="E88" s="16">
        <f t="shared" si="10"/>
        <v>98.453419145365316</v>
      </c>
      <c r="F88" s="16">
        <f t="shared" si="11"/>
        <v>99.341966532152071</v>
      </c>
      <c r="G88" s="16">
        <f t="shared" si="12"/>
        <v>98.436376136320959</v>
      </c>
      <c r="H88" s="16">
        <f t="shared" si="13"/>
        <v>98.463818269527962</v>
      </c>
      <c r="I88" s="16">
        <f t="shared" si="14"/>
        <v>98.067207228546749</v>
      </c>
      <c r="J88" s="16">
        <f t="shared" si="15"/>
        <v>98.382358463587181</v>
      </c>
      <c r="K88" s="651">
        <v>340583</v>
      </c>
      <c r="L88" s="168">
        <f t="shared" si="9"/>
        <v>-2.327099796602563E-3</v>
      </c>
      <c r="N88" s="24" t="s">
        <v>473</v>
      </c>
      <c r="O88" s="651">
        <v>346183</v>
      </c>
      <c r="P88" s="651">
        <v>336990</v>
      </c>
      <c r="Q88" s="651">
        <v>340829</v>
      </c>
      <c r="R88" s="651">
        <v>343905</v>
      </c>
      <c r="S88" s="651">
        <v>340770</v>
      </c>
      <c r="T88" s="651">
        <v>340865</v>
      </c>
      <c r="U88" s="651">
        <v>339492</v>
      </c>
      <c r="V88" s="651">
        <v>340583</v>
      </c>
    </row>
    <row r="89" spans="1:22" ht="15">
      <c r="A89" s="23" t="s">
        <v>496</v>
      </c>
      <c r="B89" s="23" t="s">
        <v>474</v>
      </c>
      <c r="C89" s="24">
        <v>100</v>
      </c>
      <c r="D89" s="16">
        <f t="shared" si="8"/>
        <v>97.941954384992897</v>
      </c>
      <c r="E89" s="16">
        <f t="shared" si="10"/>
        <v>99.577495523464478</v>
      </c>
      <c r="F89" s="16">
        <f t="shared" si="11"/>
        <v>101.20483419407658</v>
      </c>
      <c r="G89" s="16">
        <f t="shared" si="12"/>
        <v>101.52612331249699</v>
      </c>
      <c r="H89" s="16">
        <f t="shared" si="13"/>
        <v>101.92278227709795</v>
      </c>
      <c r="I89" s="16">
        <f t="shared" si="14"/>
        <v>102.70727868426226</v>
      </c>
      <c r="J89" s="16">
        <f t="shared" si="15"/>
        <v>104.54122668680657</v>
      </c>
      <c r="K89" s="651">
        <v>675490</v>
      </c>
      <c r="L89" s="168">
        <f t="shared" si="9"/>
        <v>6.3646432900185167E-3</v>
      </c>
      <c r="N89" s="24" t="s">
        <v>474</v>
      </c>
      <c r="O89" s="651">
        <v>646147</v>
      </c>
      <c r="P89" s="651">
        <v>632849</v>
      </c>
      <c r="Q89" s="651">
        <v>643417</v>
      </c>
      <c r="R89" s="651">
        <v>653932</v>
      </c>
      <c r="S89" s="651">
        <v>656008</v>
      </c>
      <c r="T89" s="651">
        <v>658571</v>
      </c>
      <c r="U89" s="651">
        <v>663640</v>
      </c>
      <c r="V89" s="651">
        <v>675490</v>
      </c>
    </row>
    <row r="90" spans="1:22" ht="15">
      <c r="A90" s="23" t="s">
        <v>497</v>
      </c>
      <c r="B90" s="23" t="s">
        <v>475</v>
      </c>
      <c r="C90" s="24">
        <v>100</v>
      </c>
      <c r="D90" s="16">
        <f t="shared" si="8"/>
        <v>96.954642903122874</v>
      </c>
      <c r="E90" s="16">
        <f t="shared" si="10"/>
        <v>97.055119256195113</v>
      </c>
      <c r="F90" s="16">
        <f t="shared" si="11"/>
        <v>97.390133725909465</v>
      </c>
      <c r="G90" s="16">
        <f t="shared" si="12"/>
        <v>95.968351348174352</v>
      </c>
      <c r="H90" s="16">
        <f t="shared" si="13"/>
        <v>94.666636812968434</v>
      </c>
      <c r="I90" s="16">
        <f t="shared" si="14"/>
        <v>94.330502829570833</v>
      </c>
      <c r="J90" s="16">
        <f t="shared" si="15"/>
        <v>93.79845395160342</v>
      </c>
      <c r="K90" s="651">
        <v>335140</v>
      </c>
      <c r="L90" s="168">
        <f t="shared" si="9"/>
        <v>-9.1042760191447965E-3</v>
      </c>
      <c r="N90" s="24" t="s">
        <v>475</v>
      </c>
      <c r="O90" s="651">
        <v>357298</v>
      </c>
      <c r="P90" s="651">
        <v>346417</v>
      </c>
      <c r="Q90" s="651">
        <v>346776</v>
      </c>
      <c r="R90" s="651">
        <v>347973</v>
      </c>
      <c r="S90" s="651">
        <v>342893</v>
      </c>
      <c r="T90" s="651">
        <v>338242</v>
      </c>
      <c r="U90" s="651">
        <v>337041</v>
      </c>
      <c r="V90" s="651">
        <v>335140</v>
      </c>
    </row>
    <row r="91" spans="1:22" ht="15">
      <c r="A91" s="23" t="s">
        <v>498</v>
      </c>
      <c r="B91" s="23" t="s">
        <v>476</v>
      </c>
      <c r="C91" s="24">
        <v>100</v>
      </c>
      <c r="D91" s="16">
        <f t="shared" si="8"/>
        <v>99.507773454997505</v>
      </c>
      <c r="E91" s="16">
        <f t="shared" si="10"/>
        <v>101.2557313187947</v>
      </c>
      <c r="F91" s="16">
        <f t="shared" si="11"/>
        <v>101.76406343582181</v>
      </c>
      <c r="G91" s="16">
        <f t="shared" si="12"/>
        <v>100.77155755980452</v>
      </c>
      <c r="H91" s="16">
        <f t="shared" si="13"/>
        <v>100.29845638158126</v>
      </c>
      <c r="I91" s="16">
        <f t="shared" si="14"/>
        <v>100.11223570504657</v>
      </c>
      <c r="J91" s="16">
        <f t="shared" si="15"/>
        <v>100.78917302920645</v>
      </c>
      <c r="K91" s="651">
        <v>200257</v>
      </c>
      <c r="L91" s="168">
        <f t="shared" si="9"/>
        <v>1.1235955404224748E-3</v>
      </c>
      <c r="N91" s="24" t="s">
        <v>476</v>
      </c>
      <c r="O91" s="651">
        <v>198689</v>
      </c>
      <c r="P91" s="651">
        <v>197711</v>
      </c>
      <c r="Q91" s="651">
        <v>201184</v>
      </c>
      <c r="R91" s="651">
        <v>202194</v>
      </c>
      <c r="S91" s="651">
        <v>200222</v>
      </c>
      <c r="T91" s="651">
        <v>199282</v>
      </c>
      <c r="U91" s="651">
        <v>198912</v>
      </c>
      <c r="V91" s="651">
        <v>200257</v>
      </c>
    </row>
    <row r="92" spans="1:22" ht="15">
      <c r="A92" s="23" t="s">
        <v>499</v>
      </c>
      <c r="B92" s="23" t="s">
        <v>477</v>
      </c>
      <c r="C92" s="24">
        <v>100</v>
      </c>
      <c r="D92" s="16">
        <f t="shared" si="8"/>
        <v>97.567661423198842</v>
      </c>
      <c r="E92" s="16">
        <f t="shared" si="10"/>
        <v>99.291429922493222</v>
      </c>
      <c r="F92" s="16">
        <f t="shared" si="11"/>
        <v>98.81781843168838</v>
      </c>
      <c r="G92" s="16">
        <f t="shared" si="12"/>
        <v>97.719128436638755</v>
      </c>
      <c r="H92" s="16">
        <f t="shared" si="13"/>
        <v>97.364473966145269</v>
      </c>
      <c r="I92" s="16">
        <f t="shared" si="14"/>
        <v>96.34262577303592</v>
      </c>
      <c r="J92" s="16">
        <f t="shared" si="15"/>
        <v>95.596373658039198</v>
      </c>
      <c r="K92" s="651">
        <v>129383</v>
      </c>
      <c r="L92" s="168">
        <f t="shared" si="9"/>
        <v>-6.4129627726365176E-3</v>
      </c>
      <c r="N92" s="24" t="s">
        <v>477</v>
      </c>
      <c r="O92" s="651">
        <v>135343</v>
      </c>
      <c r="P92" s="651">
        <v>132051</v>
      </c>
      <c r="Q92" s="651">
        <v>134384</v>
      </c>
      <c r="R92" s="651">
        <v>133743</v>
      </c>
      <c r="S92" s="651">
        <v>132256</v>
      </c>
      <c r="T92" s="651">
        <v>131776</v>
      </c>
      <c r="U92" s="651">
        <v>130393</v>
      </c>
      <c r="V92" s="651">
        <v>129383</v>
      </c>
    </row>
    <row r="93" spans="1:22" ht="15">
      <c r="A93" s="23" t="s">
        <v>73</v>
      </c>
      <c r="B93" s="23" t="s">
        <v>74</v>
      </c>
      <c r="C93" s="24">
        <v>100</v>
      </c>
      <c r="D93" s="16">
        <f t="shared" si="8"/>
        <v>98.724339329503223</v>
      </c>
      <c r="E93" s="16">
        <f t="shared" si="10"/>
        <v>99.922694837872513</v>
      </c>
      <c r="F93" s="16">
        <f t="shared" si="11"/>
        <v>100.9122260121831</v>
      </c>
      <c r="G93" s="16">
        <f t="shared" si="12"/>
        <v>100.88097765931012</v>
      </c>
      <c r="H93" s="16">
        <f t="shared" si="13"/>
        <v>100.85989443327537</v>
      </c>
      <c r="I93" s="16">
        <f t="shared" si="14"/>
        <v>100.98990766048979</v>
      </c>
      <c r="J93" s="16">
        <f t="shared" si="15"/>
        <v>101.68301871638292</v>
      </c>
      <c r="K93" s="651">
        <v>810253</v>
      </c>
      <c r="L93" s="168">
        <f t="shared" si="9"/>
        <v>2.3871488351025851E-3</v>
      </c>
      <c r="N93" s="24" t="s">
        <v>74</v>
      </c>
      <c r="O93" s="651">
        <v>796842</v>
      </c>
      <c r="P93" s="651">
        <v>786677</v>
      </c>
      <c r="Q93" s="651">
        <v>796226</v>
      </c>
      <c r="R93" s="651">
        <v>804111</v>
      </c>
      <c r="S93" s="651">
        <v>803862</v>
      </c>
      <c r="T93" s="651">
        <v>803694</v>
      </c>
      <c r="U93" s="651">
        <v>804730</v>
      </c>
      <c r="V93" s="651">
        <v>810253</v>
      </c>
    </row>
    <row r="94" spans="1:22" ht="15">
      <c r="A94" s="23" t="s">
        <v>69</v>
      </c>
      <c r="B94" s="23" t="s">
        <v>70</v>
      </c>
      <c r="C94" s="24">
        <v>100</v>
      </c>
      <c r="D94" s="16">
        <f t="shared" si="8"/>
        <v>99.349168402217586</v>
      </c>
      <c r="E94" s="16">
        <f t="shared" si="10"/>
        <v>100.67613153031591</v>
      </c>
      <c r="F94" s="16">
        <f t="shared" si="11"/>
        <v>102.08962776099264</v>
      </c>
      <c r="G94" s="16">
        <f t="shared" si="12"/>
        <v>102.79582587779765</v>
      </c>
      <c r="H94" s="16">
        <f t="shared" si="13"/>
        <v>103.41585755771318</v>
      </c>
      <c r="I94" s="16">
        <f t="shared" si="14"/>
        <v>103.58745710011441</v>
      </c>
      <c r="J94" s="16">
        <f t="shared" si="15"/>
        <v>105.37458566777156</v>
      </c>
      <c r="K94" s="651">
        <v>287386</v>
      </c>
      <c r="L94" s="168">
        <f t="shared" si="9"/>
        <v>7.5067926565767626E-3</v>
      </c>
      <c r="N94" s="623" t="s">
        <v>70</v>
      </c>
      <c r="O94" s="652">
        <v>272728</v>
      </c>
      <c r="P94" s="652">
        <v>270953</v>
      </c>
      <c r="Q94" s="652">
        <v>274572</v>
      </c>
      <c r="R94" s="652">
        <v>278427</v>
      </c>
      <c r="S94" s="652">
        <v>280353</v>
      </c>
      <c r="T94" s="652">
        <v>282044</v>
      </c>
      <c r="U94" s="652">
        <v>282512</v>
      </c>
      <c r="V94" s="651">
        <v>287386</v>
      </c>
    </row>
    <row r="95" spans="1:22" ht="15">
      <c r="A95" s="23" t="s">
        <v>705</v>
      </c>
      <c r="B95" s="23" t="s">
        <v>2026</v>
      </c>
      <c r="C95" s="24">
        <v>100</v>
      </c>
      <c r="D95" s="16">
        <f t="shared" si="8"/>
        <v>97.779571593997744</v>
      </c>
      <c r="E95" s="16">
        <f t="shared" si="10"/>
        <v>98.668417290260209</v>
      </c>
      <c r="F95" s="16">
        <f t="shared" si="11"/>
        <v>99.328539140689003</v>
      </c>
      <c r="G95" s="16">
        <f t="shared" si="12"/>
        <v>98.816170072666552</v>
      </c>
      <c r="H95" s="16">
        <f t="shared" si="13"/>
        <v>98.493492819902713</v>
      </c>
      <c r="I95" s="16">
        <f t="shared" si="14"/>
        <v>98.306504006761472</v>
      </c>
      <c r="J95" s="16">
        <f t="shared" si="15"/>
        <v>98.856856771204477</v>
      </c>
      <c r="K95" s="651">
        <v>17445314</v>
      </c>
      <c r="L95" s="168">
        <f t="shared" si="9"/>
        <v>-1.6411195114916096E-3</v>
      </c>
      <c r="N95" s="23" t="s">
        <v>2026</v>
      </c>
      <c r="O95" s="651">
        <v>17647045</v>
      </c>
      <c r="P95" s="651">
        <v>17255205</v>
      </c>
      <c r="Q95" s="651">
        <v>17412060</v>
      </c>
      <c r="R95" s="651">
        <v>17528552</v>
      </c>
      <c r="S95" s="651">
        <v>17438134</v>
      </c>
      <c r="T95" s="651">
        <v>17381191</v>
      </c>
      <c r="U95" s="651">
        <v>17348193</v>
      </c>
      <c r="V95" s="651">
        <v>17445314</v>
      </c>
    </row>
    <row r="97" spans="1:32">
      <c r="D97" s="24">
        <f>MIN(D48:J95)</f>
        <v>93.79845395160342</v>
      </c>
    </row>
    <row r="98" spans="1:32">
      <c r="D98" s="24">
        <f>MAX(D48:J95)</f>
        <v>108.77166145287573</v>
      </c>
    </row>
    <row r="99" spans="1:32" s="26" customFormat="1" ht="15">
      <c r="A99" s="25"/>
      <c r="B99"/>
      <c r="C99"/>
      <c r="F99" s="318"/>
      <c r="AA99" s="25"/>
      <c r="AB99" s="25"/>
      <c r="AC99" s="25"/>
      <c r="AD99" s="25"/>
      <c r="AE99" s="25"/>
      <c r="AF99" s="25"/>
    </row>
    <row r="101" spans="1:32" ht="15">
      <c r="B101"/>
      <c r="C101"/>
      <c r="D101"/>
      <c r="E101"/>
      <c r="F101" s="22"/>
      <c r="G101"/>
      <c r="H101"/>
      <c r="I101"/>
    </row>
    <row r="102" spans="1:32" ht="15">
      <c r="B102" s="83"/>
      <c r="C102" s="226"/>
      <c r="D102"/>
      <c r="E102"/>
      <c r="F102" s="22"/>
      <c r="G102"/>
      <c r="H102"/>
      <c r="I102"/>
    </row>
    <row r="103" spans="1:32" ht="15">
      <c r="B103" s="83"/>
      <c r="C103" s="226"/>
      <c r="D103"/>
    </row>
    <row r="104" spans="1:32" ht="15">
      <c r="B104" s="83"/>
      <c r="C104" s="226"/>
      <c r="D104"/>
    </row>
    <row r="105" spans="1:32" ht="15">
      <c r="B105" s="83"/>
      <c r="C105" s="226"/>
      <c r="D105"/>
      <c r="F105" s="24"/>
    </row>
    <row r="106" spans="1:32" ht="15">
      <c r="B106" s="83"/>
      <c r="C106" s="226"/>
      <c r="D106"/>
      <c r="F106" s="24"/>
    </row>
    <row r="107" spans="1:32" ht="15">
      <c r="B107" s="83"/>
      <c r="C107" s="226"/>
      <c r="D107"/>
      <c r="F107" s="24"/>
    </row>
    <row r="108" spans="1:32" ht="15">
      <c r="B108" s="83"/>
      <c r="C108" s="226"/>
      <c r="D108"/>
      <c r="F108" s="24"/>
    </row>
    <row r="109" spans="1:32" ht="15">
      <c r="B109" s="83"/>
      <c r="C109" s="226"/>
      <c r="D109"/>
      <c r="F109" s="24"/>
    </row>
    <row r="110" spans="1:32" ht="15">
      <c r="B110"/>
      <c r="C110"/>
      <c r="D110"/>
      <c r="F110" s="24"/>
    </row>
    <row r="111" spans="1:32" ht="15">
      <c r="B111"/>
      <c r="C111"/>
      <c r="D111"/>
      <c r="F111" s="24"/>
    </row>
    <row r="112" spans="1:32" ht="15">
      <c r="B112"/>
      <c r="C112"/>
      <c r="D112"/>
      <c r="F112" s="24"/>
    </row>
    <row r="113" spans="2:6" ht="15">
      <c r="B113"/>
      <c r="C113"/>
      <c r="D113"/>
      <c r="F113" s="24"/>
    </row>
    <row r="114" spans="2:6" ht="15">
      <c r="B114"/>
      <c r="C114"/>
      <c r="D114"/>
      <c r="F114" s="24"/>
    </row>
    <row r="115" spans="2:6" ht="15">
      <c r="B115"/>
      <c r="C115"/>
      <c r="D115"/>
      <c r="F115" s="24"/>
    </row>
    <row r="116" spans="2:6" ht="15">
      <c r="B116"/>
      <c r="C116"/>
      <c r="D116"/>
      <c r="F116" s="24"/>
    </row>
    <row r="117" spans="2:6" ht="15">
      <c r="B117"/>
      <c r="C117"/>
      <c r="D117"/>
      <c r="F117" s="24"/>
    </row>
    <row r="118" spans="2:6" ht="15">
      <c r="B118"/>
      <c r="C118"/>
      <c r="D118"/>
      <c r="F118" s="24"/>
    </row>
    <row r="119" spans="2:6">
      <c r="F119" s="24"/>
    </row>
    <row r="120" spans="2:6">
      <c r="F120" s="24"/>
    </row>
    <row r="121" spans="2:6">
      <c r="F121" s="24"/>
    </row>
    <row r="122" spans="2:6">
      <c r="F122" s="24"/>
    </row>
    <row r="123" spans="2:6">
      <c r="F123" s="24"/>
    </row>
    <row r="124" spans="2:6">
      <c r="F124" s="24"/>
    </row>
    <row r="125" spans="2:6">
      <c r="F125" s="24"/>
    </row>
    <row r="126" spans="2:6">
      <c r="F126" s="24"/>
    </row>
    <row r="127" spans="2:6">
      <c r="F127" s="24"/>
    </row>
    <row r="128" spans="2:6">
      <c r="F128" s="24"/>
    </row>
    <row r="129" spans="3:6">
      <c r="F129" s="24"/>
    </row>
    <row r="130" spans="3:6">
      <c r="C130" s="23"/>
      <c r="F130" s="24"/>
    </row>
    <row r="131" spans="3:6">
      <c r="C131" s="23"/>
      <c r="F131" s="24"/>
    </row>
    <row r="132" spans="3:6">
      <c r="C132" s="23"/>
      <c r="F132" s="24"/>
    </row>
    <row r="133" spans="3:6">
      <c r="C133" s="23"/>
      <c r="F133" s="24"/>
    </row>
    <row r="134" spans="3:6">
      <c r="F134" s="24"/>
    </row>
    <row r="135" spans="3:6">
      <c r="F135" s="24"/>
    </row>
    <row r="136" spans="3:6">
      <c r="F136" s="24"/>
    </row>
    <row r="137" spans="3:6">
      <c r="F137" s="24"/>
    </row>
    <row r="138" spans="3:6">
      <c r="F138" s="24"/>
    </row>
    <row r="139" spans="3:6">
      <c r="F139" s="24"/>
    </row>
    <row r="140" spans="3:6">
      <c r="F140" s="24"/>
    </row>
    <row r="141" spans="3:6">
      <c r="F141" s="24"/>
    </row>
    <row r="142" spans="3:6">
      <c r="F142" s="24"/>
    </row>
    <row r="143" spans="3:6">
      <c r="F143" s="24"/>
    </row>
    <row r="144" spans="3:6">
      <c r="F144" s="24"/>
    </row>
    <row r="145" spans="6:7">
      <c r="F145" s="24"/>
    </row>
    <row r="146" spans="6:7">
      <c r="F146" s="24"/>
    </row>
    <row r="147" spans="6:7">
      <c r="F147" s="24"/>
    </row>
    <row r="148" spans="6:7">
      <c r="F148" s="24"/>
    </row>
    <row r="149" spans="6:7">
      <c r="F149" s="24"/>
    </row>
    <row r="150" spans="6:7">
      <c r="F150" s="24"/>
    </row>
    <row r="151" spans="6:7">
      <c r="F151" s="24"/>
    </row>
    <row r="152" spans="6:7">
      <c r="F152" s="24"/>
      <c r="G152" s="24">
        <f t="shared" ref="G152" si="16">SUM(C152:F152)</f>
        <v>0</v>
      </c>
    </row>
    <row r="153" spans="6:7">
      <c r="F153" s="24"/>
    </row>
    <row r="154" spans="6:7">
      <c r="F154" s="24"/>
    </row>
    <row r="155" spans="6:7">
      <c r="F155" s="24"/>
    </row>
    <row r="156" spans="6:7">
      <c r="F156" s="24"/>
    </row>
    <row r="157" spans="6:7">
      <c r="F157" s="24"/>
    </row>
    <row r="158" spans="6:7">
      <c r="F158" s="24"/>
    </row>
    <row r="159" spans="6:7">
      <c r="F159" s="24"/>
    </row>
    <row r="160" spans="6:7">
      <c r="F160" s="24"/>
    </row>
    <row r="161" spans="6:6">
      <c r="F161" s="24"/>
    </row>
    <row r="162" spans="6:6">
      <c r="F162" s="24"/>
    </row>
    <row r="163" spans="6:6">
      <c r="F163" s="24"/>
    </row>
    <row r="164" spans="6:6">
      <c r="F164" s="24"/>
    </row>
    <row r="165" spans="6:6">
      <c r="F165" s="24"/>
    </row>
    <row r="166" spans="6:6">
      <c r="F166" s="24"/>
    </row>
    <row r="167" spans="6:6">
      <c r="F167" s="24"/>
    </row>
    <row r="168" spans="6:6">
      <c r="F168" s="24"/>
    </row>
    <row r="169" spans="6:6">
      <c r="F169" s="24"/>
    </row>
    <row r="170" spans="6:6">
      <c r="F170" s="24"/>
    </row>
    <row r="171" spans="6:6">
      <c r="F171" s="24"/>
    </row>
    <row r="172" spans="6:6">
      <c r="F172" s="24"/>
    </row>
    <row r="173" spans="6:6">
      <c r="F173" s="24"/>
    </row>
    <row r="174" spans="6:6">
      <c r="F174" s="24"/>
    </row>
    <row r="175" spans="6:6">
      <c r="F175" s="24"/>
    </row>
    <row r="176" spans="6:6">
      <c r="F176" s="24"/>
    </row>
    <row r="177" spans="6:6">
      <c r="F177" s="24"/>
    </row>
    <row r="178" spans="6:6">
      <c r="F178" s="24"/>
    </row>
    <row r="179" spans="6:6">
      <c r="F179" s="24"/>
    </row>
    <row r="180" spans="6:6">
      <c r="F180" s="24"/>
    </row>
    <row r="181" spans="6:6">
      <c r="F181" s="24"/>
    </row>
    <row r="182" spans="6:6">
      <c r="F182" s="24"/>
    </row>
    <row r="183" spans="6:6">
      <c r="F183" s="24"/>
    </row>
    <row r="184" spans="6:6">
      <c r="F184" s="24"/>
    </row>
    <row r="185" spans="6:6">
      <c r="F185" s="24"/>
    </row>
    <row r="186" spans="6:6">
      <c r="F186" s="24"/>
    </row>
    <row r="187" spans="6:6">
      <c r="F187" s="24"/>
    </row>
    <row r="188" spans="6:6">
      <c r="F188" s="24"/>
    </row>
    <row r="189" spans="6:6">
      <c r="F189" s="24"/>
    </row>
    <row r="190" spans="6:6">
      <c r="F190" s="24"/>
    </row>
    <row r="191" spans="6:6">
      <c r="F191" s="24"/>
    </row>
    <row r="192" spans="6:6">
      <c r="F192" s="24"/>
    </row>
    <row r="193" spans="6:6">
      <c r="F193" s="24"/>
    </row>
    <row r="194" spans="6:6">
      <c r="F194" s="24"/>
    </row>
    <row r="195" spans="6:6">
      <c r="F195" s="24"/>
    </row>
    <row r="196" spans="6:6">
      <c r="F196" s="24"/>
    </row>
    <row r="197" spans="6:6">
      <c r="F197" s="24"/>
    </row>
    <row r="198" spans="6:6">
      <c r="F198" s="24"/>
    </row>
    <row r="199" spans="6:6">
      <c r="F199" s="24"/>
    </row>
    <row r="200" spans="6:6">
      <c r="F200" s="24"/>
    </row>
    <row r="201" spans="6:6">
      <c r="F201" s="24"/>
    </row>
    <row r="202" spans="6:6">
      <c r="F202" s="24"/>
    </row>
    <row r="203" spans="6:6">
      <c r="F203" s="24"/>
    </row>
    <row r="204" spans="6:6">
      <c r="F204" s="24"/>
    </row>
    <row r="205" spans="6:6">
      <c r="F205" s="24"/>
    </row>
    <row r="206" spans="6:6">
      <c r="F206" s="24"/>
    </row>
    <row r="207" spans="6:6">
      <c r="F207" s="24"/>
    </row>
    <row r="208" spans="6:6">
      <c r="F208" s="24"/>
    </row>
    <row r="209" spans="6:6">
      <c r="F209" s="24"/>
    </row>
    <row r="210" spans="6:6">
      <c r="F210" s="24"/>
    </row>
    <row r="211" spans="6:6">
      <c r="F211" s="24"/>
    </row>
    <row r="212" spans="6:6">
      <c r="F212" s="24"/>
    </row>
    <row r="213" spans="6:6">
      <c r="F213" s="24"/>
    </row>
    <row r="214" spans="6:6">
      <c r="F214" s="24"/>
    </row>
    <row r="215" spans="6:6">
      <c r="F215" s="24"/>
    </row>
    <row r="216" spans="6:6">
      <c r="F216" s="24"/>
    </row>
    <row r="217" spans="6:6">
      <c r="F217" s="24"/>
    </row>
    <row r="218" spans="6:6">
      <c r="F218" s="24"/>
    </row>
    <row r="219" spans="6:6">
      <c r="F219" s="24"/>
    </row>
    <row r="220" spans="6:6">
      <c r="F220" s="24"/>
    </row>
    <row r="221" spans="6:6">
      <c r="F221" s="24"/>
    </row>
    <row r="222" spans="6:6">
      <c r="F222" s="24"/>
    </row>
    <row r="223" spans="6:6">
      <c r="F223" s="24"/>
    </row>
    <row r="224" spans="6:6">
      <c r="F224" s="24"/>
    </row>
    <row r="225" spans="6:6">
      <c r="F225" s="24"/>
    </row>
    <row r="226" spans="6:6">
      <c r="F226" s="24"/>
    </row>
    <row r="227" spans="6:6">
      <c r="F227" s="24"/>
    </row>
    <row r="228" spans="6:6">
      <c r="F228" s="24"/>
    </row>
    <row r="229" spans="6:6">
      <c r="F229" s="24"/>
    </row>
    <row r="230" spans="6:6">
      <c r="F230" s="24"/>
    </row>
    <row r="231" spans="6:6">
      <c r="F231" s="24"/>
    </row>
    <row r="232" spans="6:6">
      <c r="F232" s="24"/>
    </row>
    <row r="233" spans="6:6">
      <c r="F233" s="24"/>
    </row>
    <row r="234" spans="6:6">
      <c r="F234" s="24"/>
    </row>
    <row r="235" spans="6:6">
      <c r="F235" s="24"/>
    </row>
    <row r="236" spans="6:6">
      <c r="F236" s="24"/>
    </row>
    <row r="237" spans="6:6">
      <c r="F237" s="24"/>
    </row>
    <row r="238" spans="6:6">
      <c r="F238" s="24"/>
    </row>
    <row r="239" spans="6:6">
      <c r="F239" s="24"/>
    </row>
    <row r="240" spans="6:6">
      <c r="F240" s="24"/>
    </row>
    <row r="241" spans="6:6">
      <c r="F241" s="24"/>
    </row>
    <row r="242" spans="6:6">
      <c r="F242" s="24"/>
    </row>
    <row r="243" spans="6:6">
      <c r="F243" s="24"/>
    </row>
    <row r="244" spans="6:6">
      <c r="F244" s="24"/>
    </row>
    <row r="245" spans="6:6">
      <c r="F245" s="24"/>
    </row>
    <row r="246" spans="6:6">
      <c r="F246" s="24"/>
    </row>
    <row r="247" spans="6:6">
      <c r="F247" s="24"/>
    </row>
    <row r="248" spans="6:6">
      <c r="F248" s="24"/>
    </row>
  </sheetData>
  <hyperlinks>
    <hyperlink ref="G2" r:id="rId1"/>
  </hyperlinks>
  <pageMargins left="0.7" right="0.7" top="0.75" bottom="0.75" header="0.3" footer="0.3"/>
  <pageSetup paperSize="9" orientation="portrait"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21"/>
  <sheetViews>
    <sheetView topLeftCell="K1" workbookViewId="0">
      <selection activeCell="A24" sqref="A24:U31"/>
    </sheetView>
  </sheetViews>
  <sheetFormatPr baseColWidth="10" defaultRowHeight="15"/>
  <cols>
    <col min="1" max="1" width="18" style="236" customWidth="1"/>
    <col min="2" max="31" width="8.28515625" style="236" customWidth="1"/>
    <col min="32" max="16384" width="11.42578125" style="236"/>
  </cols>
  <sheetData>
    <row r="2" spans="1:33">
      <c r="R2" s="236" t="s">
        <v>2018</v>
      </c>
      <c r="S2" s="236">
        <f>MAX(B9:AR13)</f>
        <v>10.6</v>
      </c>
    </row>
    <row r="4" spans="1:33">
      <c r="R4" s="236" t="s">
        <v>2017</v>
      </c>
      <c r="S4" s="236">
        <f>MIN(B9:AJ13)</f>
        <v>5.5</v>
      </c>
    </row>
    <row r="5" spans="1:33" ht="15.75" thickBot="1"/>
    <row r="6" spans="1:33" s="607" customFormat="1" ht="16.5" thickTop="1" thickBot="1">
      <c r="A6"/>
      <c r="B6"/>
      <c r="C6"/>
      <c r="D6"/>
      <c r="E6"/>
      <c r="F6" s="604"/>
      <c r="G6" s="966" t="str">
        <f>'Marché du travail'!L177</f>
        <v>ZE Bordeaux</v>
      </c>
      <c r="H6" s="967"/>
      <c r="I6" s="605"/>
      <c r="J6" s="966" t="str">
        <f>'Marché du travail'!Q177</f>
        <v>ZE Toulouse</v>
      </c>
      <c r="K6" s="967"/>
      <c r="L6" s="605"/>
      <c r="M6" s="966" t="str">
        <f>'Marché du travail'!J176</f>
        <v>France métro.</v>
      </c>
      <c r="N6" s="967"/>
      <c r="O6" s="605"/>
      <c r="P6" s="966" t="str">
        <f>'Marché du travail'!N176</f>
        <v>ZE Nantes</v>
      </c>
      <c r="Q6" s="967"/>
      <c r="R6" s="605"/>
      <c r="S6" s="966" t="str">
        <f>'Marché du travail'!R176</f>
        <v>ZE Rennes</v>
      </c>
      <c r="T6" s="967"/>
      <c r="U6" s="606" t="s">
        <v>1425</v>
      </c>
      <c r="V6" s="606"/>
      <c r="W6" s="606"/>
    </row>
    <row r="7" spans="1:33" ht="15.75" thickTop="1"/>
    <row r="8" spans="1:33" s="607" customFormat="1" ht="12.75">
      <c r="A8" s="424"/>
      <c r="B8" s="608" t="s">
        <v>960</v>
      </c>
      <c r="C8" s="608" t="s">
        <v>961</v>
      </c>
      <c r="D8" s="608" t="s">
        <v>962</v>
      </c>
      <c r="E8" s="608" t="s">
        <v>963</v>
      </c>
      <c r="F8" s="608" t="s">
        <v>964</v>
      </c>
      <c r="G8" s="608" t="s">
        <v>965</v>
      </c>
      <c r="H8" s="608" t="s">
        <v>966</v>
      </c>
      <c r="I8" s="608" t="s">
        <v>967</v>
      </c>
      <c r="J8" s="608" t="s">
        <v>968</v>
      </c>
      <c r="K8" s="608" t="s">
        <v>969</v>
      </c>
      <c r="L8" s="608" t="s">
        <v>970</v>
      </c>
      <c r="M8" s="608" t="s">
        <v>971</v>
      </c>
      <c r="N8" s="608" t="s">
        <v>972</v>
      </c>
      <c r="O8" s="608" t="s">
        <v>973</v>
      </c>
      <c r="P8" s="608" t="s">
        <v>974</v>
      </c>
      <c r="Q8" s="608" t="s">
        <v>975</v>
      </c>
      <c r="R8" s="609" t="s">
        <v>976</v>
      </c>
      <c r="S8" s="609" t="s">
        <v>977</v>
      </c>
      <c r="T8" s="609" t="s">
        <v>978</v>
      </c>
      <c r="U8" s="609" t="s">
        <v>980</v>
      </c>
      <c r="V8" s="609" t="s">
        <v>979</v>
      </c>
      <c r="W8" s="609" t="s">
        <v>981</v>
      </c>
      <c r="X8" s="609" t="s">
        <v>982</v>
      </c>
      <c r="Y8" s="609" t="s">
        <v>983</v>
      </c>
      <c r="Z8" s="609" t="s">
        <v>984</v>
      </c>
      <c r="AA8" s="609" t="s">
        <v>985</v>
      </c>
      <c r="AB8" s="609" t="s">
        <v>986</v>
      </c>
      <c r="AC8" s="17" t="s">
        <v>1652</v>
      </c>
      <c r="AD8" s="17" t="s">
        <v>1653</v>
      </c>
      <c r="AE8" s="17" t="s">
        <v>1655</v>
      </c>
      <c r="AF8" s="17" t="s">
        <v>1810</v>
      </c>
      <c r="AG8" s="17" t="s">
        <v>1829</v>
      </c>
    </row>
    <row r="9" spans="1:33" s="607" customFormat="1" ht="12.75">
      <c r="A9" s="424" t="str">
        <f>G6</f>
        <v>ZE Bordeaux</v>
      </c>
      <c r="B9" s="424">
        <f>VLOOKUP($G6,'D_Ch2-2'!$B$6:$AF24,MATCH("08-T4",'D_Ch2-2'!$6:$6,0)-1,FALSE)</f>
        <v>7.4</v>
      </c>
      <c r="C9" s="424">
        <f>VLOOKUP($G6,'D_Ch2-2'!$B$6:$AF24,MATCH("09-T1",'D_Ch2-2'!$6:$6,0)-1,FALSE)</f>
        <v>7.9</v>
      </c>
      <c r="D9" s="424">
        <f>VLOOKUP($G6,'D_Ch2-2'!$B$6:$AF24,MATCH("09-T2",'D_Ch2-2'!$6:$6,0)-1,FALSE)</f>
        <v>8.4</v>
      </c>
      <c r="E9" s="424">
        <f>VLOOKUP($G6,'D_Ch2-2'!$B$6:$AF24,MATCH("09-T3",'D_Ch2-2'!$6:$6,0)-1,FALSE)</f>
        <v>8.5</v>
      </c>
      <c r="F9" s="424">
        <f>VLOOKUP($G6,'D_Ch2-2'!$B$6:$AF24,MATCH("09-T4",'D_Ch2-2'!$6:$6,0)-1,FALSE)</f>
        <v>8.8000000000000007</v>
      </c>
      <c r="G9" s="424">
        <f>VLOOKUP($G6,'D_Ch2-2'!$B$6:$AF24,MATCH("10-T1",'D_Ch2-2'!$6:$6,0)-1,FALSE)</f>
        <v>8.6999999999999993</v>
      </c>
      <c r="H9" s="424">
        <f>VLOOKUP($G6,'D_Ch2-2'!$B$6:$AF24,MATCH("10-T2",'D_Ch2-2'!$6:$6,0)-1,FALSE)</f>
        <v>8.8000000000000007</v>
      </c>
      <c r="I9" s="424">
        <f>VLOOKUP($G6,'D_Ch2-2'!$B$6:$AF24,MATCH("10-T3",'D_Ch2-2'!$6:$6,0)-1,FALSE)</f>
        <v>8.8000000000000007</v>
      </c>
      <c r="J9" s="424">
        <f>VLOOKUP($G6,'D_Ch2-2'!$B$6:$AF24,MATCH("10-T4",'D_Ch2-2'!$6:$6,0)-1,FALSE)</f>
        <v>8.8000000000000007</v>
      </c>
      <c r="K9" s="424">
        <f>VLOOKUP($G6,'D_Ch2-2'!$B$6:$AF24,MATCH("11-T1",'D_Ch2-2'!$6:$6,0)-1,FALSE)</f>
        <v>8.8000000000000007</v>
      </c>
      <c r="L9" s="424">
        <f>VLOOKUP($G6,'D_Ch2-2'!$B$6:$AF24,MATCH("11-T2",'D_Ch2-2'!$6:$6,0)-1,FALSE)</f>
        <v>8.6999999999999993</v>
      </c>
      <c r="M9" s="424">
        <f>VLOOKUP($G6,'D_Ch2-2'!$B$6:$AF24,MATCH("11-T3",'D_Ch2-2'!$6:$6,0)-1,FALSE)</f>
        <v>9</v>
      </c>
      <c r="N9" s="424">
        <f>VLOOKUP($G6,'D_Ch2-2'!$B$6:$AF24,MATCH("11-T4",'D_Ch2-2'!$6:$6,0)-1,FALSE)</f>
        <v>9.1999999999999993</v>
      </c>
      <c r="O9" s="424">
        <f>VLOOKUP($G6,'D_Ch2-2'!$B$6:$AF24,MATCH("12-T1",'D_Ch2-2'!$6:$6,0)-1,FALSE)</f>
        <v>9.3000000000000007</v>
      </c>
      <c r="P9" s="424">
        <f>VLOOKUP($G6,'D_Ch2-2'!$B$6:$AF24,MATCH("12-T2",'D_Ch2-2'!$6:$6,0)-1,FALSE)</f>
        <v>9.4</v>
      </c>
      <c r="Q9" s="424">
        <f>VLOOKUP($G6,'D_Ch2-2'!$B$6:$AF24,MATCH("12-T3",'D_Ch2-2'!$6:$6,0)-1,FALSE)</f>
        <v>9.4</v>
      </c>
      <c r="R9" s="424">
        <f>VLOOKUP($G6,'D_Ch2-2'!$B$6:$AF24,MATCH("12-T4",'D_Ch2-2'!$6:$6,0)-1,FALSE)</f>
        <v>9.6999999999999993</v>
      </c>
      <c r="S9" s="607">
        <f>VLOOKUP($G6,'D_Ch2-2'!$B$6:$AF24,MATCH("13-T1",'D_Ch2-2'!$6:$6,0)-1,FALSE)</f>
        <v>9.9</v>
      </c>
      <c r="T9" s="607">
        <f>VLOOKUP($G6,'D_Ch2-2'!$B$6:$AF24,MATCH("13-T2",'D_Ch2-2'!$6:$6,0)-1,FALSE)</f>
        <v>9.8000000000000007</v>
      </c>
      <c r="U9" s="607">
        <f>VLOOKUP($G6,'D_Ch2-2'!$B$6:$AF24,MATCH("13-T3",'D_Ch2-2'!$6:$6,0)-1,FALSE)</f>
        <v>9.6999999999999993</v>
      </c>
      <c r="V9" s="607">
        <f>VLOOKUP($G6,'D_Ch2-2'!$B$6:$AF24,MATCH("13-T4",'D_Ch2-2'!$6:$6,0)-1,FALSE)</f>
        <v>9.6999999999999993</v>
      </c>
      <c r="W9" s="607">
        <f>VLOOKUP($G6,'D_Ch2-2'!$B$6:$AF24,MATCH("14-T1",'D_Ch2-2'!$6:$6,0)-1,FALSE)</f>
        <v>9.6999999999999993</v>
      </c>
      <c r="X9" s="607">
        <f>VLOOKUP($G6,'D_Ch2-2'!$B$6:$AF24,MATCH("14-T2",'D_Ch2-2'!$6:$6,0)-1,FALSE)</f>
        <v>9.6999999999999993</v>
      </c>
      <c r="Y9" s="607">
        <f>VLOOKUP($G6,'D_Ch2-2'!$B$6:$AF24,MATCH("14-T3",'D_Ch2-2'!$6:$6,0)-1,FALSE)</f>
        <v>10</v>
      </c>
      <c r="Z9" s="607">
        <f>VLOOKUP($G6,'D_Ch2-2'!$B$6:$AF24,MATCH("14-T4",'D_Ch2-2'!$6:$6,0)-1,FALSE)</f>
        <v>10.1</v>
      </c>
      <c r="AA9" s="607">
        <f>VLOOKUP($G6,'D_Ch2-2'!$B$6:$AF24,MATCH("15-T1",'D_Ch2-2'!$6:$6,0)-1,FALSE)</f>
        <v>10.1</v>
      </c>
      <c r="AB9" s="607">
        <f>VLOOKUP($G6,'D_Ch2-2'!$B$6:$AF24,MATCH("15-T2",'D_Ch2-2'!$6:$6,0)-1,FALSE)</f>
        <v>10.1</v>
      </c>
      <c r="AC9" s="607">
        <f>VLOOKUP($G6,'D_Ch2-2'!$B$6:$AH$22,MATCH("15-T3",'D_Ch2-2'!$6:$6,0)-1,FALSE)</f>
        <v>10.1</v>
      </c>
      <c r="AD9" s="607">
        <f>VLOOKUP($G6,'D_Ch2-2'!$B$6:$AH$22,MATCH("15-T4",'D_Ch2-2'!$6:$6,0)-1,FALSE)</f>
        <v>10</v>
      </c>
      <c r="AE9" s="607">
        <f>VLOOKUP($G6,'D_Ch2-2'!$B$6:$AH$22,MATCH("16-T1",'D_Ch2-2'!$6:$6,0)-1,FALSE)</f>
        <v>9.9</v>
      </c>
      <c r="AF9" s="607">
        <f>VLOOKUP($G6,'D_Ch2-2'!$B$6:$AH$22,MATCH("16-T2",'D_Ch2-2'!$6:$6,0)-1,FALSE)</f>
        <v>9.6999999999999993</v>
      </c>
      <c r="AG9" s="607">
        <f>VLOOKUP($G6,'D_Ch2-2'!$B$6:$AH$22,MATCH("16-T3",'D_Ch2-2'!$6:$6,0)-1,FALSE)*100</f>
        <v>9.6999999999999993</v>
      </c>
    </row>
    <row r="10" spans="1:33" s="607" customFormat="1" ht="12.75">
      <c r="A10" s="424" t="str">
        <f>J6</f>
        <v>ZE Toulouse</v>
      </c>
      <c r="B10" s="424">
        <f>VLOOKUP($J6,'D_Ch2-2'!$B$6:$AF25,MATCH("08-T4",'D_Ch2-2'!$6:$6,0)-1,FALSE)</f>
        <v>7.5</v>
      </c>
      <c r="C10" s="424">
        <f>VLOOKUP($J6,'D_Ch2-2'!$B$6:$AF25,MATCH("09-T1",'D_Ch2-2'!$6:$6,0)-1,FALSE)</f>
        <v>8.1</v>
      </c>
      <c r="D10" s="424">
        <f>VLOOKUP($J6,'D_Ch2-2'!$B$6:$AF25,MATCH("09-T2",'D_Ch2-2'!$6:$6,0)-1,FALSE)</f>
        <v>8.6999999999999993</v>
      </c>
      <c r="E10" s="424">
        <f>VLOOKUP($J6,'D_Ch2-2'!$B$6:$AF25,MATCH("09-T3",'D_Ch2-2'!$6:$6,0)-1,FALSE)</f>
        <v>8.6999999999999993</v>
      </c>
      <c r="F10" s="424">
        <f>VLOOKUP($J6,'D_Ch2-2'!$B$6:$AF25,MATCH("09-T4",'D_Ch2-2'!$6:$6,0)-1,FALSE)</f>
        <v>9.1</v>
      </c>
      <c r="G10" s="424">
        <f>VLOOKUP($J6,'D_Ch2-2'!$B$6:$AF25,MATCH("10-T1",'D_Ch2-2'!$6:$6,0)-1,FALSE)</f>
        <v>9</v>
      </c>
      <c r="H10" s="424">
        <f>VLOOKUP($J6,'D_Ch2-2'!$B$6:$AF25,MATCH("10-T2",'D_Ch2-2'!$6:$6,0)-1,FALSE)</f>
        <v>8.9</v>
      </c>
      <c r="I10" s="424">
        <f>VLOOKUP($J6,'D_Ch2-2'!$B$6:$AF25,MATCH("10-T3",'D_Ch2-2'!$6:$6,0)-1,FALSE)</f>
        <v>9</v>
      </c>
      <c r="J10" s="424">
        <f>VLOOKUP($J6,'D_Ch2-2'!$B$6:$AF25,MATCH("10-T4",'D_Ch2-2'!$6:$6,0)-1,FALSE)</f>
        <v>9</v>
      </c>
      <c r="K10" s="424">
        <f>VLOOKUP($J6,'D_Ch2-2'!$B$6:$AF25,MATCH("11-T1",'D_Ch2-2'!$6:$6,0)-1,FALSE)</f>
        <v>8.9</v>
      </c>
      <c r="L10" s="424">
        <f>VLOOKUP($J6,'D_Ch2-2'!$B$6:$AF25,MATCH("11-T2",'D_Ch2-2'!$6:$6,0)-1,FALSE)</f>
        <v>8.8000000000000007</v>
      </c>
      <c r="M10" s="424">
        <f>VLOOKUP($J6,'D_Ch2-2'!$B$6:$AF25,MATCH("11-T3",'D_Ch2-2'!$6:$6,0)-1,FALSE)</f>
        <v>9</v>
      </c>
      <c r="N10" s="424">
        <f>VLOOKUP($J6,'D_Ch2-2'!$B$6:$AF25,MATCH("11-T4",'D_Ch2-2'!$6:$6,0)-1,FALSE)</f>
        <v>9.1999999999999993</v>
      </c>
      <c r="O10" s="424">
        <f>VLOOKUP($J6,'D_Ch2-2'!$B$6:$AF25,MATCH("12-T1",'D_Ch2-2'!$6:$6,0)-1,FALSE)</f>
        <v>9.3000000000000007</v>
      </c>
      <c r="P10" s="424">
        <f>VLOOKUP($J6,'D_Ch2-2'!$B$6:$AF25,MATCH("12-T2",'D_Ch2-2'!$6:$6,0)-1,FALSE)</f>
        <v>9.5</v>
      </c>
      <c r="Q10" s="424">
        <f>VLOOKUP($J6,'D_Ch2-2'!$B$6:$AF25,MATCH("12-T3",'D_Ch2-2'!$6:$6,0)-1,FALSE)</f>
        <v>9.6</v>
      </c>
      <c r="R10" s="424">
        <f>VLOOKUP($J6,'D_Ch2-2'!$B$6:$AF25,MATCH("12-T4",'D_Ch2-2'!$6:$6,0)-1,FALSE)</f>
        <v>9.8000000000000007</v>
      </c>
      <c r="S10" s="607">
        <f>VLOOKUP($J6,'D_Ch2-2'!$B$6:$AF25,MATCH("13-T1",'D_Ch2-2'!$6:$6,0)-1,FALSE)</f>
        <v>10</v>
      </c>
      <c r="T10" s="607">
        <f>VLOOKUP($J6,'D_Ch2-2'!$B$6:$AF25,MATCH("13-T2",'D_Ch2-2'!$6:$6,0)-1,FALSE)</f>
        <v>10.1</v>
      </c>
      <c r="U10" s="607">
        <f>VLOOKUP($J6,'D_Ch2-2'!$B$6:$AF25,MATCH("13-T3",'D_Ch2-2'!$6:$6,0)-1,FALSE)</f>
        <v>10.1</v>
      </c>
      <c r="V10" s="607">
        <f>VLOOKUP($J6,'D_Ch2-2'!$B$6:$AF25,MATCH("13-T4",'D_Ch2-2'!$6:$6,0)-1,FALSE)</f>
        <v>10.1</v>
      </c>
      <c r="W10" s="607">
        <f>VLOOKUP($J6,'D_Ch2-2'!$B$6:$AF25,MATCH("14-T1",'D_Ch2-2'!$6:$6,0)-1,FALSE)</f>
        <v>10.1</v>
      </c>
      <c r="X10" s="607">
        <f>VLOOKUP($J6,'D_Ch2-2'!$B$6:$AF25,MATCH("14-T2",'D_Ch2-2'!$6:$6,0)-1,FALSE)</f>
        <v>10.1</v>
      </c>
      <c r="Y10" s="607">
        <f>VLOOKUP($J6,'D_Ch2-2'!$B$6:$AF25,MATCH("14-T3",'D_Ch2-2'!$6:$6,0)-1,FALSE)</f>
        <v>10.4</v>
      </c>
      <c r="Z10" s="607">
        <f>VLOOKUP($J6,'D_Ch2-2'!$B$6:$AF25,MATCH("14-T4",'D_Ch2-2'!$6:$6,0)-1,FALSE)</f>
        <v>10.6</v>
      </c>
      <c r="AA10" s="607">
        <f>VLOOKUP($J6,'D_Ch2-2'!$B$6:$AF25,MATCH("15-T1",'D_Ch2-2'!$6:$6,0)-1,FALSE)</f>
        <v>10.4</v>
      </c>
      <c r="AB10" s="607">
        <f>VLOOKUP($J6,'D_Ch2-2'!$B$6:$AF25,MATCH("15-T2",'D_Ch2-2'!$6:$6,0)-1,FALSE)</f>
        <v>10.3</v>
      </c>
      <c r="AC10" s="607">
        <f>VLOOKUP($J6,'D_Ch2-2'!$B$6:$AH$22,MATCH("15-T3",'D_Ch2-2'!$6:$6,0)-1,FALSE)</f>
        <v>10.4</v>
      </c>
      <c r="AD10" s="607">
        <f>VLOOKUP($J6,'D_Ch2-2'!$B$6:$AH$22,MATCH("15-T4",'D_Ch2-2'!$6:$6,0)-1,FALSE)</f>
        <v>10.3</v>
      </c>
      <c r="AE10" s="607">
        <f>VLOOKUP($J6,'D_Ch2-2'!$B$6:$AH$22,MATCH("16-T1",'D_Ch2-2'!$6:$6,0)-1,FALSE)</f>
        <v>10.1</v>
      </c>
      <c r="AF10" s="607">
        <f>VLOOKUP($J6,'D_Ch2-2'!$B$6:$AH$22,MATCH("16-T2",'D_Ch2-2'!$6:$6,0)-1,FALSE)</f>
        <v>9.8000000000000007</v>
      </c>
      <c r="AG10" s="607">
        <f>VLOOKUP($J6,'D_Ch2-2'!$B$6:$AH$22,MATCH("16-T3",'D_Ch2-2'!$6:$6,0)-1,FALSE)*100</f>
        <v>10.1</v>
      </c>
    </row>
    <row r="11" spans="1:33" s="607" customFormat="1" ht="12.75">
      <c r="A11" s="424" t="str">
        <f>M6</f>
        <v>France métro.</v>
      </c>
      <c r="B11" s="424">
        <f>VLOOKUP($M6,'D_Ch2-2'!$B$6:$AF26,MATCH("08-T4",'D_Ch2-2'!$6:$6,0)-1,FALSE)</f>
        <v>7.4</v>
      </c>
      <c r="C11" s="424">
        <f>VLOOKUP($M6,'D_Ch2-2'!$B$6:$AF26,MATCH("09-T1",'D_Ch2-2'!$6:$6,0)-1,FALSE)</f>
        <v>8.1999999999999993</v>
      </c>
      <c r="D11" s="424">
        <f>VLOOKUP($M6,'D_Ch2-2'!$B$6:$AF26,MATCH("09-T2",'D_Ch2-2'!$6:$6,0)-1,FALSE)</f>
        <v>8.8000000000000007</v>
      </c>
      <c r="E11" s="424">
        <f>VLOOKUP($M6,'D_Ch2-2'!$B$6:$AF26,MATCH("09-T3",'D_Ch2-2'!$6:$6,0)-1,FALSE)</f>
        <v>8.8000000000000007</v>
      </c>
      <c r="F11" s="424">
        <f>VLOOKUP($M6,'D_Ch2-2'!$B$6:$AF26,MATCH("09-T4",'D_Ch2-2'!$6:$6,0)-1,FALSE)</f>
        <v>9.1999999999999993</v>
      </c>
      <c r="G11" s="424">
        <f>VLOOKUP($M6,'D_Ch2-2'!$B$6:$AF26,MATCH("10-T1",'D_Ch2-2'!$6:$6,0)-1,FALSE)</f>
        <v>9</v>
      </c>
      <c r="H11" s="424">
        <f>VLOOKUP($M6,'D_Ch2-2'!$B$6:$AF26,MATCH("10-T2",'D_Ch2-2'!$6:$6,0)-1,FALSE)</f>
        <v>8.9</v>
      </c>
      <c r="I11" s="424">
        <f>VLOOKUP($M6,'D_Ch2-2'!$B$6:$AF26,MATCH("10-T3",'D_Ch2-2'!$6:$6,0)-1,FALSE)</f>
        <v>8.8000000000000007</v>
      </c>
      <c r="J11" s="424">
        <f>VLOOKUP($M6,'D_Ch2-2'!$B$6:$AF26,MATCH("10-T4",'D_Ch2-2'!$6:$6,0)-1,FALSE)</f>
        <v>8.8000000000000007</v>
      </c>
      <c r="K11" s="424">
        <f>VLOOKUP($M6,'D_Ch2-2'!$B$6:$AF26,MATCH("11-T1",'D_Ch2-2'!$6:$6,0)-1,FALSE)</f>
        <v>8.6999999999999993</v>
      </c>
      <c r="L11" s="424">
        <f>VLOOKUP($M6,'D_Ch2-2'!$B$6:$AF26,MATCH("11-T2",'D_Ch2-2'!$6:$6,0)-1,FALSE)</f>
        <v>8.6999999999999993</v>
      </c>
      <c r="M11" s="424">
        <f>VLOOKUP($M6,'D_Ch2-2'!$B$6:$AF26,MATCH("11-T3",'D_Ch2-2'!$6:$6,0)-1,FALSE)</f>
        <v>8.8000000000000007</v>
      </c>
      <c r="N11" s="424">
        <f>VLOOKUP($M6,'D_Ch2-2'!$B$6:$AF26,MATCH("11-T4",'D_Ch2-2'!$6:$6,0)-1,FALSE)</f>
        <v>9</v>
      </c>
      <c r="O11" s="424">
        <f>VLOOKUP($M6,'D_Ch2-2'!$B$6:$AF26,MATCH("12-T1",'D_Ch2-2'!$6:$6,0)-1,FALSE)</f>
        <v>9.1</v>
      </c>
      <c r="P11" s="424">
        <f>VLOOKUP($M6,'D_Ch2-2'!$B$6:$AF26,MATCH("12-T2",'D_Ch2-2'!$6:$6,0)-1,FALSE)</f>
        <v>9.3000000000000007</v>
      </c>
      <c r="Q11" s="424">
        <f>VLOOKUP($M6,'D_Ch2-2'!$B$6:$AF26,MATCH("12-T3",'D_Ch2-2'!$6:$6,0)-1,FALSE)</f>
        <v>9.4</v>
      </c>
      <c r="R11" s="424">
        <f>VLOOKUP($M6,'D_Ch2-2'!$B$6:$AF26,MATCH("12-T4",'D_Ch2-2'!$6:$6,0)-1,FALSE)</f>
        <v>9.6999999999999993</v>
      </c>
      <c r="S11" s="607">
        <f>VLOOKUP($M6,'D_Ch2-2'!$B$6:$AF26,MATCH("13-T1",'D_Ch2-2'!$6:$6,0)-1,FALSE)</f>
        <v>9.9</v>
      </c>
      <c r="T11" s="607">
        <f>VLOOKUP($M6,'D_Ch2-2'!$B$6:$AF26,MATCH("13-T2",'D_Ch2-2'!$6:$6,0)-1,FALSE)</f>
        <v>10</v>
      </c>
      <c r="U11" s="607">
        <f>VLOOKUP($M6,'D_Ch2-2'!$B$6:$AF26,MATCH("13-T3",'D_Ch2-2'!$6:$6,0)-1,FALSE)</f>
        <v>9.9</v>
      </c>
      <c r="V11" s="607">
        <f>VLOOKUP($M6,'D_Ch2-2'!$B$6:$AF26,MATCH("13-T4",'D_Ch2-2'!$6:$6,0)-1,FALSE)</f>
        <v>9.6999999999999993</v>
      </c>
      <c r="W11" s="607">
        <f>VLOOKUP($M6,'D_Ch2-2'!$B$6:$AF26,MATCH("14-T1",'D_Ch2-2'!$6:$6,0)-1,FALSE)</f>
        <v>9.8000000000000007</v>
      </c>
      <c r="X11" s="607">
        <f>VLOOKUP($M6,'D_Ch2-2'!$B$6:$AF26,MATCH("14-T2",'D_Ch2-2'!$6:$6,0)-1,FALSE)</f>
        <v>9.6999999999999993</v>
      </c>
      <c r="Y11" s="607">
        <f>VLOOKUP($M6,'D_Ch2-2'!$B$6:$AF26,MATCH("14-T3",'D_Ch2-2'!$6:$6,0)-1,FALSE)</f>
        <v>10</v>
      </c>
      <c r="Z11" s="607">
        <f>VLOOKUP($M6,'D_Ch2-2'!$B$6:$AF26,MATCH("14-T4",'D_Ch2-2'!$6:$6,0)-1,FALSE)</f>
        <v>10.1</v>
      </c>
      <c r="AA11" s="607">
        <f>VLOOKUP($M6,'D_Ch2-2'!$B$6:$AF26,MATCH("15-T1",'D_Ch2-2'!$6:$6,0)-1,FALSE)</f>
        <v>10</v>
      </c>
      <c r="AB11" s="607">
        <f>VLOOKUP($M6,'D_Ch2-2'!$B$6:$AF26,MATCH("15-T2",'D_Ch2-2'!$6:$6,0)-1,FALSE)</f>
        <v>10.1</v>
      </c>
      <c r="AC11" s="607">
        <f>VLOOKUP($M6,'D_Ch2-2'!$B$6:$AH$22,MATCH("15-T3",'D_Ch2-2'!$6:$6,0)-1,FALSE)</f>
        <v>10.199999999999999</v>
      </c>
      <c r="AD11" s="607">
        <f>VLOOKUP($M6,'D_Ch2-2'!$B$6:$AH$22,MATCH("15-T4",'D_Ch2-2'!$6:$6,0)-1,FALSE)</f>
        <v>9.9</v>
      </c>
      <c r="AE11" s="607">
        <f>VLOOKUP($M6,'D_Ch2-2'!$B$6:$AH$22,MATCH("16-T1",'D_Ch2-2'!$6:$6,0)-1,FALSE)</f>
        <v>9.9</v>
      </c>
      <c r="AF11" s="607">
        <f>VLOOKUP($M6,'D_Ch2-2'!$B$6:$AH$22,MATCH("16-T2",'D_Ch2-2'!$6:$6,0)-1,FALSE)</f>
        <v>9.6</v>
      </c>
      <c r="AG11" s="607">
        <f>VLOOKUP($M6,'D_Ch2-2'!$B$6:$AH$22,MATCH("16-T3",'D_Ch2-2'!$6:$6,0)-1,FALSE)*100</f>
        <v>9.6999999999999993</v>
      </c>
    </row>
    <row r="12" spans="1:33" s="607" customFormat="1" ht="12.75">
      <c r="A12" s="424" t="str">
        <f>P6</f>
        <v>ZE Nantes</v>
      </c>
      <c r="B12" s="424">
        <f>VLOOKUP($P6,'D_Ch2-2'!$B$6:$AF27,MATCH("08-T4",'D_Ch2-2'!$6:$6,0)-1,FALSE)</f>
        <v>6.2</v>
      </c>
      <c r="C12" s="424">
        <f>VLOOKUP($P6,'D_Ch2-2'!$B$6:$AF27,MATCH("09-T1",'D_Ch2-2'!$6:$6,0)-1,FALSE)</f>
        <v>6.9</v>
      </c>
      <c r="D12" s="424">
        <f>VLOOKUP($P6,'D_Ch2-2'!$B$6:$AF27,MATCH("09-T2",'D_Ch2-2'!$6:$6,0)-1,FALSE)</f>
        <v>7.5</v>
      </c>
      <c r="E12" s="424">
        <f>VLOOKUP($P6,'D_Ch2-2'!$B$6:$AF27,MATCH("09-T3",'D_Ch2-2'!$6:$6,0)-1,FALSE)</f>
        <v>7.6</v>
      </c>
      <c r="F12" s="424">
        <f>VLOOKUP($P6,'D_Ch2-2'!$B$6:$AF27,MATCH("09-T4",'D_Ch2-2'!$6:$6,0)-1,FALSE)</f>
        <v>8</v>
      </c>
      <c r="G12" s="424">
        <f>VLOOKUP($P6,'D_Ch2-2'!$B$6:$AF27,MATCH("10-T1",'D_Ch2-2'!$6:$6,0)-1,FALSE)</f>
        <v>7.7</v>
      </c>
      <c r="H12" s="424">
        <f>VLOOKUP($P6,'D_Ch2-2'!$B$6:$AF27,MATCH("10-T2",'D_Ch2-2'!$6:$6,0)-1,FALSE)</f>
        <v>7.6</v>
      </c>
      <c r="I12" s="424">
        <f>VLOOKUP($P6,'D_Ch2-2'!$B$6:$AF27,MATCH("10-T3",'D_Ch2-2'!$6:$6,0)-1,FALSE)</f>
        <v>7.4</v>
      </c>
      <c r="J12" s="424">
        <f>VLOOKUP($P6,'D_Ch2-2'!$B$6:$AF27,MATCH("10-T4",'D_Ch2-2'!$6:$6,0)-1,FALSE)</f>
        <v>7.3</v>
      </c>
      <c r="K12" s="424">
        <f>VLOOKUP($P6,'D_Ch2-2'!$B$6:$AF27,MATCH("11-T1",'D_Ch2-2'!$6:$6,0)-1,FALSE)</f>
        <v>7.2</v>
      </c>
      <c r="L12" s="424">
        <f>VLOOKUP($P6,'D_Ch2-2'!$B$6:$AF27,MATCH("11-T2",'D_Ch2-2'!$6:$6,0)-1,FALSE)</f>
        <v>7</v>
      </c>
      <c r="M12" s="424">
        <f>VLOOKUP($P6,'D_Ch2-2'!$B$6:$AF27,MATCH("11-T3",'D_Ch2-2'!$6:$6,0)-1,FALSE)</f>
        <v>7.2</v>
      </c>
      <c r="N12" s="424">
        <f>VLOOKUP($P6,'D_Ch2-2'!$B$6:$AF27,MATCH("11-T4",'D_Ch2-2'!$6:$6,0)-1,FALSE)</f>
        <v>7.3</v>
      </c>
      <c r="O12" s="424">
        <f>VLOOKUP($P6,'D_Ch2-2'!$B$6:$AF27,MATCH("12-T1",'D_Ch2-2'!$6:$6,0)-1,FALSE)</f>
        <v>7.4</v>
      </c>
      <c r="P12" s="424">
        <f>VLOOKUP($P6,'D_Ch2-2'!$B$6:$AF27,MATCH("12-T2",'D_Ch2-2'!$6:$6,0)-1,FALSE)</f>
        <v>7.5</v>
      </c>
      <c r="Q12" s="424">
        <f>VLOOKUP($P6,'D_Ch2-2'!$B$6:$AF27,MATCH("12-T3",'D_Ch2-2'!$6:$6,0)-1,FALSE)</f>
        <v>7.6</v>
      </c>
      <c r="R12" s="424">
        <f>VLOOKUP($P6,'D_Ch2-2'!$B$6:$AF27,MATCH("12-T4",'D_Ch2-2'!$6:$6,0)-1,FALSE)</f>
        <v>7.8</v>
      </c>
      <c r="S12" s="607">
        <f>VLOOKUP($P6,'D_Ch2-2'!$B$6:$AF27,MATCH("13-T1",'D_Ch2-2'!$6:$6,0)-1,FALSE)</f>
        <v>8</v>
      </c>
      <c r="T12" s="607">
        <f>VLOOKUP($P6,'D_Ch2-2'!$B$6:$AF27,MATCH("13-T2",'D_Ch2-2'!$6:$6,0)-1,FALSE)</f>
        <v>8.1</v>
      </c>
      <c r="U12" s="607">
        <f>VLOOKUP($P6,'D_Ch2-2'!$B$6:$AF27,MATCH("13-T3",'D_Ch2-2'!$6:$6,0)-1,FALSE)</f>
        <v>8.1</v>
      </c>
      <c r="V12" s="607">
        <f>VLOOKUP($P6,'D_Ch2-2'!$B$6:$AF27,MATCH("13-T4",'D_Ch2-2'!$6:$6,0)-1,FALSE)</f>
        <v>8</v>
      </c>
      <c r="W12" s="607">
        <f>VLOOKUP($P6,'D_Ch2-2'!$B$6:$AF27,MATCH("14-T1",'D_Ch2-2'!$6:$6,0)-1,FALSE)</f>
        <v>8.1</v>
      </c>
      <c r="X12" s="607">
        <f>VLOOKUP($P6,'D_Ch2-2'!$B$6:$AF27,MATCH("14-T2",'D_Ch2-2'!$6:$6,0)-1,FALSE)</f>
        <v>8.1</v>
      </c>
      <c r="Y12" s="607">
        <f>VLOOKUP($P6,'D_Ch2-2'!$B$6:$AF27,MATCH("14-T3",'D_Ch2-2'!$6:$6,0)-1,FALSE)</f>
        <v>8.3000000000000007</v>
      </c>
      <c r="Z12" s="607">
        <f>VLOOKUP($P6,'D_Ch2-2'!$B$6:$AF27,MATCH("14-T4",'D_Ch2-2'!$6:$6,0)-1,FALSE)</f>
        <v>8.5</v>
      </c>
      <c r="AA12" s="607">
        <f>VLOOKUP($P6,'D_Ch2-2'!$B$6:$AF27,MATCH("15-T1",'D_Ch2-2'!$6:$6,0)-1,FALSE)</f>
        <v>8.5</v>
      </c>
      <c r="AB12" s="607">
        <f>VLOOKUP($P6,'D_Ch2-2'!$B$6:$AF27,MATCH("15-T2",'D_Ch2-2'!$6:$6,0)-1,FALSE)</f>
        <v>8.5</v>
      </c>
      <c r="AC12" s="607">
        <f>VLOOKUP($P6,'D_Ch2-2'!$B$6:$AH$22,MATCH("15-T3",'D_Ch2-2'!$6:$6,0)-1,FALSE)</f>
        <v>8.6</v>
      </c>
      <c r="AD12" s="607">
        <f>VLOOKUP($P6,'D_Ch2-2'!$B$6:$AH$22,MATCH("15-T4",'D_Ch2-2'!$6:$6,0)-1,FALSE)</f>
        <v>8.4</v>
      </c>
      <c r="AE12" s="607">
        <f>VLOOKUP($P6,'D_Ch2-2'!$B$6:$AH$22,MATCH("16-T1",'D_Ch2-2'!$6:$6,0)-1,FALSE)</f>
        <v>8.3000000000000007</v>
      </c>
      <c r="AF12" s="607">
        <f>VLOOKUP($P6,'D_Ch2-2'!$B$6:$AH$22,MATCH("16-T2",'D_Ch2-2'!$6:$6,0)-1,FALSE)</f>
        <v>7.9</v>
      </c>
      <c r="AG12" s="607">
        <f>VLOOKUP($P6,'D_Ch2-2'!$B$6:$AH$22,MATCH("16-T3",'D_Ch2-2'!$6:$6,0)-1,FALSE)*100</f>
        <v>8.1</v>
      </c>
    </row>
    <row r="13" spans="1:33" s="607" customFormat="1" ht="12.75">
      <c r="A13" s="424" t="str">
        <f>S6</f>
        <v>ZE Rennes</v>
      </c>
      <c r="B13" s="424">
        <f>VLOOKUP($S6,'D_Ch2-2'!$B$6:$AF28,MATCH("08-T4",'D_Ch2-2'!$6:$6,0)-1,FALSE)</f>
        <v>5.5</v>
      </c>
      <c r="C13" s="424">
        <f>VLOOKUP($S6,'D_Ch2-2'!$B$6:$AF28,MATCH("09-T1",'D_Ch2-2'!$6:$6,0)-1,FALSE)</f>
        <v>6.2</v>
      </c>
      <c r="D13" s="424">
        <f>VLOOKUP($S6,'D_Ch2-2'!$B$6:$AF28,MATCH("09-T2",'D_Ch2-2'!$6:$6,0)-1,FALSE)</f>
        <v>6.8</v>
      </c>
      <c r="E13" s="424">
        <f>VLOOKUP($S6,'D_Ch2-2'!$B$6:$AF28,MATCH("09-T3",'D_Ch2-2'!$6:$6,0)-1,FALSE)</f>
        <v>6.8</v>
      </c>
      <c r="F13" s="424">
        <f>VLOOKUP($S6,'D_Ch2-2'!$B$6:$AF28,MATCH("09-T4",'D_Ch2-2'!$6:$6,0)-1,FALSE)</f>
        <v>7.1</v>
      </c>
      <c r="G13" s="424">
        <f>VLOOKUP($S6,'D_Ch2-2'!$B$6:$AF28,MATCH("10-T1",'D_Ch2-2'!$6:$6,0)-1,FALSE)</f>
        <v>7</v>
      </c>
      <c r="H13" s="424">
        <f>VLOOKUP($S6,'D_Ch2-2'!$B$6:$AF28,MATCH("10-T2",'D_Ch2-2'!$6:$6,0)-1,FALSE)</f>
        <v>6.8</v>
      </c>
      <c r="I13" s="424">
        <f>VLOOKUP($S6,'D_Ch2-2'!$B$6:$AF28,MATCH("10-T3",'D_Ch2-2'!$6:$6,0)-1,FALSE)</f>
        <v>6.7</v>
      </c>
      <c r="J13" s="424">
        <f>VLOOKUP($S6,'D_Ch2-2'!$B$6:$AF28,MATCH("10-T4",'D_Ch2-2'!$6:$6,0)-1,FALSE)</f>
        <v>6.8</v>
      </c>
      <c r="K13" s="424">
        <f>VLOOKUP($S6,'D_Ch2-2'!$B$6:$AF28,MATCH("11-T1",'D_Ch2-2'!$6:$6,0)-1,FALSE)</f>
        <v>6.6</v>
      </c>
      <c r="L13" s="424">
        <f>VLOOKUP($S6,'D_Ch2-2'!$B$6:$AF28,MATCH("11-T2",'D_Ch2-2'!$6:$6,0)-1,FALSE)</f>
        <v>6.5</v>
      </c>
      <c r="M13" s="424">
        <f>VLOOKUP($S6,'D_Ch2-2'!$B$6:$AF28,MATCH("11-T3",'D_Ch2-2'!$6:$6,0)-1,FALSE)</f>
        <v>6.7</v>
      </c>
      <c r="N13" s="424">
        <f>VLOOKUP($S6,'D_Ch2-2'!$B$6:$AF28,MATCH("11-T4",'D_Ch2-2'!$6:$6,0)-1,FALSE)</f>
        <v>6.9</v>
      </c>
      <c r="O13" s="424">
        <f>VLOOKUP($S6,'D_Ch2-2'!$B$6:$AF28,MATCH("12-T1",'D_Ch2-2'!$6:$6,0)-1,FALSE)</f>
        <v>7.1</v>
      </c>
      <c r="P13" s="424">
        <f>VLOOKUP($S6,'D_Ch2-2'!$B$6:$AF28,MATCH("12-T2",'D_Ch2-2'!$6:$6,0)-1,FALSE)</f>
        <v>7.4</v>
      </c>
      <c r="Q13" s="424">
        <f>VLOOKUP($S6,'D_Ch2-2'!$B$6:$AF28,MATCH("12-T3",'D_Ch2-2'!$6:$6,0)-1,FALSE)</f>
        <v>7.5</v>
      </c>
      <c r="R13" s="424">
        <f>VLOOKUP($S6,'D_Ch2-2'!$B$6:$AF28,MATCH("12-T4",'D_Ch2-2'!$6:$6,0)-1,FALSE)</f>
        <v>8</v>
      </c>
      <c r="S13" s="607">
        <f>VLOOKUP($S6,'D_Ch2-2'!$B$6:$AF28,MATCH("13-T1",'D_Ch2-2'!$6:$6,0)-1,FALSE)</f>
        <v>8.1</v>
      </c>
      <c r="T13" s="607">
        <f>VLOOKUP($S6,'D_Ch2-2'!$B$6:$AF28,MATCH("13-T2",'D_Ch2-2'!$6:$6,0)-1,FALSE)</f>
        <v>8.1</v>
      </c>
      <c r="U13" s="607">
        <f>VLOOKUP($S6,'D_Ch2-2'!$B$6:$AF28,MATCH("13-T3",'D_Ch2-2'!$6:$6,0)-1,FALSE)</f>
        <v>8</v>
      </c>
      <c r="V13" s="607">
        <f>VLOOKUP($S6,'D_Ch2-2'!$B$6:$AF28,MATCH("13-T4",'D_Ch2-2'!$6:$6,0)-1,FALSE)</f>
        <v>7.8</v>
      </c>
      <c r="W13" s="607">
        <f>VLOOKUP($S6,'D_Ch2-2'!$B$6:$AF28,MATCH("14-T1",'D_Ch2-2'!$6:$6,0)-1,FALSE)</f>
        <v>7.8</v>
      </c>
      <c r="X13" s="607">
        <f>VLOOKUP($S6,'D_Ch2-2'!$B$6:$AF28,MATCH("14-T2",'D_Ch2-2'!$6:$6,0)-1,FALSE)</f>
        <v>7.8</v>
      </c>
      <c r="Y13" s="607">
        <f>VLOOKUP($S6,'D_Ch2-2'!$B$6:$AF28,MATCH("14-T3",'D_Ch2-2'!$6:$6,0)-1,FALSE)</f>
        <v>8</v>
      </c>
      <c r="Z13" s="607">
        <f>VLOOKUP($S6,'D_Ch2-2'!$B$6:$AF28,MATCH("14-T4",'D_Ch2-2'!$6:$6,0)-1,FALSE)</f>
        <v>8.1999999999999993</v>
      </c>
      <c r="AA13" s="607">
        <f>VLOOKUP($S6,'D_Ch2-2'!$B$6:$AF28,MATCH("15-T1",'D_Ch2-2'!$6:$6,0)-1,FALSE)</f>
        <v>8</v>
      </c>
      <c r="AB13" s="607">
        <f>VLOOKUP($S6,'D_Ch2-2'!$B$6:$AF28,MATCH("15-T2",'D_Ch2-2'!$6:$6,0)-1,FALSE)</f>
        <v>8</v>
      </c>
      <c r="AC13" s="607">
        <f>VLOOKUP($S6,'D_Ch2-2'!$B$6:$AH$22,MATCH("15-T3",'D_Ch2-2'!$6:$6,0)-1,FALSE)</f>
        <v>8.1</v>
      </c>
      <c r="AD13" s="607">
        <f>VLOOKUP($S6,'D_Ch2-2'!$B$6:$AH$22,MATCH("15-T4",'D_Ch2-2'!$6:$6,0)-1,FALSE)</f>
        <v>8</v>
      </c>
      <c r="AE13" s="607">
        <f>VLOOKUP($S6,'D_Ch2-2'!$B$6:$AH$22,MATCH("16-T1",'D_Ch2-2'!$6:$6,0)-1,FALSE)</f>
        <v>8</v>
      </c>
      <c r="AF13" s="607">
        <f>VLOOKUP($S6,'D_Ch2-2'!$B$6:$AH$22,MATCH("16-T2",'D_Ch2-2'!$6:$6,0)-1,FALSE)</f>
        <v>7.7</v>
      </c>
      <c r="AG13" s="607">
        <f>VLOOKUP($S6,'D_Ch2-2'!$B$6:$AH$22,MATCH("16-T3",'D_Ch2-2'!$6:$6,0)-1,FALSE)*100</f>
        <v>7.8</v>
      </c>
    </row>
    <row r="14" spans="1:33" s="607" customFormat="1" ht="12.75">
      <c r="A14" s="424"/>
      <c r="B14" s="424"/>
      <c r="C14" s="424"/>
      <c r="D14" s="424"/>
      <c r="E14" s="424"/>
      <c r="F14" s="424"/>
      <c r="G14" s="424"/>
      <c r="H14" s="424"/>
      <c r="I14" s="424"/>
      <c r="J14" s="424"/>
      <c r="K14" s="424"/>
      <c r="L14" s="424"/>
      <c r="M14" s="424"/>
      <c r="N14" s="424"/>
      <c r="O14" s="424"/>
      <c r="P14" s="424"/>
      <c r="Q14" s="424"/>
      <c r="R14" s="424"/>
      <c r="S14" s="424"/>
      <c r="T14" s="424"/>
    </row>
    <row r="16" spans="1:33">
      <c r="A16" s="236" t="s">
        <v>1650</v>
      </c>
      <c r="B16" s="236">
        <f>MIN(B9:AE13)</f>
        <v>5.5</v>
      </c>
    </row>
    <row r="17" spans="1:34">
      <c r="A17" s="236" t="s">
        <v>1651</v>
      </c>
      <c r="B17" s="236">
        <f>MAX(B9:AE13)</f>
        <v>10.6</v>
      </c>
      <c r="Z17" s="668"/>
      <c r="AA17" s="668"/>
      <c r="AB17" s="668"/>
      <c r="AC17" s="668"/>
      <c r="AD17" s="668"/>
      <c r="AE17" s="668"/>
      <c r="AF17" s="668"/>
      <c r="AG17" s="668"/>
      <c r="AH17" s="668"/>
    </row>
    <row r="20" spans="1:34" customFormat="1" ht="48.75" customHeight="1">
      <c r="A20" s="965" t="s">
        <v>1654</v>
      </c>
      <c r="B20" s="965"/>
      <c r="C20" s="965"/>
      <c r="D20" s="965"/>
      <c r="E20" s="965"/>
      <c r="F20" s="965"/>
      <c r="G20" s="965"/>
      <c r="H20" s="965"/>
      <c r="I20" s="965"/>
      <c r="J20" s="965"/>
      <c r="K20" s="965"/>
      <c r="L20" s="965"/>
    </row>
    <row r="21" spans="1:34" customFormat="1" ht="48.75" customHeight="1">
      <c r="A21" s="965"/>
      <c r="B21" s="965"/>
      <c r="C21" s="965"/>
      <c r="D21" s="965"/>
      <c r="E21" s="965"/>
      <c r="F21" s="965"/>
      <c r="G21" s="965"/>
      <c r="H21" s="965"/>
      <c r="I21" s="965"/>
      <c r="J21" s="965"/>
      <c r="K21" s="965"/>
      <c r="L21" s="965"/>
    </row>
  </sheetData>
  <mergeCells count="6">
    <mergeCell ref="A20:L21"/>
    <mergeCell ref="S6:T6"/>
    <mergeCell ref="G6:H6"/>
    <mergeCell ref="J6:K6"/>
    <mergeCell ref="M6:N6"/>
    <mergeCell ref="P6:Q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'D_Ch2-2'!$B$7:$B$22</xm:f>
          </x14:formula1>
          <xm:sqref>J6:K6 G6:H6 M6:N6 P6:Q6 S6:T6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34"/>
  <sheetViews>
    <sheetView topLeftCell="A58" workbookViewId="0">
      <selection activeCell="C77" sqref="C77"/>
    </sheetView>
  </sheetViews>
  <sheetFormatPr baseColWidth="10" defaultRowHeight="15"/>
  <cols>
    <col min="3" max="3" width="31.140625" bestFit="1" customWidth="1"/>
    <col min="12" max="12" width="33.140625" customWidth="1"/>
  </cols>
  <sheetData>
    <row r="1" spans="1:35" ht="31.5" customHeight="1">
      <c r="A1" s="965" t="s">
        <v>1654</v>
      </c>
      <c r="B1" s="965"/>
      <c r="C1" s="965"/>
      <c r="D1" s="965"/>
      <c r="E1" s="965"/>
      <c r="F1" s="965"/>
      <c r="G1" s="965"/>
      <c r="H1" s="965"/>
      <c r="I1" s="965"/>
      <c r="J1" s="965"/>
      <c r="K1" s="965"/>
      <c r="L1" s="965"/>
    </row>
    <row r="2" spans="1:35" ht="33.75" customHeight="1">
      <c r="A2" s="965"/>
      <c r="B2" s="965"/>
      <c r="C2" s="965"/>
      <c r="D2" s="965"/>
      <c r="E2" s="965"/>
      <c r="F2" s="965"/>
      <c r="G2" s="965"/>
      <c r="H2" s="965"/>
      <c r="I2" s="965"/>
      <c r="J2" s="965"/>
      <c r="K2" s="965"/>
      <c r="L2" s="965"/>
    </row>
    <row r="3" spans="1:35" s="47" customFormat="1">
      <c r="A3" s="49" t="s">
        <v>142</v>
      </c>
      <c r="B3" s="46"/>
      <c r="U3" s="48"/>
    </row>
    <row r="4" spans="1:35" s="24" customFormat="1" ht="12.75">
      <c r="A4" s="29"/>
      <c r="B4" s="29"/>
      <c r="U4" s="27"/>
    </row>
    <row r="5" spans="1:35" s="24" customFormat="1" ht="12.75">
      <c r="A5" s="23"/>
      <c r="B5" s="23"/>
      <c r="C5" s="632" t="s">
        <v>103</v>
      </c>
      <c r="D5" s="632" t="s">
        <v>104</v>
      </c>
      <c r="E5" s="632" t="s">
        <v>104</v>
      </c>
      <c r="F5" s="632" t="s">
        <v>104</v>
      </c>
      <c r="G5" s="632" t="s">
        <v>104</v>
      </c>
      <c r="H5" s="632" t="s">
        <v>105</v>
      </c>
      <c r="I5" s="632" t="s">
        <v>105</v>
      </c>
      <c r="J5" s="632" t="s">
        <v>105</v>
      </c>
      <c r="K5" s="632" t="s">
        <v>105</v>
      </c>
      <c r="L5" s="632" t="s">
        <v>106</v>
      </c>
      <c r="M5" s="632" t="s">
        <v>106</v>
      </c>
      <c r="N5" s="632" t="s">
        <v>106</v>
      </c>
      <c r="O5" s="632" t="s">
        <v>106</v>
      </c>
      <c r="P5" s="632" t="s">
        <v>107</v>
      </c>
      <c r="Q5" s="632" t="s">
        <v>107</v>
      </c>
      <c r="R5" s="632" t="s">
        <v>107</v>
      </c>
      <c r="S5" s="632" t="s">
        <v>107</v>
      </c>
      <c r="T5" s="632" t="s">
        <v>108</v>
      </c>
      <c r="U5" s="632" t="s">
        <v>108</v>
      </c>
      <c r="V5" s="632" t="s">
        <v>108</v>
      </c>
      <c r="W5" s="632" t="s">
        <v>108</v>
      </c>
      <c r="X5" s="632" t="s">
        <v>109</v>
      </c>
      <c r="Y5" s="632" t="s">
        <v>109</v>
      </c>
      <c r="Z5" s="632" t="s">
        <v>109</v>
      </c>
      <c r="AA5" s="632" t="s">
        <v>109</v>
      </c>
      <c r="AB5" s="632" t="s">
        <v>110</v>
      </c>
      <c r="AC5" s="632" t="s">
        <v>110</v>
      </c>
      <c r="AD5" s="632" t="s">
        <v>110</v>
      </c>
      <c r="AE5" s="632" t="s">
        <v>110</v>
      </c>
      <c r="AF5" s="632">
        <v>2016</v>
      </c>
      <c r="AG5" s="632">
        <v>2016</v>
      </c>
      <c r="AH5" s="712">
        <v>2016</v>
      </c>
    </row>
    <row r="6" spans="1:35" s="24" customFormat="1" ht="12.75">
      <c r="A6" s="25" t="s">
        <v>52</v>
      </c>
      <c r="B6" s="25" t="s">
        <v>53</v>
      </c>
      <c r="C6" s="633" t="s">
        <v>960</v>
      </c>
      <c r="D6" s="633" t="s">
        <v>961</v>
      </c>
      <c r="E6" s="633" t="s">
        <v>962</v>
      </c>
      <c r="F6" s="633" t="s">
        <v>963</v>
      </c>
      <c r="G6" s="633" t="s">
        <v>964</v>
      </c>
      <c r="H6" s="633" t="s">
        <v>965</v>
      </c>
      <c r="I6" s="633" t="s">
        <v>966</v>
      </c>
      <c r="J6" s="633" t="s">
        <v>967</v>
      </c>
      <c r="K6" s="633" t="s">
        <v>968</v>
      </c>
      <c r="L6" s="633" t="s">
        <v>969</v>
      </c>
      <c r="M6" s="633" t="s">
        <v>970</v>
      </c>
      <c r="N6" s="633" t="s">
        <v>971</v>
      </c>
      <c r="O6" s="633" t="s">
        <v>972</v>
      </c>
      <c r="P6" s="633" t="s">
        <v>973</v>
      </c>
      <c r="Q6" s="633" t="s">
        <v>974</v>
      </c>
      <c r="R6" s="633" t="s">
        <v>975</v>
      </c>
      <c r="S6" s="633" t="s">
        <v>976</v>
      </c>
      <c r="T6" s="633" t="s">
        <v>977</v>
      </c>
      <c r="U6" s="633" t="s">
        <v>978</v>
      </c>
      <c r="V6" s="633" t="s">
        <v>980</v>
      </c>
      <c r="W6" s="633" t="s">
        <v>979</v>
      </c>
      <c r="X6" s="633" t="s">
        <v>981</v>
      </c>
      <c r="Y6" s="633" t="s">
        <v>982</v>
      </c>
      <c r="Z6" s="633" t="s">
        <v>983</v>
      </c>
      <c r="AA6" s="633" t="s">
        <v>984</v>
      </c>
      <c r="AB6" s="633" t="s">
        <v>985</v>
      </c>
      <c r="AC6" s="633" t="s">
        <v>986</v>
      </c>
      <c r="AD6" s="633" t="s">
        <v>1652</v>
      </c>
      <c r="AE6" s="633" t="s">
        <v>1653</v>
      </c>
      <c r="AF6" s="633" t="s">
        <v>1655</v>
      </c>
      <c r="AG6" s="633" t="s">
        <v>1810</v>
      </c>
      <c r="AH6" s="713" t="s">
        <v>1829</v>
      </c>
    </row>
    <row r="7" spans="1:35" s="24" customFormat="1" ht="12.75">
      <c r="A7" s="23" t="s">
        <v>88</v>
      </c>
      <c r="B7" s="23" t="s">
        <v>89</v>
      </c>
      <c r="C7" s="634">
        <v>8.5</v>
      </c>
      <c r="D7" s="634">
        <v>9.6</v>
      </c>
      <c r="E7" s="634">
        <v>10</v>
      </c>
      <c r="F7" s="634">
        <v>10</v>
      </c>
      <c r="G7" s="634">
        <v>10.6</v>
      </c>
      <c r="H7" s="634">
        <v>10.6</v>
      </c>
      <c r="I7" s="634">
        <v>10.5</v>
      </c>
      <c r="J7" s="634">
        <v>10.5</v>
      </c>
      <c r="K7" s="634">
        <v>10.5</v>
      </c>
      <c r="L7" s="634">
        <v>10.7</v>
      </c>
      <c r="M7" s="634">
        <v>10.8</v>
      </c>
      <c r="N7" s="634">
        <v>11.1</v>
      </c>
      <c r="O7" s="634">
        <v>11.2</v>
      </c>
      <c r="P7" s="634">
        <v>11.3</v>
      </c>
      <c r="Q7" s="634">
        <v>11.4</v>
      </c>
      <c r="R7" s="634">
        <v>11.4</v>
      </c>
      <c r="S7" s="634">
        <v>11.8</v>
      </c>
      <c r="T7" s="634">
        <v>12.1</v>
      </c>
      <c r="U7" s="634">
        <v>12.2</v>
      </c>
      <c r="V7" s="634">
        <v>12</v>
      </c>
      <c r="W7" s="634">
        <v>11.7</v>
      </c>
      <c r="X7" s="634">
        <v>11.8</v>
      </c>
      <c r="Y7" s="634">
        <v>11.7</v>
      </c>
      <c r="Z7" s="634">
        <v>12.1</v>
      </c>
      <c r="AA7" s="634">
        <v>12.3</v>
      </c>
      <c r="AB7" s="634">
        <v>12.1</v>
      </c>
      <c r="AC7" s="634">
        <v>12.1</v>
      </c>
      <c r="AD7" s="634">
        <v>12.2</v>
      </c>
      <c r="AE7" s="634">
        <v>12.1</v>
      </c>
      <c r="AF7" s="634">
        <v>12</v>
      </c>
      <c r="AG7" s="634">
        <v>11.7</v>
      </c>
      <c r="AH7" s="844">
        <v>0.11699999999999999</v>
      </c>
      <c r="AI7" s="843"/>
    </row>
    <row r="8" spans="1:35" s="24" customFormat="1" ht="12.75">
      <c r="A8" s="23" t="s">
        <v>5</v>
      </c>
      <c r="B8" s="23" t="s">
        <v>6</v>
      </c>
      <c r="C8" s="634">
        <v>7.4</v>
      </c>
      <c r="D8" s="634">
        <v>7.9</v>
      </c>
      <c r="E8" s="634">
        <v>8.4</v>
      </c>
      <c r="F8" s="634">
        <v>8.5</v>
      </c>
      <c r="G8" s="634">
        <v>8.8000000000000007</v>
      </c>
      <c r="H8" s="634">
        <v>8.6999999999999993</v>
      </c>
      <c r="I8" s="634">
        <v>8.8000000000000007</v>
      </c>
      <c r="J8" s="634">
        <v>8.8000000000000007</v>
      </c>
      <c r="K8" s="634">
        <v>8.8000000000000007</v>
      </c>
      <c r="L8" s="634">
        <v>8.8000000000000007</v>
      </c>
      <c r="M8" s="634">
        <v>8.6999999999999993</v>
      </c>
      <c r="N8" s="634">
        <v>9</v>
      </c>
      <c r="O8" s="634">
        <v>9.1999999999999993</v>
      </c>
      <c r="P8" s="634">
        <v>9.3000000000000007</v>
      </c>
      <c r="Q8" s="634">
        <v>9.4</v>
      </c>
      <c r="R8" s="634">
        <v>9.4</v>
      </c>
      <c r="S8" s="634">
        <v>9.6999999999999993</v>
      </c>
      <c r="T8" s="634">
        <v>9.9</v>
      </c>
      <c r="U8" s="634">
        <v>9.8000000000000007</v>
      </c>
      <c r="V8" s="634">
        <v>9.6999999999999993</v>
      </c>
      <c r="W8" s="634">
        <v>9.6999999999999993</v>
      </c>
      <c r="X8" s="634">
        <v>9.6999999999999993</v>
      </c>
      <c r="Y8" s="634">
        <v>9.6999999999999993</v>
      </c>
      <c r="Z8" s="634">
        <v>10</v>
      </c>
      <c r="AA8" s="634">
        <v>10.1</v>
      </c>
      <c r="AB8" s="634">
        <v>10.1</v>
      </c>
      <c r="AC8" s="634">
        <v>10.1</v>
      </c>
      <c r="AD8" s="634">
        <v>10.1</v>
      </c>
      <c r="AE8" s="634">
        <v>10</v>
      </c>
      <c r="AF8" s="634">
        <v>9.9</v>
      </c>
      <c r="AG8" s="634">
        <v>9.6999999999999993</v>
      </c>
      <c r="AH8" s="844">
        <v>9.6999999999999989E-2</v>
      </c>
      <c r="AI8" s="843"/>
    </row>
    <row r="9" spans="1:35" s="24" customFormat="1" ht="12.75">
      <c r="A9" s="28" t="s">
        <v>87</v>
      </c>
      <c r="B9" s="23" t="s">
        <v>1426</v>
      </c>
      <c r="C9" s="634">
        <v>13.9</v>
      </c>
      <c r="D9" s="634">
        <v>15.2</v>
      </c>
      <c r="E9" s="634">
        <v>15.7</v>
      </c>
      <c r="F9" s="634">
        <v>15.4</v>
      </c>
      <c r="G9" s="634">
        <v>15.8</v>
      </c>
      <c r="H9" s="634">
        <v>15.4</v>
      </c>
      <c r="I9" s="634">
        <v>15.3</v>
      </c>
      <c r="J9" s="634">
        <v>15.2</v>
      </c>
      <c r="K9" s="634">
        <v>15</v>
      </c>
      <c r="L9" s="634">
        <v>14.9</v>
      </c>
      <c r="M9" s="634">
        <v>15</v>
      </c>
      <c r="N9" s="634">
        <v>15.1</v>
      </c>
      <c r="O9" s="634">
        <v>15.5</v>
      </c>
      <c r="P9" s="634">
        <v>15.7</v>
      </c>
      <c r="Q9" s="634">
        <v>16</v>
      </c>
      <c r="R9" s="634">
        <v>16.2</v>
      </c>
      <c r="S9" s="634">
        <v>17</v>
      </c>
      <c r="T9" s="634">
        <v>17.2</v>
      </c>
      <c r="U9" s="634">
        <v>17</v>
      </c>
      <c r="V9" s="634">
        <v>16.899999999999999</v>
      </c>
      <c r="W9" s="634">
        <v>16.5</v>
      </c>
      <c r="X9" s="634">
        <v>16.5</v>
      </c>
      <c r="Y9" s="634">
        <v>16.399999999999999</v>
      </c>
      <c r="Z9" s="634">
        <v>16.600000000000001</v>
      </c>
      <c r="AA9" s="634">
        <v>16.8</v>
      </c>
      <c r="AB9" s="634">
        <v>16.5</v>
      </c>
      <c r="AC9" s="634">
        <v>16.3</v>
      </c>
      <c r="AD9" s="634">
        <v>16.5</v>
      </c>
      <c r="AE9" s="634">
        <v>16.100000000000001</v>
      </c>
      <c r="AF9" s="634">
        <v>15.8</v>
      </c>
      <c r="AG9" s="634">
        <v>15.5</v>
      </c>
      <c r="AH9" s="844">
        <v>0.16500000000000001</v>
      </c>
      <c r="AI9" s="843"/>
    </row>
    <row r="10" spans="1:35" s="24" customFormat="1" ht="12.75">
      <c r="A10" s="23" t="s">
        <v>7</v>
      </c>
      <c r="B10" s="23" t="s">
        <v>8</v>
      </c>
      <c r="C10" s="634">
        <v>6.3</v>
      </c>
      <c r="D10" s="634">
        <v>7.1</v>
      </c>
      <c r="E10" s="634">
        <v>7.9</v>
      </c>
      <c r="F10" s="634">
        <v>7.8</v>
      </c>
      <c r="G10" s="634">
        <v>8.1</v>
      </c>
      <c r="H10" s="634">
        <v>7.7</v>
      </c>
      <c r="I10" s="634">
        <v>7.5</v>
      </c>
      <c r="J10" s="634">
        <v>7.5</v>
      </c>
      <c r="K10" s="634">
        <v>7.4</v>
      </c>
      <c r="L10" s="634">
        <v>7.3</v>
      </c>
      <c r="M10" s="634">
        <v>7.2</v>
      </c>
      <c r="N10" s="634">
        <v>7.3</v>
      </c>
      <c r="O10" s="634">
        <v>7.5</v>
      </c>
      <c r="P10" s="634">
        <v>7.5</v>
      </c>
      <c r="Q10" s="634">
        <v>7.6</v>
      </c>
      <c r="R10" s="634">
        <v>7.6</v>
      </c>
      <c r="S10" s="634">
        <v>8</v>
      </c>
      <c r="T10" s="634">
        <v>8.1</v>
      </c>
      <c r="U10" s="634">
        <v>8</v>
      </c>
      <c r="V10" s="634">
        <v>7.9</v>
      </c>
      <c r="W10" s="634">
        <v>7.8</v>
      </c>
      <c r="X10" s="634">
        <v>7.8</v>
      </c>
      <c r="Y10" s="634">
        <v>7.8</v>
      </c>
      <c r="Z10" s="634">
        <v>8</v>
      </c>
      <c r="AA10" s="634">
        <v>8.1</v>
      </c>
      <c r="AB10" s="634">
        <v>8.1999999999999993</v>
      </c>
      <c r="AC10" s="634">
        <v>8.3000000000000007</v>
      </c>
      <c r="AD10" s="634">
        <v>8.4</v>
      </c>
      <c r="AE10" s="634">
        <v>8.3000000000000007</v>
      </c>
      <c r="AF10" s="634">
        <v>8.3000000000000007</v>
      </c>
      <c r="AG10" s="634">
        <v>8</v>
      </c>
      <c r="AH10" s="844">
        <v>7.8E-2</v>
      </c>
      <c r="AI10" s="843"/>
    </row>
    <row r="11" spans="1:35" s="24" customFormat="1" ht="12.75">
      <c r="A11" s="23" t="s">
        <v>9</v>
      </c>
      <c r="B11" s="23" t="s">
        <v>10</v>
      </c>
      <c r="C11" s="634">
        <v>9</v>
      </c>
      <c r="D11" s="634">
        <v>9.6</v>
      </c>
      <c r="E11" s="634">
        <v>10</v>
      </c>
      <c r="F11" s="634">
        <v>10.1</v>
      </c>
      <c r="G11" s="634">
        <v>10.7</v>
      </c>
      <c r="H11" s="634">
        <v>10.4</v>
      </c>
      <c r="I11" s="634">
        <v>10.4</v>
      </c>
      <c r="J11" s="634">
        <v>10.5</v>
      </c>
      <c r="K11" s="634">
        <v>10.5</v>
      </c>
      <c r="L11" s="634">
        <v>10.199999999999999</v>
      </c>
      <c r="M11" s="634">
        <v>10.1</v>
      </c>
      <c r="N11" s="634">
        <v>10.3</v>
      </c>
      <c r="O11" s="634">
        <v>10.5</v>
      </c>
      <c r="P11" s="634">
        <v>10.5</v>
      </c>
      <c r="Q11" s="634">
        <v>10.7</v>
      </c>
      <c r="R11" s="634">
        <v>10.7</v>
      </c>
      <c r="S11" s="634">
        <v>11.1</v>
      </c>
      <c r="T11" s="634">
        <v>11.2</v>
      </c>
      <c r="U11" s="634">
        <v>11.2</v>
      </c>
      <c r="V11" s="634">
        <v>11.1</v>
      </c>
      <c r="W11" s="634">
        <v>11</v>
      </c>
      <c r="X11" s="634">
        <v>10.9</v>
      </c>
      <c r="Y11" s="634">
        <v>10.9</v>
      </c>
      <c r="Z11" s="634">
        <v>11.1</v>
      </c>
      <c r="AA11" s="634">
        <v>11.3</v>
      </c>
      <c r="AB11" s="634">
        <v>11.1</v>
      </c>
      <c r="AC11" s="634">
        <v>11</v>
      </c>
      <c r="AD11" s="634">
        <v>11.2</v>
      </c>
      <c r="AE11" s="634">
        <v>10.9</v>
      </c>
      <c r="AF11" s="634">
        <v>10.7</v>
      </c>
      <c r="AG11" s="634">
        <v>10.4</v>
      </c>
      <c r="AH11" s="844">
        <v>0.109</v>
      </c>
      <c r="AI11" s="843"/>
    </row>
    <row r="12" spans="1:35" s="24" customFormat="1" ht="12.75">
      <c r="A12" s="23" t="s">
        <v>11</v>
      </c>
      <c r="B12" s="23" t="s">
        <v>12</v>
      </c>
      <c r="C12" s="634">
        <v>6.7</v>
      </c>
      <c r="D12" s="634">
        <v>7.5</v>
      </c>
      <c r="E12" s="634">
        <v>8.3000000000000007</v>
      </c>
      <c r="F12" s="634">
        <v>8.3000000000000007</v>
      </c>
      <c r="G12" s="634">
        <v>8.6999999999999993</v>
      </c>
      <c r="H12" s="634">
        <v>8.5</v>
      </c>
      <c r="I12" s="634">
        <v>8.4</v>
      </c>
      <c r="J12" s="634">
        <v>8.1999999999999993</v>
      </c>
      <c r="K12" s="634">
        <v>8.3000000000000007</v>
      </c>
      <c r="L12" s="634">
        <v>8.1</v>
      </c>
      <c r="M12" s="634">
        <v>8.1</v>
      </c>
      <c r="N12" s="634">
        <v>8.3000000000000007</v>
      </c>
      <c r="O12" s="634">
        <v>8.4</v>
      </c>
      <c r="P12" s="634">
        <v>8.5</v>
      </c>
      <c r="Q12" s="634">
        <v>8.6999999999999993</v>
      </c>
      <c r="R12" s="634">
        <v>8.8000000000000007</v>
      </c>
      <c r="S12" s="634">
        <v>9.1</v>
      </c>
      <c r="T12" s="634">
        <v>9.3000000000000007</v>
      </c>
      <c r="U12" s="634">
        <v>9.3000000000000007</v>
      </c>
      <c r="V12" s="634">
        <v>9.1</v>
      </c>
      <c r="W12" s="634">
        <v>9</v>
      </c>
      <c r="X12" s="634">
        <v>9.1</v>
      </c>
      <c r="Y12" s="634">
        <v>9</v>
      </c>
      <c r="Z12" s="634">
        <v>9.1999999999999993</v>
      </c>
      <c r="AA12" s="634">
        <v>9.3000000000000007</v>
      </c>
      <c r="AB12" s="634">
        <v>9.1999999999999993</v>
      </c>
      <c r="AC12" s="634">
        <v>9.1999999999999993</v>
      </c>
      <c r="AD12" s="634">
        <v>9.3000000000000007</v>
      </c>
      <c r="AE12" s="634">
        <v>9.1999999999999993</v>
      </c>
      <c r="AF12" s="634">
        <v>9.1</v>
      </c>
      <c r="AG12" s="634">
        <v>8.8000000000000007</v>
      </c>
      <c r="AH12" s="844">
        <v>9.0999999999999998E-2</v>
      </c>
      <c r="AI12" s="843"/>
    </row>
    <row r="13" spans="1:35" s="24" customFormat="1" ht="12.75">
      <c r="A13" s="23" t="s">
        <v>13</v>
      </c>
      <c r="B13" s="23" t="s">
        <v>1427</v>
      </c>
      <c r="C13" s="634">
        <v>10.199999999999999</v>
      </c>
      <c r="D13" s="634">
        <v>11</v>
      </c>
      <c r="E13" s="634">
        <v>11.5</v>
      </c>
      <c r="F13" s="634">
        <v>11.6</v>
      </c>
      <c r="G13" s="634">
        <v>12.1</v>
      </c>
      <c r="H13" s="634">
        <v>11.9</v>
      </c>
      <c r="I13" s="634">
        <v>11.8</v>
      </c>
      <c r="J13" s="634">
        <v>11.9</v>
      </c>
      <c r="K13" s="634">
        <v>12</v>
      </c>
      <c r="L13" s="634">
        <v>12</v>
      </c>
      <c r="M13" s="634">
        <v>12</v>
      </c>
      <c r="N13" s="634">
        <v>12.2</v>
      </c>
      <c r="O13" s="634">
        <v>12.3</v>
      </c>
      <c r="P13" s="634">
        <v>12.3</v>
      </c>
      <c r="Q13" s="634">
        <v>12.4</v>
      </c>
      <c r="R13" s="634">
        <v>12.4</v>
      </c>
      <c r="S13" s="634">
        <v>12.7</v>
      </c>
      <c r="T13" s="634">
        <v>12.9</v>
      </c>
      <c r="U13" s="634">
        <v>12.8</v>
      </c>
      <c r="V13" s="634">
        <v>12.6</v>
      </c>
      <c r="W13" s="634">
        <v>12.5</v>
      </c>
      <c r="X13" s="634">
        <v>12.5</v>
      </c>
      <c r="Y13" s="634">
        <v>12.4</v>
      </c>
      <c r="Z13" s="634">
        <v>12.6</v>
      </c>
      <c r="AA13" s="634">
        <v>12.8</v>
      </c>
      <c r="AB13" s="634">
        <v>12.6</v>
      </c>
      <c r="AC13" s="634">
        <v>12.6</v>
      </c>
      <c r="AD13" s="634">
        <v>12.8</v>
      </c>
      <c r="AE13" s="634">
        <v>12.6</v>
      </c>
      <c r="AF13" s="634">
        <v>12.5</v>
      </c>
      <c r="AG13" s="634">
        <v>12.1</v>
      </c>
      <c r="AH13" s="844">
        <v>0.125</v>
      </c>
      <c r="AI13" s="843"/>
    </row>
    <row r="14" spans="1:35" s="24" customFormat="1" ht="12.75">
      <c r="A14" s="23" t="s">
        <v>14</v>
      </c>
      <c r="B14" s="23" t="s">
        <v>15</v>
      </c>
      <c r="C14" s="634">
        <v>10.4</v>
      </c>
      <c r="D14" s="634">
        <v>11</v>
      </c>
      <c r="E14" s="634">
        <v>11.6</v>
      </c>
      <c r="F14" s="634">
        <v>11.6</v>
      </c>
      <c r="G14" s="634">
        <v>12.1</v>
      </c>
      <c r="H14" s="634">
        <v>11.8</v>
      </c>
      <c r="I14" s="634">
        <v>11.6</v>
      </c>
      <c r="J14" s="634">
        <v>11.6</v>
      </c>
      <c r="K14" s="634">
        <v>11.8</v>
      </c>
      <c r="L14" s="634">
        <v>11.7</v>
      </c>
      <c r="M14" s="634">
        <v>11.8</v>
      </c>
      <c r="N14" s="634">
        <v>12.1</v>
      </c>
      <c r="O14" s="634">
        <v>12.4</v>
      </c>
      <c r="P14" s="634">
        <v>12.5</v>
      </c>
      <c r="Q14" s="634">
        <v>12.8</v>
      </c>
      <c r="R14" s="634">
        <v>12.8</v>
      </c>
      <c r="S14" s="634">
        <v>13.3</v>
      </c>
      <c r="T14" s="634">
        <v>13.6</v>
      </c>
      <c r="U14" s="634">
        <v>13.7</v>
      </c>
      <c r="V14" s="634">
        <v>13.6</v>
      </c>
      <c r="W14" s="634">
        <v>13.5</v>
      </c>
      <c r="X14" s="634">
        <v>13.5</v>
      </c>
      <c r="Y14" s="634">
        <v>13.4</v>
      </c>
      <c r="Z14" s="634">
        <v>13.7</v>
      </c>
      <c r="AA14" s="634">
        <v>13.7</v>
      </c>
      <c r="AB14" s="634">
        <v>13.5</v>
      </c>
      <c r="AC14" s="634">
        <v>13.4</v>
      </c>
      <c r="AD14" s="634">
        <v>13.6</v>
      </c>
      <c r="AE14" s="634">
        <v>13.2</v>
      </c>
      <c r="AF14" s="634">
        <v>13.1</v>
      </c>
      <c r="AG14" s="634">
        <v>12.8</v>
      </c>
      <c r="AH14" s="844">
        <v>0.13500000000000001</v>
      </c>
      <c r="AI14" s="843"/>
    </row>
    <row r="15" spans="1:35" s="24" customFormat="1" ht="12.75">
      <c r="A15" s="23" t="s">
        <v>16</v>
      </c>
      <c r="B15" s="23" t="s">
        <v>17</v>
      </c>
      <c r="C15" s="634">
        <v>6.2</v>
      </c>
      <c r="D15" s="634">
        <v>6.9</v>
      </c>
      <c r="E15" s="634">
        <v>7.5</v>
      </c>
      <c r="F15" s="634">
        <v>7.6</v>
      </c>
      <c r="G15" s="634">
        <v>8</v>
      </c>
      <c r="H15" s="634">
        <v>7.7</v>
      </c>
      <c r="I15" s="634">
        <v>7.6</v>
      </c>
      <c r="J15" s="634">
        <v>7.4</v>
      </c>
      <c r="K15" s="634">
        <v>7.3</v>
      </c>
      <c r="L15" s="634">
        <v>7.2</v>
      </c>
      <c r="M15" s="634">
        <v>7</v>
      </c>
      <c r="N15" s="634">
        <v>7.2</v>
      </c>
      <c r="O15" s="634">
        <v>7.3</v>
      </c>
      <c r="P15" s="634">
        <v>7.4</v>
      </c>
      <c r="Q15" s="634">
        <v>7.5</v>
      </c>
      <c r="R15" s="634">
        <v>7.6</v>
      </c>
      <c r="S15" s="634">
        <v>7.8</v>
      </c>
      <c r="T15" s="634">
        <v>8</v>
      </c>
      <c r="U15" s="634">
        <v>8.1</v>
      </c>
      <c r="V15" s="634">
        <v>8.1</v>
      </c>
      <c r="W15" s="634">
        <v>8</v>
      </c>
      <c r="X15" s="634">
        <v>8.1</v>
      </c>
      <c r="Y15" s="634">
        <v>8.1</v>
      </c>
      <c r="Z15" s="634">
        <v>8.3000000000000007</v>
      </c>
      <c r="AA15" s="634">
        <v>8.5</v>
      </c>
      <c r="AB15" s="634">
        <v>8.5</v>
      </c>
      <c r="AC15" s="634">
        <v>8.5</v>
      </c>
      <c r="AD15" s="634">
        <v>8.6</v>
      </c>
      <c r="AE15" s="634">
        <v>8.4</v>
      </c>
      <c r="AF15" s="634">
        <v>8.3000000000000007</v>
      </c>
      <c r="AG15" s="634">
        <v>7.9</v>
      </c>
      <c r="AH15" s="844">
        <v>8.1000000000000003E-2</v>
      </c>
      <c r="AI15" s="843"/>
    </row>
    <row r="16" spans="1:35" s="24" customFormat="1" ht="12.75">
      <c r="A16" s="23" t="s">
        <v>18</v>
      </c>
      <c r="B16" s="23" t="s">
        <v>19</v>
      </c>
      <c r="C16" s="634">
        <v>6.8</v>
      </c>
      <c r="D16" s="634">
        <v>7.6</v>
      </c>
      <c r="E16" s="634">
        <v>8.1999999999999993</v>
      </c>
      <c r="F16" s="634">
        <v>8.3000000000000007</v>
      </c>
      <c r="G16" s="634">
        <v>8.6</v>
      </c>
      <c r="H16" s="634">
        <v>8.4</v>
      </c>
      <c r="I16" s="634">
        <v>8.1999999999999993</v>
      </c>
      <c r="J16" s="634">
        <v>8.1999999999999993</v>
      </c>
      <c r="K16" s="634">
        <v>8.1999999999999993</v>
      </c>
      <c r="L16" s="634">
        <v>8.3000000000000007</v>
      </c>
      <c r="M16" s="634">
        <v>8.3000000000000007</v>
      </c>
      <c r="N16" s="634">
        <v>8.6</v>
      </c>
      <c r="O16" s="634">
        <v>8.8000000000000007</v>
      </c>
      <c r="P16" s="634">
        <v>9</v>
      </c>
      <c r="Q16" s="634">
        <v>9.1999999999999993</v>
      </c>
      <c r="R16" s="634">
        <v>9.1999999999999993</v>
      </c>
      <c r="S16" s="634">
        <v>9.6999999999999993</v>
      </c>
      <c r="T16" s="634">
        <v>10</v>
      </c>
      <c r="U16" s="634">
        <v>10.1</v>
      </c>
      <c r="V16" s="634">
        <v>10.1</v>
      </c>
      <c r="W16" s="634">
        <v>10.1</v>
      </c>
      <c r="X16" s="634">
        <v>10.3</v>
      </c>
      <c r="Y16" s="634">
        <v>10.199999999999999</v>
      </c>
      <c r="Z16" s="634">
        <v>10.6</v>
      </c>
      <c r="AA16" s="634">
        <v>10.8</v>
      </c>
      <c r="AB16" s="634">
        <v>10.7</v>
      </c>
      <c r="AC16" s="634">
        <v>10.7</v>
      </c>
      <c r="AD16" s="634">
        <v>10.8</v>
      </c>
      <c r="AE16" s="634">
        <v>10.6</v>
      </c>
      <c r="AF16" s="634">
        <v>10.7</v>
      </c>
      <c r="AG16" s="634">
        <v>10.3</v>
      </c>
      <c r="AH16" s="844">
        <v>0.10300000000000001</v>
      </c>
      <c r="AI16" s="843"/>
    </row>
    <row r="17" spans="1:54" s="24" customFormat="1" ht="12.75">
      <c r="A17" s="23" t="s">
        <v>20</v>
      </c>
      <c r="B17" s="23" t="s">
        <v>21</v>
      </c>
      <c r="C17" s="634">
        <v>5.5</v>
      </c>
      <c r="D17" s="634">
        <v>6.2</v>
      </c>
      <c r="E17" s="634">
        <v>6.8</v>
      </c>
      <c r="F17" s="634">
        <v>6.8</v>
      </c>
      <c r="G17" s="634">
        <v>7.1</v>
      </c>
      <c r="H17" s="634">
        <v>7</v>
      </c>
      <c r="I17" s="634">
        <v>6.8</v>
      </c>
      <c r="J17" s="634">
        <v>6.7</v>
      </c>
      <c r="K17" s="634">
        <v>6.8</v>
      </c>
      <c r="L17" s="634">
        <v>6.6</v>
      </c>
      <c r="M17" s="634">
        <v>6.5</v>
      </c>
      <c r="N17" s="634">
        <v>6.7</v>
      </c>
      <c r="O17" s="634">
        <v>6.9</v>
      </c>
      <c r="P17" s="634">
        <v>7.1</v>
      </c>
      <c r="Q17" s="634">
        <v>7.4</v>
      </c>
      <c r="R17" s="634">
        <v>7.5</v>
      </c>
      <c r="S17" s="634">
        <v>8</v>
      </c>
      <c r="T17" s="634">
        <v>8.1</v>
      </c>
      <c r="U17" s="634">
        <v>8.1</v>
      </c>
      <c r="V17" s="634">
        <v>8</v>
      </c>
      <c r="W17" s="634">
        <v>7.8</v>
      </c>
      <c r="X17" s="634">
        <v>7.8</v>
      </c>
      <c r="Y17" s="634">
        <v>7.8</v>
      </c>
      <c r="Z17" s="634">
        <v>8</v>
      </c>
      <c r="AA17" s="634">
        <v>8.1999999999999993</v>
      </c>
      <c r="AB17" s="634">
        <v>8</v>
      </c>
      <c r="AC17" s="634">
        <v>8</v>
      </c>
      <c r="AD17" s="634">
        <v>8.1</v>
      </c>
      <c r="AE17" s="634">
        <v>8</v>
      </c>
      <c r="AF17" s="634">
        <v>8</v>
      </c>
      <c r="AG17" s="634">
        <v>7.7</v>
      </c>
      <c r="AH17" s="844">
        <v>7.8E-2</v>
      </c>
      <c r="AI17" s="843"/>
    </row>
    <row r="18" spans="1:54" s="24" customFormat="1" ht="12.75">
      <c r="A18" s="23" t="s">
        <v>22</v>
      </c>
      <c r="B18" s="23" t="s">
        <v>23</v>
      </c>
      <c r="C18" s="634">
        <v>7.9</v>
      </c>
      <c r="D18" s="634">
        <v>8.9</v>
      </c>
      <c r="E18" s="634">
        <v>9.4</v>
      </c>
      <c r="F18" s="634">
        <v>9.5</v>
      </c>
      <c r="G18" s="634">
        <v>9.9</v>
      </c>
      <c r="H18" s="634">
        <v>9.6999999999999993</v>
      </c>
      <c r="I18" s="634">
        <v>9.6</v>
      </c>
      <c r="J18" s="634">
        <v>9.5</v>
      </c>
      <c r="K18" s="634">
        <v>9.5</v>
      </c>
      <c r="L18" s="634">
        <v>9.4</v>
      </c>
      <c r="M18" s="634">
        <v>9.4</v>
      </c>
      <c r="N18" s="634">
        <v>9.6</v>
      </c>
      <c r="O18" s="634">
        <v>9.6999999999999993</v>
      </c>
      <c r="P18" s="634">
        <v>9.9</v>
      </c>
      <c r="Q18" s="634">
        <v>10</v>
      </c>
      <c r="R18" s="634">
        <v>10.199999999999999</v>
      </c>
      <c r="S18" s="634">
        <v>10.6</v>
      </c>
      <c r="T18" s="634">
        <v>10.8</v>
      </c>
      <c r="U18" s="634">
        <v>10.9</v>
      </c>
      <c r="V18" s="634">
        <v>10.7</v>
      </c>
      <c r="W18" s="634">
        <v>10.6</v>
      </c>
      <c r="X18" s="634">
        <v>10.7</v>
      </c>
      <c r="Y18" s="634">
        <v>10.6</v>
      </c>
      <c r="Z18" s="634">
        <v>10.7</v>
      </c>
      <c r="AA18" s="634">
        <v>10.9</v>
      </c>
      <c r="AB18" s="634">
        <v>10.6</v>
      </c>
      <c r="AC18" s="634">
        <v>10.7</v>
      </c>
      <c r="AD18" s="634">
        <v>10.8</v>
      </c>
      <c r="AE18" s="634">
        <v>10.7</v>
      </c>
      <c r="AF18" s="634">
        <v>10.7</v>
      </c>
      <c r="AG18" s="634">
        <v>10.5</v>
      </c>
      <c r="AH18" s="844">
        <v>0.107</v>
      </c>
      <c r="AI18" s="843"/>
    </row>
    <row r="19" spans="1:54" s="24" customFormat="1" ht="12.75">
      <c r="A19" s="23" t="s">
        <v>24</v>
      </c>
      <c r="B19" s="23" t="s">
        <v>25</v>
      </c>
      <c r="C19" s="634">
        <v>7.7</v>
      </c>
      <c r="D19" s="634">
        <v>8.6</v>
      </c>
      <c r="E19" s="634">
        <v>9.3000000000000007</v>
      </c>
      <c r="F19" s="634">
        <v>9.4</v>
      </c>
      <c r="G19" s="634">
        <v>9.9</v>
      </c>
      <c r="H19" s="634">
        <v>9.6</v>
      </c>
      <c r="I19" s="634">
        <v>9.5</v>
      </c>
      <c r="J19" s="634">
        <v>9.3000000000000007</v>
      </c>
      <c r="K19" s="634">
        <v>9.3000000000000007</v>
      </c>
      <c r="L19" s="634">
        <v>9.1</v>
      </c>
      <c r="M19" s="634">
        <v>9</v>
      </c>
      <c r="N19" s="634">
        <v>9.1999999999999993</v>
      </c>
      <c r="O19" s="634">
        <v>9.3000000000000007</v>
      </c>
      <c r="P19" s="634">
        <v>9.4</v>
      </c>
      <c r="Q19" s="634">
        <v>9.5</v>
      </c>
      <c r="R19" s="634">
        <v>9.6</v>
      </c>
      <c r="S19" s="634">
        <v>9.9</v>
      </c>
      <c r="T19" s="634">
        <v>10.199999999999999</v>
      </c>
      <c r="U19" s="634">
        <v>10.199999999999999</v>
      </c>
      <c r="V19" s="634">
        <v>10.1</v>
      </c>
      <c r="W19" s="634">
        <v>10</v>
      </c>
      <c r="X19" s="634">
        <v>10</v>
      </c>
      <c r="Y19" s="634">
        <v>10</v>
      </c>
      <c r="Z19" s="634">
        <v>10.3</v>
      </c>
      <c r="AA19" s="634">
        <v>10.5</v>
      </c>
      <c r="AB19" s="634">
        <v>10.3</v>
      </c>
      <c r="AC19" s="634">
        <v>10.3</v>
      </c>
      <c r="AD19" s="634">
        <v>10.5</v>
      </c>
      <c r="AE19" s="634">
        <v>10.3</v>
      </c>
      <c r="AF19" s="634">
        <v>10.199999999999999</v>
      </c>
      <c r="AG19" s="634">
        <v>9.9</v>
      </c>
      <c r="AH19" s="844">
        <v>0.1</v>
      </c>
      <c r="AI19" s="843"/>
    </row>
    <row r="20" spans="1:54" s="24" customFormat="1" ht="12.75">
      <c r="A20" s="23" t="s">
        <v>51</v>
      </c>
      <c r="B20" s="23" t="s">
        <v>55</v>
      </c>
      <c r="C20" s="634">
        <v>8.6999999999999993</v>
      </c>
      <c r="D20" s="634">
        <v>9.4</v>
      </c>
      <c r="E20" s="634">
        <v>9.8000000000000007</v>
      </c>
      <c r="F20" s="634">
        <v>9.6999999999999993</v>
      </c>
      <c r="G20" s="634">
        <v>10</v>
      </c>
      <c r="H20" s="634">
        <v>9.6999999999999993</v>
      </c>
      <c r="I20" s="634">
        <v>9.6</v>
      </c>
      <c r="J20" s="634">
        <v>9.6</v>
      </c>
      <c r="K20" s="634">
        <v>9.6999999999999993</v>
      </c>
      <c r="L20" s="634">
        <v>9.8000000000000007</v>
      </c>
      <c r="M20" s="634">
        <v>9.9</v>
      </c>
      <c r="N20" s="634">
        <v>10</v>
      </c>
      <c r="O20" s="634">
        <v>10.1</v>
      </c>
      <c r="P20" s="634">
        <v>10.1</v>
      </c>
      <c r="Q20" s="634">
        <v>10.3</v>
      </c>
      <c r="R20" s="634">
        <v>10.199999999999999</v>
      </c>
      <c r="S20" s="634">
        <v>10.6</v>
      </c>
      <c r="T20" s="634">
        <v>10.8</v>
      </c>
      <c r="U20" s="634">
        <v>10.7</v>
      </c>
      <c r="V20" s="634">
        <v>10.7</v>
      </c>
      <c r="W20" s="634">
        <v>10.7</v>
      </c>
      <c r="X20" s="634">
        <v>10.7</v>
      </c>
      <c r="Y20" s="634">
        <v>10.7</v>
      </c>
      <c r="Z20" s="634">
        <v>10.9</v>
      </c>
      <c r="AA20" s="634">
        <v>11.1</v>
      </c>
      <c r="AB20" s="634">
        <v>10.9</v>
      </c>
      <c r="AC20" s="634">
        <v>10.9</v>
      </c>
      <c r="AD20" s="634">
        <v>11</v>
      </c>
      <c r="AE20" s="634">
        <v>10.9</v>
      </c>
      <c r="AF20" s="634">
        <v>10.7</v>
      </c>
      <c r="AG20" s="634">
        <v>10.3</v>
      </c>
      <c r="AH20" s="844">
        <v>0.107</v>
      </c>
      <c r="AI20" s="843"/>
    </row>
    <row r="21" spans="1:54" s="24" customFormat="1" ht="12.75">
      <c r="A21" s="23" t="s">
        <v>26</v>
      </c>
      <c r="B21" s="23" t="s">
        <v>27</v>
      </c>
      <c r="C21" s="634">
        <v>7.5</v>
      </c>
      <c r="D21" s="634">
        <v>8.1</v>
      </c>
      <c r="E21" s="634">
        <v>8.6999999999999993</v>
      </c>
      <c r="F21" s="634">
        <v>8.6999999999999993</v>
      </c>
      <c r="G21" s="634">
        <v>9.1</v>
      </c>
      <c r="H21" s="634">
        <v>9</v>
      </c>
      <c r="I21" s="634">
        <v>8.9</v>
      </c>
      <c r="J21" s="634">
        <v>9</v>
      </c>
      <c r="K21" s="634">
        <v>9</v>
      </c>
      <c r="L21" s="634">
        <v>8.9</v>
      </c>
      <c r="M21" s="634">
        <v>8.8000000000000007</v>
      </c>
      <c r="N21" s="634">
        <v>9</v>
      </c>
      <c r="O21" s="634">
        <v>9.1999999999999993</v>
      </c>
      <c r="P21" s="634">
        <v>9.3000000000000007</v>
      </c>
      <c r="Q21" s="634">
        <v>9.5</v>
      </c>
      <c r="R21" s="634">
        <v>9.6</v>
      </c>
      <c r="S21" s="634">
        <v>9.8000000000000007</v>
      </c>
      <c r="T21" s="634">
        <v>10</v>
      </c>
      <c r="U21" s="634">
        <v>10.1</v>
      </c>
      <c r="V21" s="634">
        <v>10.1</v>
      </c>
      <c r="W21" s="634">
        <v>10.1</v>
      </c>
      <c r="X21" s="634">
        <v>10.1</v>
      </c>
      <c r="Y21" s="634">
        <v>10.1</v>
      </c>
      <c r="Z21" s="634">
        <v>10.4</v>
      </c>
      <c r="AA21" s="634">
        <v>10.6</v>
      </c>
      <c r="AB21" s="634">
        <v>10.4</v>
      </c>
      <c r="AC21" s="634">
        <v>10.3</v>
      </c>
      <c r="AD21" s="634">
        <v>10.4</v>
      </c>
      <c r="AE21" s="634">
        <v>10.3</v>
      </c>
      <c r="AF21" s="634">
        <v>10.1</v>
      </c>
      <c r="AG21" s="634">
        <v>9.8000000000000007</v>
      </c>
      <c r="AH21" s="844">
        <v>0.10099999999999999</v>
      </c>
      <c r="AI21" s="843"/>
    </row>
    <row r="22" spans="1:54" s="62" customFormat="1">
      <c r="B22" s="31" t="s">
        <v>1479</v>
      </c>
      <c r="C22" s="63">
        <v>7.4</v>
      </c>
      <c r="D22" s="63">
        <v>8.1999999999999993</v>
      </c>
      <c r="E22" s="63">
        <v>8.8000000000000007</v>
      </c>
      <c r="F22" s="63">
        <v>8.8000000000000007</v>
      </c>
      <c r="G22" s="63">
        <v>9.1999999999999993</v>
      </c>
      <c r="H22" s="63">
        <v>9</v>
      </c>
      <c r="I22" s="63">
        <v>8.9</v>
      </c>
      <c r="J22" s="63">
        <v>8.8000000000000007</v>
      </c>
      <c r="K22" s="63">
        <v>8.8000000000000007</v>
      </c>
      <c r="L22" s="63">
        <v>8.6999999999999993</v>
      </c>
      <c r="M22" s="63">
        <v>8.6999999999999993</v>
      </c>
      <c r="N22" s="63">
        <v>8.8000000000000007</v>
      </c>
      <c r="O22" s="63">
        <v>9</v>
      </c>
      <c r="P22" s="63">
        <v>9.1</v>
      </c>
      <c r="Q22" s="63">
        <v>9.3000000000000007</v>
      </c>
      <c r="R22" s="63">
        <v>9.4</v>
      </c>
      <c r="S22" s="63">
        <v>9.6999999999999993</v>
      </c>
      <c r="T22" s="63">
        <v>9.9</v>
      </c>
      <c r="U22" s="63">
        <v>10</v>
      </c>
      <c r="V22" s="63">
        <v>9.9</v>
      </c>
      <c r="W22" s="63">
        <v>9.6999999999999993</v>
      </c>
      <c r="X22" s="63">
        <v>9.8000000000000007</v>
      </c>
      <c r="Y22" s="63">
        <v>9.6999999999999993</v>
      </c>
      <c r="Z22" s="63">
        <v>10</v>
      </c>
      <c r="AA22" s="63">
        <v>10.1</v>
      </c>
      <c r="AB22" s="63">
        <v>10</v>
      </c>
      <c r="AC22" s="63">
        <v>10.1</v>
      </c>
      <c r="AD22" s="64">
        <v>10.199999999999999</v>
      </c>
      <c r="AE22" s="64">
        <v>9.9</v>
      </c>
      <c r="AF22" s="64">
        <v>9.9</v>
      </c>
      <c r="AG22" s="64">
        <v>9.6</v>
      </c>
      <c r="AH22" s="845">
        <v>9.6999999999999989E-2</v>
      </c>
      <c r="AI22" s="843"/>
    </row>
    <row r="23" spans="1:54" s="24" customFormat="1" ht="12.75">
      <c r="A23" s="23"/>
      <c r="B23" s="23"/>
      <c r="C23" s="27"/>
    </row>
    <row r="24" spans="1:54" s="44" customFormat="1" ht="12.75">
      <c r="A24" s="45" t="s">
        <v>202</v>
      </c>
      <c r="B24" s="43"/>
    </row>
    <row r="25" spans="1:54" s="24" customFormat="1" ht="12.75">
      <c r="A25" s="23"/>
      <c r="B25" s="23"/>
    </row>
    <row r="26" spans="1:54" s="20" customFormat="1">
      <c r="A26" s="31" t="s">
        <v>74</v>
      </c>
      <c r="B26"/>
      <c r="C26"/>
      <c r="D26"/>
      <c r="E26"/>
      <c r="F26"/>
      <c r="G26" s="31" t="s">
        <v>116</v>
      </c>
      <c r="H26"/>
      <c r="I26"/>
      <c r="J26"/>
      <c r="K26"/>
      <c r="L26"/>
      <c r="M26" s="31" t="s">
        <v>70</v>
      </c>
      <c r="N26"/>
      <c r="O26"/>
      <c r="P26"/>
      <c r="Q26"/>
      <c r="Y26"/>
      <c r="Z26"/>
      <c r="AA26"/>
      <c r="AB26"/>
      <c r="AC26"/>
      <c r="AD26"/>
      <c r="AE26"/>
      <c r="AF26"/>
      <c r="AG26"/>
      <c r="AH26"/>
      <c r="AI26"/>
      <c r="AJ26"/>
      <c r="BA26" s="21"/>
      <c r="BB26" s="21"/>
    </row>
    <row r="27" spans="1:54" s="20" customFormat="1">
      <c r="A27" s="18" t="s">
        <v>112</v>
      </c>
      <c r="B27"/>
      <c r="C27"/>
      <c r="D27"/>
      <c r="E27"/>
      <c r="F27"/>
      <c r="G27" s="18" t="s">
        <v>112</v>
      </c>
      <c r="H27"/>
      <c r="I27"/>
      <c r="J27"/>
      <c r="K27"/>
      <c r="L27"/>
      <c r="M27" s="18" t="s">
        <v>112</v>
      </c>
      <c r="N27"/>
      <c r="O27"/>
      <c r="P27"/>
      <c r="Q27"/>
      <c r="BA27" s="21"/>
      <c r="BB27" s="21"/>
    </row>
    <row r="28" spans="1:54" s="20" customFormat="1" ht="26.25">
      <c r="A28" t="s">
        <v>113</v>
      </c>
      <c r="B28" s="18" t="s">
        <v>114</v>
      </c>
      <c r="C28" s="32" t="s">
        <v>948</v>
      </c>
      <c r="D28" s="32" t="s">
        <v>949</v>
      </c>
      <c r="E28" s="18" t="s">
        <v>91</v>
      </c>
      <c r="F28"/>
      <c r="G28" t="s">
        <v>113</v>
      </c>
      <c r="H28" s="18" t="s">
        <v>114</v>
      </c>
      <c r="I28" s="32" t="s">
        <v>948</v>
      </c>
      <c r="J28" s="32" t="s">
        <v>949</v>
      </c>
      <c r="K28" s="18" t="s">
        <v>91</v>
      </c>
      <c r="L28"/>
      <c r="M28" t="s">
        <v>113</v>
      </c>
      <c r="N28" s="18" t="s">
        <v>114</v>
      </c>
      <c r="O28" s="32" t="s">
        <v>948</v>
      </c>
      <c r="P28" s="32" t="s">
        <v>949</v>
      </c>
      <c r="Q28" s="18" t="s">
        <v>91</v>
      </c>
      <c r="BA28" s="21"/>
      <c r="BB28" s="21"/>
    </row>
    <row r="29" spans="1:54" s="24" customFormat="1">
      <c r="A29" s="254" t="s">
        <v>1716</v>
      </c>
      <c r="B29" s="254">
        <v>33278</v>
      </c>
      <c r="C29" s="254">
        <v>35535</v>
      </c>
      <c r="D29" s="254">
        <v>188051</v>
      </c>
      <c r="E29" s="254">
        <v>256864</v>
      </c>
      <c r="F29"/>
      <c r="G29" s="254" t="s">
        <v>1716</v>
      </c>
      <c r="H29" s="254">
        <v>20550</v>
      </c>
      <c r="I29" s="254">
        <v>17973</v>
      </c>
      <c r="J29" s="254">
        <v>108271</v>
      </c>
      <c r="K29" s="254">
        <v>146794</v>
      </c>
      <c r="L29"/>
      <c r="M29" s="254" t="s">
        <v>1716</v>
      </c>
      <c r="N29" s="254">
        <v>14522</v>
      </c>
      <c r="O29" s="254">
        <v>12514</v>
      </c>
      <c r="P29" s="254">
        <v>71045</v>
      </c>
      <c r="Q29" s="254">
        <v>98081</v>
      </c>
    </row>
    <row r="30" spans="1:54" s="20" customFormat="1">
      <c r="A30" s="254" t="s">
        <v>1717</v>
      </c>
      <c r="B30" s="254">
        <v>38146</v>
      </c>
      <c r="C30" s="254">
        <v>41468</v>
      </c>
      <c r="D30" s="254">
        <v>171977</v>
      </c>
      <c r="E30" s="254">
        <v>251591</v>
      </c>
      <c r="F30"/>
      <c r="G30" s="254" t="s">
        <v>1717</v>
      </c>
      <c r="H30" s="254">
        <v>23245</v>
      </c>
      <c r="I30" s="254">
        <v>19682</v>
      </c>
      <c r="J30" s="254">
        <v>98562</v>
      </c>
      <c r="K30" s="254">
        <v>141489</v>
      </c>
      <c r="L30"/>
      <c r="M30" s="254" t="s">
        <v>1717</v>
      </c>
      <c r="N30" s="254">
        <v>16144</v>
      </c>
      <c r="O30" s="254">
        <v>12003</v>
      </c>
      <c r="P30" s="254">
        <v>64105</v>
      </c>
      <c r="Q30" s="254">
        <v>92252</v>
      </c>
      <c r="BA30" s="21"/>
      <c r="BB30" s="21"/>
    </row>
    <row r="31" spans="1:54" s="20" customFormat="1">
      <c r="A31" s="254" t="s">
        <v>1718</v>
      </c>
      <c r="B31" s="254">
        <v>35521</v>
      </c>
      <c r="C31" s="254">
        <v>57619</v>
      </c>
      <c r="D31" s="254">
        <v>209241</v>
      </c>
      <c r="E31" s="254">
        <v>302381</v>
      </c>
      <c r="F31"/>
      <c r="G31" s="254" t="s">
        <v>1718</v>
      </c>
      <c r="H31" s="254">
        <v>22141</v>
      </c>
      <c r="I31" s="254">
        <v>26116</v>
      </c>
      <c r="J31" s="254">
        <v>118796</v>
      </c>
      <c r="K31" s="254">
        <v>167053</v>
      </c>
      <c r="L31"/>
      <c r="M31" s="254" t="s">
        <v>1718</v>
      </c>
      <c r="N31" s="254">
        <v>15061</v>
      </c>
      <c r="O31" s="254">
        <v>13131</v>
      </c>
      <c r="P31" s="254">
        <v>75351</v>
      </c>
      <c r="Q31" s="254">
        <v>103543</v>
      </c>
      <c r="BA31" s="21"/>
      <c r="BB31" s="21"/>
    </row>
    <row r="32" spans="1:54" s="20" customFormat="1">
      <c r="A32" s="254" t="s">
        <v>1719</v>
      </c>
      <c r="B32" s="254">
        <v>41209</v>
      </c>
      <c r="C32" s="254">
        <v>85459</v>
      </c>
      <c r="D32" s="254">
        <v>222594</v>
      </c>
      <c r="E32" s="254">
        <v>349262</v>
      </c>
      <c r="F32"/>
      <c r="G32" s="254" t="s">
        <v>1719</v>
      </c>
      <c r="H32" s="254">
        <v>25664</v>
      </c>
      <c r="I32" s="254">
        <v>37706</v>
      </c>
      <c r="J32" s="254">
        <v>117884</v>
      </c>
      <c r="K32" s="254">
        <v>181254</v>
      </c>
      <c r="L32"/>
      <c r="M32" s="254" t="s">
        <v>1719</v>
      </c>
      <c r="N32" s="254">
        <v>17611</v>
      </c>
      <c r="O32" s="254">
        <v>20450</v>
      </c>
      <c r="P32" s="254">
        <v>72596</v>
      </c>
      <c r="Q32" s="254">
        <v>110657</v>
      </c>
      <c r="BA32" s="21"/>
      <c r="BB32" s="21"/>
    </row>
    <row r="33" spans="1:54" s="20" customFormat="1">
      <c r="A33" s="254" t="s">
        <v>1811</v>
      </c>
      <c r="B33" s="254">
        <v>37178</v>
      </c>
      <c r="C33" s="254">
        <v>37462</v>
      </c>
      <c r="D33" s="254">
        <v>197764</v>
      </c>
      <c r="E33" s="254">
        <v>272404</v>
      </c>
      <c r="F33"/>
      <c r="G33" s="254" t="s">
        <v>1811</v>
      </c>
      <c r="H33" s="254">
        <v>22625</v>
      </c>
      <c r="I33" s="254">
        <v>18786</v>
      </c>
      <c r="J33" s="254">
        <v>113076</v>
      </c>
      <c r="K33" s="254">
        <v>154487</v>
      </c>
      <c r="L33"/>
      <c r="M33" s="254" t="s">
        <v>1811</v>
      </c>
      <c r="N33" s="254">
        <v>15848</v>
      </c>
      <c r="O33" s="254">
        <v>12630</v>
      </c>
      <c r="P33" s="254">
        <v>75680</v>
      </c>
      <c r="Q33" s="254">
        <v>104158</v>
      </c>
      <c r="BA33" s="21"/>
      <c r="BB33" s="21"/>
    </row>
    <row r="34" spans="1:54" s="20" customFormat="1">
      <c r="A34" t="s">
        <v>115</v>
      </c>
      <c r="B34">
        <f>SUM(B29:B33)</f>
        <v>185332</v>
      </c>
      <c r="C34">
        <f t="shared" ref="C34:D34" si="0">SUM(C29:C33)</f>
        <v>257543</v>
      </c>
      <c r="D34">
        <f t="shared" si="0"/>
        <v>989627</v>
      </c>
      <c r="E34">
        <f t="shared" ref="E34" si="1">SUM(B34:D34)</f>
        <v>1432502</v>
      </c>
      <c r="F34"/>
      <c r="G34" t="s">
        <v>115</v>
      </c>
      <c r="H34">
        <f>SUM(H29:H33)</f>
        <v>114225</v>
      </c>
      <c r="I34">
        <f t="shared" ref="I34:J34" si="2">SUM(I29:I33)</f>
        <v>120263</v>
      </c>
      <c r="J34">
        <f t="shared" si="2"/>
        <v>556589</v>
      </c>
      <c r="K34">
        <f t="shared" ref="K34" si="3">SUM(H34:J34)</f>
        <v>791077</v>
      </c>
      <c r="L34"/>
      <c r="M34" t="s">
        <v>115</v>
      </c>
      <c r="N34">
        <f>SUM(N29:N33)</f>
        <v>79186</v>
      </c>
      <c r="O34">
        <f t="shared" ref="O34:P34" si="4">SUM(O29:O33)</f>
        <v>70728</v>
      </c>
      <c r="P34">
        <f t="shared" si="4"/>
        <v>358777</v>
      </c>
      <c r="Q34">
        <f>SUM(N34:P34)</f>
        <v>508691</v>
      </c>
      <c r="BA34" s="21"/>
      <c r="BB34" s="21"/>
    </row>
    <row r="35" spans="1:54" s="20" customFormat="1">
      <c r="A35"/>
      <c r="B35"/>
      <c r="C35"/>
      <c r="D35"/>
      <c r="E35"/>
      <c r="F35"/>
      <c r="BA35" s="21"/>
      <c r="BB35" s="21"/>
    </row>
    <row r="36" spans="1:54" s="42" customFormat="1" ht="15.75">
      <c r="A36" s="58" t="s">
        <v>201</v>
      </c>
      <c r="B36" s="41"/>
      <c r="C36" s="41"/>
      <c r="D36" s="41"/>
      <c r="E36" s="41"/>
      <c r="F36" s="41"/>
    </row>
    <row r="37" spans="1:54" s="20" customFormat="1">
      <c r="A37"/>
      <c r="B37"/>
      <c r="C37"/>
      <c r="D37"/>
      <c r="E37"/>
      <c r="F37"/>
      <c r="BA37" s="21"/>
      <c r="BB37" s="21"/>
    </row>
    <row r="38" spans="1:54" s="20" customFormat="1" ht="19.5">
      <c r="A38" s="33" t="s">
        <v>117</v>
      </c>
      <c r="B38"/>
      <c r="C38"/>
      <c r="D38"/>
      <c r="E38"/>
      <c r="F38"/>
      <c r="G38"/>
      <c r="H38"/>
      <c r="I38"/>
      <c r="J38"/>
      <c r="K38"/>
      <c r="L38"/>
      <c r="M38" s="33" t="s">
        <v>117</v>
      </c>
      <c r="N38"/>
      <c r="O38"/>
      <c r="P38"/>
      <c r="Q38"/>
      <c r="R38"/>
      <c r="S38"/>
      <c r="T38"/>
      <c r="U38"/>
      <c r="V38"/>
      <c r="W38"/>
      <c r="X38"/>
      <c r="Y38"/>
      <c r="Z38"/>
      <c r="AA38"/>
      <c r="AB38"/>
      <c r="AC38"/>
      <c r="BA38" s="21"/>
      <c r="BB38" s="21"/>
    </row>
    <row r="39" spans="1:54" s="20" customFormat="1">
      <c r="A39" s="968" t="s">
        <v>118</v>
      </c>
      <c r="B39" s="968"/>
      <c r="C39" s="968"/>
      <c r="D39" s="968"/>
      <c r="E39" s="968"/>
      <c r="F39"/>
      <c r="G39"/>
      <c r="H39"/>
      <c r="I39"/>
      <c r="J39"/>
      <c r="K39"/>
      <c r="L39"/>
      <c r="M39" t="s">
        <v>126</v>
      </c>
      <c r="N39"/>
      <c r="O39"/>
      <c r="P39"/>
      <c r="Q39"/>
      <c r="R39"/>
      <c r="S39"/>
      <c r="T39"/>
      <c r="U39"/>
      <c r="V39"/>
      <c r="W39"/>
      <c r="X39"/>
      <c r="Y39"/>
      <c r="Z39"/>
      <c r="AA39"/>
      <c r="AB39"/>
      <c r="AC39"/>
      <c r="BA39" s="21"/>
      <c r="BB39" s="21"/>
    </row>
    <row r="40" spans="1:54" s="24" customFormat="1">
      <c r="A40" s="34" t="s">
        <v>119</v>
      </c>
      <c r="B40"/>
      <c r="C40"/>
      <c r="D40"/>
      <c r="E40"/>
      <c r="F40"/>
      <c r="G40"/>
      <c r="H40"/>
      <c r="I40"/>
      <c r="J40"/>
      <c r="K40"/>
      <c r="L40"/>
      <c r="M40" s="34" t="s">
        <v>119</v>
      </c>
      <c r="N40" t="s">
        <v>1439</v>
      </c>
      <c r="O40" t="s">
        <v>1438</v>
      </c>
      <c r="P40" t="s">
        <v>1440</v>
      </c>
      <c r="Q40" t="s">
        <v>1441</v>
      </c>
      <c r="R40" t="s">
        <v>1442</v>
      </c>
      <c r="S40" t="s">
        <v>1443</v>
      </c>
      <c r="T40" t="s">
        <v>1444</v>
      </c>
      <c r="U40" t="s">
        <v>1445</v>
      </c>
      <c r="V40" t="s">
        <v>1451</v>
      </c>
      <c r="W40" t="s">
        <v>1446</v>
      </c>
      <c r="X40" t="s">
        <v>1447</v>
      </c>
      <c r="Y40" t="s">
        <v>1448</v>
      </c>
      <c r="Z40" t="s">
        <v>1449</v>
      </c>
      <c r="AA40" t="s">
        <v>1450</v>
      </c>
      <c r="AB40"/>
      <c r="AC40"/>
    </row>
    <row r="41" spans="1:54" s="20" customFormat="1" ht="79.5">
      <c r="A41" s="394"/>
      <c r="B41" s="395" t="s">
        <v>120</v>
      </c>
      <c r="C41" s="395" t="s">
        <v>121</v>
      </c>
      <c r="D41" s="395" t="s">
        <v>122</v>
      </c>
      <c r="E41" s="395" t="s">
        <v>988</v>
      </c>
      <c r="F41" s="395" t="s">
        <v>124</v>
      </c>
      <c r="G41" s="395" t="s">
        <v>1823</v>
      </c>
      <c r="H41" s="395" t="s">
        <v>1824</v>
      </c>
      <c r="I41" s="395" t="s">
        <v>1825</v>
      </c>
      <c r="J41" s="395" t="s">
        <v>125</v>
      </c>
      <c r="K41" s="395" t="s">
        <v>988</v>
      </c>
      <c r="L41"/>
      <c r="M41" s="39"/>
      <c r="N41" s="40" t="s">
        <v>127</v>
      </c>
      <c r="O41" s="40" t="s">
        <v>128</v>
      </c>
      <c r="P41" s="40" t="s">
        <v>129</v>
      </c>
      <c r="Q41" s="40" t="s">
        <v>130</v>
      </c>
      <c r="R41" s="40" t="s">
        <v>131</v>
      </c>
      <c r="S41" s="40" t="s">
        <v>132</v>
      </c>
      <c r="T41" s="40" t="s">
        <v>133</v>
      </c>
      <c r="U41" s="40" t="s">
        <v>134</v>
      </c>
      <c r="V41" s="40" t="s">
        <v>135</v>
      </c>
      <c r="W41" s="40" t="s">
        <v>136</v>
      </c>
      <c r="X41" s="40" t="s">
        <v>137</v>
      </c>
      <c r="Y41" s="40" t="s">
        <v>138</v>
      </c>
      <c r="Z41" s="40" t="s">
        <v>139</v>
      </c>
      <c r="AA41" s="40" t="s">
        <v>140</v>
      </c>
      <c r="AB41" s="40" t="s">
        <v>141</v>
      </c>
      <c r="AC41" s="40" t="s">
        <v>123</v>
      </c>
      <c r="AD41" s="19"/>
      <c r="AE41" s="19"/>
      <c r="AF41" s="19"/>
      <c r="AG41" s="19"/>
      <c r="AH41" s="19"/>
      <c r="AI41" s="19"/>
      <c r="AJ41" s="19"/>
      <c r="AK41" s="19"/>
      <c r="AL41" s="19"/>
      <c r="AM41" s="19"/>
      <c r="AN41" s="19"/>
      <c r="AO41" s="19"/>
      <c r="AP41" s="19"/>
      <c r="AQ41" s="19"/>
      <c r="AR41" s="19"/>
      <c r="AS41" s="19"/>
      <c r="AT41" s="19"/>
      <c r="AU41" s="19"/>
      <c r="AZ41" s="18"/>
      <c r="BA41" s="21"/>
      <c r="BB41" s="21"/>
    </row>
    <row r="42" spans="1:54" s="24" customFormat="1">
      <c r="A42" s="716" t="s">
        <v>1526</v>
      </c>
      <c r="B42" s="717">
        <v>8114</v>
      </c>
      <c r="C42" s="717">
        <v>32708</v>
      </c>
      <c r="D42" s="717">
        <v>9716</v>
      </c>
      <c r="E42" s="718">
        <f>SUM(B42:D42)</f>
        <v>50538</v>
      </c>
      <c r="F42" s="717">
        <v>23569</v>
      </c>
      <c r="G42" s="719">
        <v>8491</v>
      </c>
      <c r="H42" s="719">
        <v>9396</v>
      </c>
      <c r="I42" s="718">
        <v>3892</v>
      </c>
      <c r="J42" s="719">
        <v>5190</v>
      </c>
      <c r="K42" s="717">
        <f>F42+H42+I42+G42+J42</f>
        <v>50538</v>
      </c>
      <c r="L42"/>
      <c r="M42" s="721" t="s">
        <v>1526</v>
      </c>
      <c r="N42" s="722">
        <v>1460</v>
      </c>
      <c r="O42" s="722">
        <v>476</v>
      </c>
      <c r="P42" s="722">
        <v>1017</v>
      </c>
      <c r="Q42" s="722">
        <v>8318</v>
      </c>
      <c r="R42" s="722">
        <v>1498</v>
      </c>
      <c r="S42" s="722">
        <v>4947</v>
      </c>
      <c r="T42" s="722">
        <v>4833</v>
      </c>
      <c r="U42" s="722">
        <v>2363</v>
      </c>
      <c r="V42" s="722">
        <v>1694</v>
      </c>
      <c r="W42" s="722">
        <v>1756</v>
      </c>
      <c r="X42" s="722">
        <v>9794</v>
      </c>
      <c r="Y42" s="722">
        <v>877</v>
      </c>
      <c r="Z42" s="722">
        <v>7309</v>
      </c>
      <c r="AA42" s="722">
        <v>4172</v>
      </c>
      <c r="AB42" s="722">
        <v>24</v>
      </c>
      <c r="AC42" s="722">
        <v>50538</v>
      </c>
    </row>
    <row r="43" spans="1:54" s="24" customFormat="1">
      <c r="A43" s="716" t="s">
        <v>1527</v>
      </c>
      <c r="B43" s="717">
        <v>7486</v>
      </c>
      <c r="C43" s="717">
        <v>32703</v>
      </c>
      <c r="D43" s="717">
        <v>9754</v>
      </c>
      <c r="E43" s="718">
        <f t="shared" ref="E43:E54" si="5">SUM(B43:D43)</f>
        <v>49943</v>
      </c>
      <c r="F43" s="717">
        <v>23107</v>
      </c>
      <c r="G43" s="719">
        <v>8501</v>
      </c>
      <c r="H43" s="719">
        <v>9190</v>
      </c>
      <c r="I43" s="718">
        <v>3831</v>
      </c>
      <c r="J43" s="719">
        <v>5314</v>
      </c>
      <c r="K43" s="717">
        <f t="shared" ref="K43:K54" si="6">F43+H43+I43+G43+J43</f>
        <v>49943</v>
      </c>
      <c r="L43"/>
      <c r="M43" s="721" t="s">
        <v>1527</v>
      </c>
      <c r="N43" s="722">
        <v>1430</v>
      </c>
      <c r="O43" s="722">
        <v>470</v>
      </c>
      <c r="P43" s="722">
        <v>1003</v>
      </c>
      <c r="Q43" s="722">
        <v>8019</v>
      </c>
      <c r="R43" s="722">
        <v>1472</v>
      </c>
      <c r="S43" s="722">
        <v>5060</v>
      </c>
      <c r="T43" s="722">
        <v>4754</v>
      </c>
      <c r="U43" s="722">
        <v>2396</v>
      </c>
      <c r="V43" s="722">
        <v>1677</v>
      </c>
      <c r="W43" s="722">
        <v>1653</v>
      </c>
      <c r="X43" s="722">
        <v>9637</v>
      </c>
      <c r="Y43" s="722">
        <v>964</v>
      </c>
      <c r="Z43" s="722">
        <v>7231</v>
      </c>
      <c r="AA43" s="722">
        <v>4156</v>
      </c>
      <c r="AB43" s="722">
        <v>21</v>
      </c>
      <c r="AC43" s="722">
        <v>49943</v>
      </c>
    </row>
    <row r="44" spans="1:54" s="24" customFormat="1">
      <c r="A44" s="716" t="s">
        <v>1694</v>
      </c>
      <c r="B44" s="717">
        <v>7873</v>
      </c>
      <c r="C44" s="717">
        <v>33891</v>
      </c>
      <c r="D44" s="717">
        <v>9980</v>
      </c>
      <c r="E44" s="718">
        <f t="shared" si="5"/>
        <v>51744</v>
      </c>
      <c r="F44" s="717">
        <v>23737</v>
      </c>
      <c r="G44" s="719">
        <v>8968</v>
      </c>
      <c r="H44" s="719">
        <v>9461</v>
      </c>
      <c r="I44" s="718">
        <v>4015</v>
      </c>
      <c r="J44" s="719">
        <v>5563</v>
      </c>
      <c r="K44" s="717">
        <f t="shared" si="6"/>
        <v>51744</v>
      </c>
      <c r="L44"/>
      <c r="M44" s="721" t="s">
        <v>1694</v>
      </c>
      <c r="N44" s="722">
        <v>1479</v>
      </c>
      <c r="O44" s="722">
        <v>458</v>
      </c>
      <c r="P44" s="722">
        <v>1042</v>
      </c>
      <c r="Q44" s="722">
        <v>8417</v>
      </c>
      <c r="R44" s="722">
        <v>1498</v>
      </c>
      <c r="S44" s="722">
        <v>5318</v>
      </c>
      <c r="T44" s="722">
        <v>4831</v>
      </c>
      <c r="U44" s="722">
        <v>2486</v>
      </c>
      <c r="V44" s="722">
        <v>1792</v>
      </c>
      <c r="W44" s="722">
        <v>1620</v>
      </c>
      <c r="X44" s="722">
        <v>9887</v>
      </c>
      <c r="Y44" s="722">
        <v>995</v>
      </c>
      <c r="Z44" s="722">
        <v>7367</v>
      </c>
      <c r="AA44" s="722">
        <v>4538</v>
      </c>
      <c r="AB44" s="722">
        <v>16</v>
      </c>
      <c r="AC44" s="722">
        <v>51744</v>
      </c>
    </row>
    <row r="45" spans="1:54" s="24" customFormat="1">
      <c r="A45" s="716" t="s">
        <v>1812</v>
      </c>
      <c r="B45" s="717">
        <v>7677</v>
      </c>
      <c r="C45" s="717">
        <v>33562</v>
      </c>
      <c r="D45" s="717">
        <v>9954</v>
      </c>
      <c r="E45" s="718">
        <f t="shared" si="5"/>
        <v>51193</v>
      </c>
      <c r="F45" s="717">
        <v>23080</v>
      </c>
      <c r="G45" s="719">
        <v>9299</v>
      </c>
      <c r="H45" s="719">
        <v>9331</v>
      </c>
      <c r="I45" s="718">
        <v>3981</v>
      </c>
      <c r="J45" s="719">
        <v>5502</v>
      </c>
      <c r="K45" s="717">
        <f t="shared" si="6"/>
        <v>51193</v>
      </c>
      <c r="L45"/>
      <c r="M45" s="721" t="s">
        <v>1812</v>
      </c>
      <c r="N45" s="722">
        <v>1475</v>
      </c>
      <c r="O45" s="722">
        <v>489</v>
      </c>
      <c r="P45" s="722">
        <v>992</v>
      </c>
      <c r="Q45" s="722">
        <v>8442</v>
      </c>
      <c r="R45" s="722">
        <v>1492</v>
      </c>
      <c r="S45" s="722">
        <v>5115</v>
      </c>
      <c r="T45" s="722">
        <v>4804</v>
      </c>
      <c r="U45" s="722">
        <v>2387</v>
      </c>
      <c r="V45" s="722">
        <v>1758</v>
      </c>
      <c r="W45" s="722">
        <v>1584</v>
      </c>
      <c r="X45" s="722">
        <v>9742</v>
      </c>
      <c r="Y45" s="722">
        <v>946</v>
      </c>
      <c r="Z45" s="722">
        <v>7360</v>
      </c>
      <c r="AA45" s="722">
        <v>4453</v>
      </c>
      <c r="AB45" s="722">
        <v>154</v>
      </c>
      <c r="AC45" s="722">
        <v>51193</v>
      </c>
    </row>
    <row r="46" spans="1:54" s="24" customFormat="1">
      <c r="A46" s="716" t="s">
        <v>1813</v>
      </c>
      <c r="B46" s="717">
        <v>7261</v>
      </c>
      <c r="C46" s="717">
        <v>32467</v>
      </c>
      <c r="D46" s="717">
        <v>9855</v>
      </c>
      <c r="E46" s="718">
        <f t="shared" si="5"/>
        <v>49583</v>
      </c>
      <c r="F46" s="717">
        <v>21169</v>
      </c>
      <c r="G46" s="719">
        <v>10205</v>
      </c>
      <c r="H46" s="719">
        <v>8977</v>
      </c>
      <c r="I46" s="718">
        <v>3873</v>
      </c>
      <c r="J46" s="719">
        <v>5359</v>
      </c>
      <c r="K46" s="717">
        <f t="shared" si="6"/>
        <v>49583</v>
      </c>
      <c r="L46"/>
      <c r="M46" s="721" t="s">
        <v>1813</v>
      </c>
      <c r="N46" s="722">
        <v>1403</v>
      </c>
      <c r="O46" s="722">
        <v>491</v>
      </c>
      <c r="P46" s="722">
        <v>946</v>
      </c>
      <c r="Q46" s="722">
        <v>8239</v>
      </c>
      <c r="R46" s="722">
        <v>1443</v>
      </c>
      <c r="S46" s="722">
        <v>4894</v>
      </c>
      <c r="T46" s="722">
        <v>4580</v>
      </c>
      <c r="U46" s="722">
        <v>2255</v>
      </c>
      <c r="V46" s="722">
        <v>1717</v>
      </c>
      <c r="W46" s="722">
        <v>1558</v>
      </c>
      <c r="X46" s="722">
        <v>9475</v>
      </c>
      <c r="Y46" s="722">
        <v>907</v>
      </c>
      <c r="Z46" s="722">
        <v>7136</v>
      </c>
      <c r="AA46" s="722">
        <v>4301</v>
      </c>
      <c r="AB46" s="722">
        <v>238</v>
      </c>
      <c r="AC46" s="722">
        <v>49583</v>
      </c>
    </row>
    <row r="47" spans="1:54" s="24" customFormat="1">
      <c r="A47" s="716" t="s">
        <v>1814</v>
      </c>
      <c r="B47" s="717">
        <v>6545</v>
      </c>
      <c r="C47" s="717">
        <v>31448</v>
      </c>
      <c r="D47" s="717">
        <v>9675</v>
      </c>
      <c r="E47" s="718">
        <f t="shared" si="5"/>
        <v>47668</v>
      </c>
      <c r="F47" s="717">
        <v>19526</v>
      </c>
      <c r="G47" s="719">
        <v>10532</v>
      </c>
      <c r="H47" s="719">
        <v>8578</v>
      </c>
      <c r="I47" s="718">
        <v>3709</v>
      </c>
      <c r="J47" s="719">
        <v>5323</v>
      </c>
      <c r="K47" s="717">
        <f t="shared" si="6"/>
        <v>47668</v>
      </c>
      <c r="L47"/>
      <c r="M47" s="721" t="s">
        <v>1814</v>
      </c>
      <c r="N47" s="722">
        <v>1364</v>
      </c>
      <c r="O47" s="722">
        <v>473</v>
      </c>
      <c r="P47" s="722">
        <v>943</v>
      </c>
      <c r="Q47" s="722">
        <v>7996</v>
      </c>
      <c r="R47" s="722">
        <v>1390</v>
      </c>
      <c r="S47" s="722">
        <v>4574</v>
      </c>
      <c r="T47" s="722">
        <v>4270</v>
      </c>
      <c r="U47" s="722">
        <v>2196</v>
      </c>
      <c r="V47" s="722">
        <v>1663</v>
      </c>
      <c r="W47" s="722">
        <v>1493</v>
      </c>
      <c r="X47" s="722">
        <v>9229</v>
      </c>
      <c r="Y47" s="722">
        <v>914</v>
      </c>
      <c r="Z47" s="722">
        <v>7002</v>
      </c>
      <c r="AA47" s="722">
        <v>3947</v>
      </c>
      <c r="AB47" s="722">
        <v>214</v>
      </c>
      <c r="AC47" s="722">
        <v>47668</v>
      </c>
    </row>
    <row r="48" spans="1:54" s="24" customFormat="1">
      <c r="A48" s="716" t="s">
        <v>1815</v>
      </c>
      <c r="B48" s="717">
        <v>6385</v>
      </c>
      <c r="C48" s="717">
        <v>31099</v>
      </c>
      <c r="D48" s="717">
        <v>9582</v>
      </c>
      <c r="E48" s="718">
        <f t="shared" si="5"/>
        <v>47066</v>
      </c>
      <c r="F48" s="717">
        <v>19120</v>
      </c>
      <c r="G48" s="719">
        <v>10715</v>
      </c>
      <c r="H48" s="719">
        <v>8341</v>
      </c>
      <c r="I48" s="718">
        <v>3652</v>
      </c>
      <c r="J48" s="719">
        <v>5238</v>
      </c>
      <c r="K48" s="717">
        <f t="shared" si="6"/>
        <v>47066</v>
      </c>
      <c r="L48"/>
      <c r="M48" s="721" t="s">
        <v>1815</v>
      </c>
      <c r="N48" s="722">
        <v>1282</v>
      </c>
      <c r="O48" s="722">
        <v>480</v>
      </c>
      <c r="P48" s="722">
        <v>920</v>
      </c>
      <c r="Q48" s="722">
        <v>7925</v>
      </c>
      <c r="R48" s="722">
        <v>1353</v>
      </c>
      <c r="S48" s="722">
        <v>4496</v>
      </c>
      <c r="T48" s="722">
        <v>4169</v>
      </c>
      <c r="U48" s="722">
        <v>2185</v>
      </c>
      <c r="V48" s="722">
        <v>1603</v>
      </c>
      <c r="W48" s="722">
        <v>1533</v>
      </c>
      <c r="X48" s="722">
        <v>9192</v>
      </c>
      <c r="Y48" s="722">
        <v>904</v>
      </c>
      <c r="Z48" s="722">
        <v>6906</v>
      </c>
      <c r="AA48" s="722">
        <v>3895</v>
      </c>
      <c r="AB48" s="722">
        <v>223</v>
      </c>
      <c r="AC48" s="722">
        <v>47066</v>
      </c>
    </row>
    <row r="49" spans="1:29" s="24" customFormat="1">
      <c r="A49" s="716" t="s">
        <v>1816</v>
      </c>
      <c r="B49" s="717">
        <v>6045</v>
      </c>
      <c r="C49" s="717">
        <v>30499</v>
      </c>
      <c r="D49" s="717">
        <v>9464</v>
      </c>
      <c r="E49" s="718">
        <f t="shared" si="5"/>
        <v>46008</v>
      </c>
      <c r="F49" s="717">
        <v>18850</v>
      </c>
      <c r="G49" s="719">
        <v>10200</v>
      </c>
      <c r="H49" s="719">
        <v>8153</v>
      </c>
      <c r="I49" s="718">
        <v>3592</v>
      </c>
      <c r="J49" s="719">
        <v>5213</v>
      </c>
      <c r="K49" s="717">
        <f t="shared" si="6"/>
        <v>46008</v>
      </c>
      <c r="L49"/>
      <c r="M49" s="721" t="s">
        <v>1816</v>
      </c>
      <c r="N49" s="722">
        <v>1167</v>
      </c>
      <c r="O49" s="722">
        <v>466</v>
      </c>
      <c r="P49" s="722">
        <v>923</v>
      </c>
      <c r="Q49" s="722">
        <v>7724</v>
      </c>
      <c r="R49" s="722">
        <v>1383</v>
      </c>
      <c r="S49" s="722">
        <v>4334</v>
      </c>
      <c r="T49" s="722">
        <v>4029</v>
      </c>
      <c r="U49" s="722">
        <v>2110</v>
      </c>
      <c r="V49" s="722">
        <v>1572</v>
      </c>
      <c r="W49" s="722">
        <v>1558</v>
      </c>
      <c r="X49" s="722">
        <v>9054</v>
      </c>
      <c r="Y49" s="722">
        <v>882</v>
      </c>
      <c r="Z49" s="722">
        <v>6736</v>
      </c>
      <c r="AA49" s="722">
        <v>3744</v>
      </c>
      <c r="AB49" s="722">
        <v>326</v>
      </c>
      <c r="AC49" s="722">
        <v>46008</v>
      </c>
    </row>
    <row r="50" spans="1:29" s="24" customFormat="1">
      <c r="A50" s="716" t="s">
        <v>1817</v>
      </c>
      <c r="B50" s="717">
        <v>6175</v>
      </c>
      <c r="C50" s="717">
        <v>31625</v>
      </c>
      <c r="D50" s="717">
        <v>9741</v>
      </c>
      <c r="E50" s="718">
        <f t="shared" si="5"/>
        <v>47541</v>
      </c>
      <c r="F50" s="717">
        <v>19832</v>
      </c>
      <c r="G50" s="719">
        <v>10272</v>
      </c>
      <c r="H50" s="719">
        <v>8306</v>
      </c>
      <c r="I50" s="718">
        <v>3671</v>
      </c>
      <c r="J50" s="719">
        <v>5460</v>
      </c>
      <c r="K50" s="717">
        <f t="shared" si="6"/>
        <v>47541</v>
      </c>
      <c r="L50"/>
      <c r="M50" s="721" t="s">
        <v>1817</v>
      </c>
      <c r="N50" s="722">
        <v>1210</v>
      </c>
      <c r="O50" s="722">
        <v>492</v>
      </c>
      <c r="P50" s="722">
        <v>960</v>
      </c>
      <c r="Q50" s="722">
        <v>7756</v>
      </c>
      <c r="R50" s="722">
        <v>1436</v>
      </c>
      <c r="S50" s="722">
        <v>4369</v>
      </c>
      <c r="T50" s="722">
        <v>4076</v>
      </c>
      <c r="U50" s="722">
        <v>2175</v>
      </c>
      <c r="V50" s="722">
        <v>1569</v>
      </c>
      <c r="W50" s="722">
        <v>1717</v>
      </c>
      <c r="X50" s="722">
        <v>9692</v>
      </c>
      <c r="Y50" s="722">
        <v>1027</v>
      </c>
      <c r="Z50" s="722">
        <v>6961</v>
      </c>
      <c r="AA50" s="722">
        <v>3675</v>
      </c>
      <c r="AB50" s="722">
        <v>426</v>
      </c>
      <c r="AC50" s="722">
        <v>47541</v>
      </c>
    </row>
    <row r="51" spans="1:29" s="24" customFormat="1">
      <c r="A51" s="716" t="s">
        <v>1818</v>
      </c>
      <c r="B51" s="717">
        <v>7095</v>
      </c>
      <c r="C51" s="717">
        <v>34238</v>
      </c>
      <c r="D51" s="717">
        <v>10370</v>
      </c>
      <c r="E51" s="718">
        <f t="shared" si="5"/>
        <v>51703</v>
      </c>
      <c r="F51" s="717">
        <v>22278</v>
      </c>
      <c r="G51" s="719">
        <v>10496</v>
      </c>
      <c r="H51" s="719">
        <v>8954</v>
      </c>
      <c r="I51" s="718">
        <v>3940</v>
      </c>
      <c r="J51" s="719">
        <v>6035</v>
      </c>
      <c r="K51" s="717">
        <f t="shared" si="6"/>
        <v>51703</v>
      </c>
      <c r="L51"/>
      <c r="M51" s="721" t="s">
        <v>1818</v>
      </c>
      <c r="N51" s="722">
        <v>1451</v>
      </c>
      <c r="O51" s="722">
        <v>513</v>
      </c>
      <c r="P51" s="722">
        <v>1016</v>
      </c>
      <c r="Q51" s="722">
        <v>8204</v>
      </c>
      <c r="R51" s="722">
        <v>1564</v>
      </c>
      <c r="S51" s="722">
        <v>4894</v>
      </c>
      <c r="T51" s="722">
        <v>4424</v>
      </c>
      <c r="U51" s="722">
        <v>2353</v>
      </c>
      <c r="V51" s="722">
        <v>1647</v>
      </c>
      <c r="W51" s="722">
        <v>1817</v>
      </c>
      <c r="X51" s="722">
        <v>10702</v>
      </c>
      <c r="Y51" s="722">
        <v>1298</v>
      </c>
      <c r="Z51" s="722">
        <v>7404</v>
      </c>
      <c r="AA51" s="722">
        <v>3942</v>
      </c>
      <c r="AB51" s="722">
        <v>474</v>
      </c>
      <c r="AC51" s="722">
        <v>51703</v>
      </c>
    </row>
    <row r="52" spans="1:29" s="24" customFormat="1">
      <c r="A52" s="716" t="s">
        <v>1819</v>
      </c>
      <c r="B52" s="717">
        <v>7484</v>
      </c>
      <c r="C52" s="717">
        <v>31852</v>
      </c>
      <c r="D52" s="717">
        <v>9712</v>
      </c>
      <c r="E52" s="718">
        <f t="shared" si="5"/>
        <v>49048</v>
      </c>
      <c r="F52" s="717">
        <v>22596</v>
      </c>
      <c r="G52" s="719">
        <v>8990</v>
      </c>
      <c r="H52" s="719">
        <v>8437</v>
      </c>
      <c r="I52" s="718">
        <v>3696</v>
      </c>
      <c r="J52" s="719">
        <v>5329</v>
      </c>
      <c r="K52" s="717">
        <f t="shared" si="6"/>
        <v>49048</v>
      </c>
      <c r="L52"/>
      <c r="M52" s="721" t="s">
        <v>1819</v>
      </c>
      <c r="N52" s="722">
        <v>1315</v>
      </c>
      <c r="O52" s="722">
        <v>492</v>
      </c>
      <c r="P52" s="722">
        <v>981</v>
      </c>
      <c r="Q52" s="722">
        <v>8072</v>
      </c>
      <c r="R52" s="722">
        <v>1485</v>
      </c>
      <c r="S52" s="722">
        <v>4519</v>
      </c>
      <c r="T52" s="722">
        <v>4277</v>
      </c>
      <c r="U52" s="722">
        <v>2190</v>
      </c>
      <c r="V52" s="722">
        <v>1585</v>
      </c>
      <c r="W52" s="722">
        <v>1745</v>
      </c>
      <c r="X52" s="722">
        <v>9689</v>
      </c>
      <c r="Y52" s="722">
        <v>1028</v>
      </c>
      <c r="Z52" s="722">
        <v>7213</v>
      </c>
      <c r="AA52" s="722">
        <v>3768</v>
      </c>
      <c r="AB52" s="722">
        <v>689</v>
      </c>
      <c r="AC52" s="722">
        <v>49048</v>
      </c>
    </row>
    <row r="53" spans="1:29" s="24" customFormat="1">
      <c r="A53" s="716" t="s">
        <v>1820</v>
      </c>
      <c r="B53" s="717">
        <v>7417</v>
      </c>
      <c r="C53" s="717">
        <v>31546</v>
      </c>
      <c r="D53" s="717">
        <v>9710</v>
      </c>
      <c r="E53" s="718">
        <f t="shared" si="5"/>
        <v>48673</v>
      </c>
      <c r="F53" s="717">
        <v>22613</v>
      </c>
      <c r="G53" s="719">
        <v>8807</v>
      </c>
      <c r="H53" s="719">
        <v>8337</v>
      </c>
      <c r="I53" s="718">
        <v>3684</v>
      </c>
      <c r="J53" s="719">
        <v>5232</v>
      </c>
      <c r="K53" s="717">
        <f t="shared" si="6"/>
        <v>48673</v>
      </c>
      <c r="L53"/>
      <c r="M53" s="721" t="s">
        <v>1820</v>
      </c>
      <c r="N53" s="722">
        <v>1225</v>
      </c>
      <c r="O53" s="722">
        <v>475</v>
      </c>
      <c r="P53" s="722">
        <v>977</v>
      </c>
      <c r="Q53" s="722">
        <v>8138</v>
      </c>
      <c r="R53" s="722">
        <v>1500</v>
      </c>
      <c r="S53" s="722">
        <v>4296</v>
      </c>
      <c r="T53" s="722">
        <v>4456</v>
      </c>
      <c r="U53" s="722">
        <v>2183</v>
      </c>
      <c r="V53" s="722">
        <v>1611</v>
      </c>
      <c r="W53" s="722">
        <v>1777</v>
      </c>
      <c r="X53" s="722">
        <v>9501</v>
      </c>
      <c r="Y53" s="722">
        <v>972</v>
      </c>
      <c r="Z53" s="722">
        <v>7223</v>
      </c>
      <c r="AA53" s="722">
        <v>3863</v>
      </c>
      <c r="AB53" s="722">
        <v>476</v>
      </c>
      <c r="AC53" s="722">
        <v>48673</v>
      </c>
    </row>
    <row r="54" spans="1:29" s="715" customFormat="1">
      <c r="A54" s="725" t="s">
        <v>1821</v>
      </c>
      <c r="B54" s="726">
        <v>7379</v>
      </c>
      <c r="C54" s="726">
        <v>31630</v>
      </c>
      <c r="D54" s="726">
        <v>9904</v>
      </c>
      <c r="E54" s="726">
        <f t="shared" si="5"/>
        <v>48913</v>
      </c>
      <c r="F54" s="726">
        <v>22880</v>
      </c>
      <c r="G54" s="727">
        <v>8604</v>
      </c>
      <c r="H54" s="727">
        <v>8499</v>
      </c>
      <c r="I54" s="728">
        <v>3712</v>
      </c>
      <c r="J54" s="727">
        <v>5218</v>
      </c>
      <c r="K54" s="726">
        <f t="shared" si="6"/>
        <v>48913</v>
      </c>
      <c r="L54" s="714"/>
      <c r="M54" s="723" t="s">
        <v>1821</v>
      </c>
      <c r="N54" s="724">
        <v>1511</v>
      </c>
      <c r="O54" s="724">
        <v>480</v>
      </c>
      <c r="P54" s="724">
        <v>966</v>
      </c>
      <c r="Q54" s="724">
        <v>8032</v>
      </c>
      <c r="R54" s="724">
        <v>1559</v>
      </c>
      <c r="S54" s="724">
        <v>4233</v>
      </c>
      <c r="T54" s="724">
        <v>4662</v>
      </c>
      <c r="U54" s="724">
        <v>2221</v>
      </c>
      <c r="V54" s="724">
        <v>1635</v>
      </c>
      <c r="W54" s="724">
        <v>1794</v>
      </c>
      <c r="X54" s="724">
        <v>9595</v>
      </c>
      <c r="Y54" s="724">
        <v>919</v>
      </c>
      <c r="Z54" s="724">
        <v>7077</v>
      </c>
      <c r="AA54" s="724">
        <v>3916</v>
      </c>
      <c r="AB54" s="724">
        <v>313</v>
      </c>
      <c r="AC54" s="724">
        <v>48913</v>
      </c>
    </row>
    <row r="55" spans="1:29" s="24" customFormat="1" ht="16.5">
      <c r="A55" s="35" t="s">
        <v>1822</v>
      </c>
      <c r="B55" s="36"/>
      <c r="C55" s="36"/>
      <c r="D55" s="36"/>
      <c r="E55" s="36"/>
      <c r="F55" s="37"/>
      <c r="G55" s="37"/>
      <c r="H55" s="37"/>
      <c r="I55" s="37"/>
      <c r="J55" s="37"/>
      <c r="K55" s="37"/>
      <c r="L55" s="38"/>
      <c r="M55" s="35" t="s">
        <v>1822</v>
      </c>
      <c r="N55" s="37"/>
      <c r="O55" s="37"/>
      <c r="P55" s="37"/>
      <c r="Q55" s="37"/>
      <c r="R55" s="37"/>
      <c r="S55" s="37"/>
      <c r="T55" s="37"/>
      <c r="U55" s="37"/>
      <c r="V55" s="37"/>
      <c r="W55" s="37"/>
      <c r="X55" s="37"/>
      <c r="Y55" s="37"/>
      <c r="Z55" s="37"/>
      <c r="AA55" s="37"/>
      <c r="AB55" s="37"/>
      <c r="AC55" s="37"/>
    </row>
    <row r="56" spans="1:29" s="24" customFormat="1">
      <c r="A56"/>
      <c r="B56" s="158">
        <f>(B54-B42)/B42</f>
        <v>-9.058417549913729E-2</v>
      </c>
      <c r="C56" s="158">
        <f>(C54-C42)/C42</f>
        <v>-3.2958297664180014E-2</v>
      </c>
      <c r="D56" s="158">
        <f>(D54-D42)/D42</f>
        <v>1.9349526554137506E-2</v>
      </c>
      <c r="E56" s="158">
        <f>(E54-E42)/E42</f>
        <v>-3.2154022715580356E-2</v>
      </c>
      <c r="F56" s="158">
        <f>(F54-F42)/F42</f>
        <v>-2.9233314947600661E-2</v>
      </c>
      <c r="G56"/>
      <c r="H56" s="158">
        <f>((H54+G54)-(H42+G42))/(H42+G42)</f>
        <v>-4.3830715044445689E-2</v>
      </c>
      <c r="I56" s="158">
        <f>((I54+J54)-(I42+J42))/(I42+J42)</f>
        <v>-1.6736401673640166E-2</v>
      </c>
      <c r="J56" s="231"/>
      <c r="K56"/>
      <c r="L56"/>
      <c r="M56" s="23"/>
      <c r="N56" s="396">
        <f>((N54-N42)/N42)</f>
        <v>3.4931506849315071E-2</v>
      </c>
      <c r="O56" s="396">
        <f t="shared" ref="O56:AC56" si="7">((O54-O42)/O42)</f>
        <v>8.4033613445378148E-3</v>
      </c>
      <c r="P56" s="396">
        <f t="shared" si="7"/>
        <v>-5.0147492625368731E-2</v>
      </c>
      <c r="Q56" s="396">
        <f t="shared" si="7"/>
        <v>-3.438326520798269E-2</v>
      </c>
      <c r="R56" s="396">
        <f t="shared" si="7"/>
        <v>4.0720961281708948E-2</v>
      </c>
      <c r="S56" s="396">
        <f t="shared" si="7"/>
        <v>-0.14432989690721648</v>
      </c>
      <c r="T56" s="396">
        <f t="shared" si="7"/>
        <v>-3.5381750465549346E-2</v>
      </c>
      <c r="U56" s="396">
        <f t="shared" si="7"/>
        <v>-6.009310198899704E-2</v>
      </c>
      <c r="V56" s="396">
        <f t="shared" si="7"/>
        <v>-3.4828807556080282E-2</v>
      </c>
      <c r="W56" s="396">
        <f t="shared" si="7"/>
        <v>2.164009111617312E-2</v>
      </c>
      <c r="X56" s="396">
        <f t="shared" si="7"/>
        <v>-2.0318562385133757E-2</v>
      </c>
      <c r="Y56" s="396">
        <f t="shared" si="7"/>
        <v>4.789053591790194E-2</v>
      </c>
      <c r="Z56" s="396">
        <f t="shared" si="7"/>
        <v>-3.1741688329456834E-2</v>
      </c>
      <c r="AA56" s="396">
        <f t="shared" si="7"/>
        <v>-6.1361457334611694E-2</v>
      </c>
      <c r="AB56" s="720" t="s">
        <v>1827</v>
      </c>
      <c r="AC56" s="396">
        <f t="shared" si="7"/>
        <v>-3.2154022715580356E-2</v>
      </c>
    </row>
    <row r="57" spans="1:29" s="56" customFormat="1">
      <c r="A57" s="57" t="s">
        <v>1916</v>
      </c>
      <c r="B57" s="55"/>
      <c r="K57" s="635" t="s">
        <v>1637</v>
      </c>
    </row>
    <row r="58" spans="1:29" s="24" customFormat="1" ht="12.75">
      <c r="A58" s="23"/>
      <c r="B58" s="23"/>
      <c r="K58" s="24" t="s">
        <v>810</v>
      </c>
      <c r="O58" s="26"/>
    </row>
    <row r="59" spans="1:29" s="26" customFormat="1" ht="75">
      <c r="A59" s="69" t="s">
        <v>143</v>
      </c>
      <c r="B59" s="69" t="s">
        <v>144</v>
      </c>
      <c r="C59" s="69" t="s">
        <v>145</v>
      </c>
      <c r="D59" s="69" t="s">
        <v>146</v>
      </c>
      <c r="E59" s="69" t="s">
        <v>1952</v>
      </c>
      <c r="F59" s="69" t="s">
        <v>148</v>
      </c>
      <c r="G59" s="69" t="s">
        <v>149</v>
      </c>
      <c r="H59" s="69" t="s">
        <v>1720</v>
      </c>
      <c r="I59" s="69" t="s">
        <v>1953</v>
      </c>
      <c r="J59" s="69" t="s">
        <v>481</v>
      </c>
      <c r="K59" s="24"/>
      <c r="L59" s="24"/>
      <c r="M59" s="24"/>
      <c r="N59" s="24"/>
      <c r="O59" s="24"/>
    </row>
    <row r="60" spans="1:29" s="24" customFormat="1">
      <c r="A60" s="68" t="s">
        <v>150</v>
      </c>
      <c r="B60" s="68" t="s">
        <v>111</v>
      </c>
      <c r="C60" s="68" t="s">
        <v>152</v>
      </c>
      <c r="D60" s="68" t="s">
        <v>153</v>
      </c>
      <c r="E60" s="701">
        <v>8133.36</v>
      </c>
      <c r="F60" s="701">
        <v>2556.5300000000002</v>
      </c>
      <c r="G60" s="701">
        <v>1758.63</v>
      </c>
      <c r="H60" s="666">
        <v>202662.951966511</v>
      </c>
      <c r="I60" s="54">
        <f>E60/H60</f>
        <v>4.0132446118440017E-2</v>
      </c>
    </row>
    <row r="61" spans="1:29" s="24" customFormat="1">
      <c r="A61" s="53" t="s">
        <v>154</v>
      </c>
      <c r="B61" s="53" t="s">
        <v>733</v>
      </c>
      <c r="C61" s="53" t="s">
        <v>156</v>
      </c>
      <c r="D61" s="53" t="s">
        <v>157</v>
      </c>
      <c r="E61" s="702">
        <v>23160.19</v>
      </c>
      <c r="F61" s="702">
        <v>6681.05</v>
      </c>
      <c r="G61" s="702">
        <v>5150.2</v>
      </c>
      <c r="H61" s="666">
        <v>390928.400138809</v>
      </c>
      <c r="I61" s="54">
        <f t="shared" ref="I61:I74" si="8">E61/H61</f>
        <v>5.9244071271814448E-2</v>
      </c>
    </row>
    <row r="62" spans="1:29" s="24" customFormat="1">
      <c r="A62" s="53" t="s">
        <v>158</v>
      </c>
      <c r="B62" s="53" t="s">
        <v>994</v>
      </c>
      <c r="C62" s="53" t="s">
        <v>160</v>
      </c>
      <c r="D62" s="53" t="s">
        <v>157</v>
      </c>
      <c r="E62" s="702">
        <v>6029.81</v>
      </c>
      <c r="F62" s="702">
        <v>1851.91</v>
      </c>
      <c r="G62" s="702">
        <v>1564.58</v>
      </c>
      <c r="H62" s="666">
        <v>111584.867865072</v>
      </c>
      <c r="I62" s="54">
        <f t="shared" si="8"/>
        <v>5.4037882692940263E-2</v>
      </c>
    </row>
    <row r="63" spans="1:29" s="24" customFormat="1">
      <c r="A63" s="53" t="s">
        <v>161</v>
      </c>
      <c r="B63" s="53" t="s">
        <v>736</v>
      </c>
      <c r="C63" s="53" t="s">
        <v>163</v>
      </c>
      <c r="D63" s="53" t="s">
        <v>164</v>
      </c>
      <c r="E63" s="702">
        <v>16900.16</v>
      </c>
      <c r="F63" s="702">
        <v>4826.08</v>
      </c>
      <c r="G63" s="702">
        <v>4185.46</v>
      </c>
      <c r="H63" s="666">
        <v>276146.26514104498</v>
      </c>
      <c r="I63" s="54">
        <f t="shared" si="8"/>
        <v>6.120003104647475E-2</v>
      </c>
    </row>
    <row r="64" spans="1:29" s="24" customFormat="1">
      <c r="A64" s="53" t="s">
        <v>165</v>
      </c>
      <c r="B64" s="53" t="s">
        <v>737</v>
      </c>
      <c r="C64" s="53" t="s">
        <v>167</v>
      </c>
      <c r="D64" s="53" t="s">
        <v>168</v>
      </c>
      <c r="E64" s="702">
        <v>23010.26</v>
      </c>
      <c r="F64" s="702">
        <v>7255.68</v>
      </c>
      <c r="G64" s="702">
        <v>5703.12</v>
      </c>
      <c r="H64" s="666">
        <v>358415.83630853798</v>
      </c>
      <c r="I64" s="54">
        <f t="shared" si="8"/>
        <v>6.419989763005865E-2</v>
      </c>
    </row>
    <row r="65" spans="1:19" s="24" customFormat="1">
      <c r="A65" s="53" t="s">
        <v>169</v>
      </c>
      <c r="B65" s="53" t="s">
        <v>748</v>
      </c>
      <c r="C65" s="53" t="s">
        <v>171</v>
      </c>
      <c r="D65" s="53" t="s">
        <v>172</v>
      </c>
      <c r="E65" s="702">
        <v>18555.13</v>
      </c>
      <c r="F65" s="702">
        <v>6831.92</v>
      </c>
      <c r="G65" s="702">
        <v>5294.55</v>
      </c>
      <c r="H65" s="666">
        <v>303612.394300888</v>
      </c>
      <c r="I65" s="54">
        <f t="shared" si="8"/>
        <v>6.1114534018698104E-2</v>
      </c>
    </row>
    <row r="66" spans="1:19" s="24" customFormat="1">
      <c r="A66" s="53" t="s">
        <v>173</v>
      </c>
      <c r="B66" s="53" t="s">
        <v>2</v>
      </c>
      <c r="C66" s="53" t="s">
        <v>72</v>
      </c>
      <c r="D66" s="53" t="s">
        <v>174</v>
      </c>
      <c r="E66" s="702">
        <v>31386.41</v>
      </c>
      <c r="F66" s="702">
        <v>9455.61</v>
      </c>
      <c r="G66" s="702">
        <v>8914.06</v>
      </c>
      <c r="H66" s="666">
        <v>453749.74006190198</v>
      </c>
      <c r="I66" s="54">
        <f t="shared" si="8"/>
        <v>6.917119114099804E-2</v>
      </c>
    </row>
    <row r="67" spans="1:19" s="24" customFormat="1">
      <c r="A67" s="53" t="s">
        <v>175</v>
      </c>
      <c r="B67" s="53" t="s">
        <v>732</v>
      </c>
      <c r="C67" s="53" t="s">
        <v>177</v>
      </c>
      <c r="D67" s="53" t="s">
        <v>178</v>
      </c>
      <c r="E67" s="702">
        <v>32195.09</v>
      </c>
      <c r="F67" s="702">
        <v>11673.04</v>
      </c>
      <c r="G67" s="702">
        <v>7891.78</v>
      </c>
      <c r="H67" s="666">
        <v>536065.57832592097</v>
      </c>
      <c r="I67" s="54">
        <f t="shared" si="8"/>
        <v>6.0058118449877039E-2</v>
      </c>
    </row>
    <row r="68" spans="1:19" s="24" customFormat="1">
      <c r="A68" s="53" t="s">
        <v>179</v>
      </c>
      <c r="B68" s="53" t="s">
        <v>749</v>
      </c>
      <c r="C68" s="53" t="s">
        <v>181</v>
      </c>
      <c r="D68" s="53" t="s">
        <v>182</v>
      </c>
      <c r="E68" s="702">
        <v>18158.419999999998</v>
      </c>
      <c r="F68" s="702">
        <v>6318.35</v>
      </c>
      <c r="G68" s="702">
        <v>6700.82</v>
      </c>
      <c r="H68" s="666">
        <v>274909.44988469902</v>
      </c>
      <c r="I68" s="54">
        <f t="shared" si="8"/>
        <v>6.6052367452686334E-2</v>
      </c>
    </row>
    <row r="69" spans="1:19" s="24" customFormat="1">
      <c r="A69" s="53" t="s">
        <v>183</v>
      </c>
      <c r="B69" s="53" t="s">
        <v>731</v>
      </c>
      <c r="C69" s="53" t="s">
        <v>184</v>
      </c>
      <c r="D69" s="53" t="s">
        <v>182</v>
      </c>
      <c r="E69" s="702">
        <v>21334.42</v>
      </c>
      <c r="F69" s="702">
        <v>8411.82</v>
      </c>
      <c r="G69" s="702">
        <v>4497.88</v>
      </c>
      <c r="H69" s="666">
        <v>307405.02633250901</v>
      </c>
      <c r="I69" s="54">
        <f t="shared" si="8"/>
        <v>6.9401662863258842E-2</v>
      </c>
    </row>
    <row r="70" spans="1:19" s="24" customFormat="1">
      <c r="A70" s="53" t="s">
        <v>185</v>
      </c>
      <c r="B70" s="53" t="s">
        <v>735</v>
      </c>
      <c r="C70" s="53" t="s">
        <v>187</v>
      </c>
      <c r="D70" s="53" t="s">
        <v>188</v>
      </c>
      <c r="E70" s="702">
        <v>18600.38</v>
      </c>
      <c r="F70" s="702">
        <v>5653.62</v>
      </c>
      <c r="G70" s="702">
        <v>5531.62</v>
      </c>
      <c r="H70" s="666">
        <v>237556.00236394399</v>
      </c>
      <c r="I70" s="54">
        <f t="shared" si="8"/>
        <v>7.8298926631639384E-2</v>
      </c>
    </row>
    <row r="71" spans="1:19" s="24" customFormat="1">
      <c r="A71" s="53" t="s">
        <v>189</v>
      </c>
      <c r="B71" s="53" t="s">
        <v>995</v>
      </c>
      <c r="C71" s="53" t="s">
        <v>190</v>
      </c>
      <c r="D71" s="53" t="s">
        <v>191</v>
      </c>
      <c r="E71" s="702">
        <v>20060.72</v>
      </c>
      <c r="F71" s="702">
        <v>6203.49</v>
      </c>
      <c r="G71" s="702">
        <v>8262.2000000000007</v>
      </c>
      <c r="H71" s="666">
        <v>244574.17249574399</v>
      </c>
      <c r="I71" s="54">
        <f t="shared" si="8"/>
        <v>8.2023051720022042E-2</v>
      </c>
    </row>
    <row r="72" spans="1:19" s="24" customFormat="1">
      <c r="A72" s="53" t="s">
        <v>192</v>
      </c>
      <c r="B72" s="53" t="s">
        <v>1</v>
      </c>
      <c r="C72" s="53" t="s">
        <v>194</v>
      </c>
      <c r="D72" s="53" t="s">
        <v>191</v>
      </c>
      <c r="E72" s="702">
        <v>24213.75</v>
      </c>
      <c r="F72" s="702">
        <v>8764.34</v>
      </c>
      <c r="G72" s="702">
        <v>5844.86</v>
      </c>
      <c r="H72" s="666">
        <v>351064.44772336702</v>
      </c>
      <c r="I72" s="54">
        <f t="shared" si="8"/>
        <v>6.8972378596080561E-2</v>
      </c>
    </row>
    <row r="73" spans="1:19" s="24" customFormat="1">
      <c r="A73" s="53" t="s">
        <v>195</v>
      </c>
      <c r="B73" s="53" t="s">
        <v>996</v>
      </c>
      <c r="C73" s="53" t="s">
        <v>197</v>
      </c>
      <c r="D73" s="53" t="s">
        <v>191</v>
      </c>
      <c r="E73" s="702">
        <v>19000.2</v>
      </c>
      <c r="F73" s="702">
        <v>7536.22</v>
      </c>
      <c r="G73" s="702">
        <v>10484.290000000001</v>
      </c>
      <c r="H73" s="666">
        <v>205051.29552386</v>
      </c>
      <c r="I73" s="54">
        <f t="shared" si="8"/>
        <v>9.2660716682909802E-2</v>
      </c>
    </row>
    <row r="74" spans="1:19" s="24" customFormat="1">
      <c r="A74" s="53" t="s">
        <v>198</v>
      </c>
      <c r="B74" s="53" t="s">
        <v>997</v>
      </c>
      <c r="C74" s="53" t="s">
        <v>200</v>
      </c>
      <c r="D74" s="53" t="s">
        <v>191</v>
      </c>
      <c r="E74" s="702">
        <v>8669.5</v>
      </c>
      <c r="F74" s="702">
        <v>2687.5</v>
      </c>
      <c r="G74" s="702">
        <v>4201.07</v>
      </c>
      <c r="H74" s="666">
        <v>89828.1781648865</v>
      </c>
      <c r="I74" s="54">
        <f t="shared" si="8"/>
        <v>9.6512031938201723E-2</v>
      </c>
    </row>
    <row r="75" spans="1:19" s="24" customFormat="1" ht="12.75">
      <c r="A75" s="23"/>
      <c r="B75" s="23"/>
    </row>
    <row r="76" spans="1:19" s="24" customFormat="1" ht="12.75">
      <c r="A76" s="23"/>
      <c r="B76" s="23"/>
    </row>
    <row r="77" spans="1:19" s="24" customFormat="1">
      <c r="A77" t="str">
        <f>'Marché du travail'!H64</f>
        <v>Bordeaux</v>
      </c>
      <c r="B77">
        <f>VLOOKUP($A$77,$B$59:$J$74,4,FALSE)</f>
        <v>31386.41</v>
      </c>
      <c r="C77"/>
      <c r="D77" s="16"/>
      <c r="E77"/>
      <c r="F77"/>
      <c r="G77"/>
      <c r="H77" t="s">
        <v>461</v>
      </c>
      <c r="I77"/>
      <c r="J77" t="str">
        <f>'Marché du travail'!P64</f>
        <v>Nantes</v>
      </c>
      <c r="K77">
        <f>VLOOKUP($J$77,$B$59:$J$74,4,FALSE)</f>
        <v>23010.26</v>
      </c>
      <c r="L77"/>
      <c r="M77" s="16"/>
      <c r="N77"/>
      <c r="O77"/>
      <c r="P77"/>
      <c r="Q77"/>
      <c r="R77"/>
      <c r="S77"/>
    </row>
    <row r="78" spans="1:19" s="24" customFormat="1">
      <c r="A78"/>
      <c r="B78"/>
      <c r="C78"/>
      <c r="D78" s="16"/>
      <c r="E78"/>
      <c r="F78"/>
      <c r="G78"/>
      <c r="H78"/>
      <c r="I78"/>
      <c r="J78"/>
      <c r="K78"/>
      <c r="L78"/>
      <c r="M78" s="16"/>
      <c r="N78"/>
      <c r="O78"/>
      <c r="P78"/>
      <c r="Q78"/>
      <c r="R78"/>
      <c r="S78"/>
    </row>
    <row r="79" spans="1:19" s="24" customFormat="1">
      <c r="A79"/>
      <c r="B79"/>
      <c r="C79"/>
      <c r="D79" s="16"/>
      <c r="E79"/>
      <c r="F79"/>
      <c r="G79"/>
      <c r="H79"/>
      <c r="I79"/>
      <c r="J79"/>
      <c r="K79"/>
      <c r="L79"/>
      <c r="M79" s="16"/>
      <c r="N79"/>
      <c r="O79"/>
      <c r="P79"/>
      <c r="Q79"/>
      <c r="R79"/>
      <c r="S79"/>
    </row>
    <row r="80" spans="1:19" s="24" customFormat="1">
      <c r="A80"/>
      <c r="B80"/>
      <c r="C80"/>
      <c r="D80" s="16"/>
      <c r="E80"/>
      <c r="F80"/>
      <c r="G80"/>
      <c r="H80"/>
      <c r="I80"/>
      <c r="J80"/>
      <c r="K80"/>
      <c r="L80"/>
      <c r="M80" s="16"/>
      <c r="N80"/>
      <c r="O80"/>
      <c r="P80"/>
      <c r="Q80"/>
      <c r="R80"/>
      <c r="S80"/>
    </row>
    <row r="81" spans="1:19" s="24" customFormat="1" ht="45">
      <c r="A81" t="str">
        <f>A77</f>
        <v>Bordeaux</v>
      </c>
      <c r="B81" s="66" t="s">
        <v>205</v>
      </c>
      <c r="C81" s="66" t="s">
        <v>206</v>
      </c>
      <c r="D81" s="67" t="s">
        <v>147</v>
      </c>
      <c r="E81" s="66" t="s">
        <v>459</v>
      </c>
      <c r="F81" s="66" t="s">
        <v>460</v>
      </c>
      <c r="G81" s="66" t="s">
        <v>482</v>
      </c>
      <c r="H81" s="9"/>
      <c r="I81"/>
      <c r="J81" t="str">
        <f>J77</f>
        <v>Nantes</v>
      </c>
      <c r="K81" s="66" t="s">
        <v>205</v>
      </c>
      <c r="L81" s="66" t="s">
        <v>206</v>
      </c>
      <c r="M81" s="67" t="s">
        <v>147</v>
      </c>
      <c r="N81" s="66" t="s">
        <v>459</v>
      </c>
      <c r="O81" s="66" t="s">
        <v>460</v>
      </c>
      <c r="P81" s="66" t="s">
        <v>482</v>
      </c>
      <c r="Q81"/>
      <c r="R81"/>
      <c r="S81"/>
    </row>
    <row r="82" spans="1:19" s="24" customFormat="1">
      <c r="A82" s="60">
        <v>1</v>
      </c>
      <c r="B82" t="str">
        <f>VLOOKUP(CONCATENATE($A$81,$A82),'D_Ch2-2_det-BMO'!$F:$K,2,FALSE)</f>
        <v>L2Z60</v>
      </c>
      <c r="C82" t="str">
        <f>VLOOKUP(CONCATENATE($A$81,$A82),'D_Ch2-2_det-BMO'!$F:$Z,3,FALSE)</f>
        <v>Agents d'accueil</v>
      </c>
      <c r="D82" s="16">
        <f>VLOOKUP(CONCATENATE($A$81,$A82),'D_Ch2-2_det-BMO'!$F:$K,4,FALSE)</f>
        <v>2326.48</v>
      </c>
      <c r="E82" s="38">
        <f>VLOOKUP(CONCATENATE($A$81,$A82),'D_Ch2-2_det-BMO'!$F:$Z,7,FALSE)</f>
        <v>8.1797393487156561E-2</v>
      </c>
      <c r="F82" s="38">
        <f>VLOOKUP(CONCATENATE($A$81,$A82),'D_Ch2-2_det-BMO'!$F:$Z,8,FALSE)</f>
        <v>0.83448815377738039</v>
      </c>
      <c r="G82" s="61">
        <f>D82/$B$77</f>
        <v>7.4123800715022836E-2</v>
      </c>
      <c r="H82"/>
      <c r="I82"/>
      <c r="J82" s="60">
        <v>1</v>
      </c>
      <c r="K82" t="str">
        <f>VLOOKUP(CONCATENATE($J$81,$J82),'D_Ch2-2_det-BMO'!$F:$K,2,FALSE)</f>
        <v>T4Z60</v>
      </c>
      <c r="L82" t="str">
        <f>VLOOKUP(CONCATENATE($J$81,$J82),'D_Ch2-2_det-BMO'!$F:$Z,3,FALSE)</f>
        <v>Agents d'entretien y compris ATSEM</v>
      </c>
      <c r="M82" s="16">
        <f>VLOOKUP(CONCATENATE($J$81,$J82),'D_Ch2-2_det-BMO'!$F:$K,4,FALSE)</f>
        <v>1430.52</v>
      </c>
      <c r="N82" s="168">
        <f>VLOOKUP(CONCATENATE($J$81,$J82),'D_Ch2-2_det-BMO'!$F:$Z,7,FALSE)</f>
        <v>0.33123619383161368</v>
      </c>
      <c r="O82" s="168">
        <f>VLOOKUP(CONCATENATE($J$81,$J82),'D_Ch2-2_det-BMO'!$F:$Z,8,FALSE)</f>
        <v>0.26781869529961133</v>
      </c>
      <c r="P82" s="61">
        <f>M82/$K$77</f>
        <v>6.216878905323104E-2</v>
      </c>
      <c r="Q82"/>
      <c r="R82"/>
      <c r="S82"/>
    </row>
    <row r="83" spans="1:19" s="24" customFormat="1">
      <c r="A83" s="60">
        <v>2</v>
      </c>
      <c r="B83" t="str">
        <f>VLOOKUP(CONCATENATE($A$81,$A83),'D_Ch2-2_det-BMO'!$F:$K,2,FALSE)</f>
        <v>T4Z60</v>
      </c>
      <c r="C83" t="str">
        <f>VLOOKUP(CONCATENATE($A$81,$A83),'D_Ch2-2_det-BMO'!$F:$Z,3,FALSE)</f>
        <v>Agents d'entretien y compris ATSEM</v>
      </c>
      <c r="D83" s="16">
        <f>VLOOKUP(CONCATENATE($A$81,$A83),'D_Ch2-2_det-BMO'!$F:$K,4,FALSE)</f>
        <v>1688.89</v>
      </c>
      <c r="E83" s="38">
        <f>VLOOKUP(CONCATENATE($A$81,$A83),'D_Ch2-2_det-BMO'!$F:$Z,7,FALSE)</f>
        <v>0.28036165765680415</v>
      </c>
      <c r="F83" s="38">
        <f>VLOOKUP(CONCATENATE($A$81,$A83),'D_Ch2-2_det-BMO'!$F:$Z,8,FALSE)</f>
        <v>0.16431502347695823</v>
      </c>
      <c r="G83" s="61">
        <f t="shared" ref="G83:G90" si="9">D83/$B$77</f>
        <v>5.3809594662148366E-2</v>
      </c>
      <c r="H83"/>
      <c r="I83"/>
      <c r="J83" s="60">
        <v>2</v>
      </c>
      <c r="K83" t="str">
        <f>VLOOKUP(CONCATENATE($J$81,$J83),'D_Ch2-2_det-BMO'!$F:$K,2,FALSE)</f>
        <v>M2Z90</v>
      </c>
      <c r="L83" t="str">
        <f>VLOOKUP(CONCATENATE($J$81,$J83),'D_Ch2-2_det-BMO'!$F:$Z,3,FALSE)</f>
        <v xml:space="preserve">Ingénieurs informatique </v>
      </c>
      <c r="M83" s="16">
        <f>VLOOKUP(CONCATENATE($J$81,$J83),'D_Ch2-2_det-BMO'!$F:$K,4,FALSE)</f>
        <v>850.68</v>
      </c>
      <c r="N83" s="168">
        <f>VLOOKUP(CONCATENATE($J$81,$J83),'D_Ch2-2_det-BMO'!$F:$Z,7,FALSE)</f>
        <v>0.51857337659284342</v>
      </c>
      <c r="O83" s="168">
        <f>VLOOKUP(CONCATENATE($J$81,$J83),'D_Ch2-2_det-BMO'!$F:$Z,8,FALSE)</f>
        <v>0</v>
      </c>
      <c r="P83" s="61">
        <f t="shared" ref="P83:P90" si="10">M83/$B$77</f>
        <v>2.7103450187517461E-2</v>
      </c>
      <c r="Q83"/>
      <c r="R83"/>
      <c r="S83"/>
    </row>
    <row r="84" spans="1:19" s="24" customFormat="1">
      <c r="A84" s="60">
        <v>3</v>
      </c>
      <c r="B84" t="str">
        <f>VLOOKUP(CONCATENATE($A$81,$A84),'D_Ch2-2_det-BMO'!$F:$K,2,FALSE)</f>
        <v>S1Z20</v>
      </c>
      <c r="C84" t="str">
        <f>VLOOKUP(CONCATENATE($A$81,$A84),'D_Ch2-2_det-BMO'!$F:$Z,3,FALSE)</f>
        <v>Apprentis de restauration</v>
      </c>
      <c r="D84" s="16">
        <f>VLOOKUP(CONCATENATE($A$81,$A84),'D_Ch2-2_det-BMO'!$F:$K,4,FALSE)</f>
        <v>1449.13</v>
      </c>
      <c r="E84" s="38">
        <f>VLOOKUP(CONCATENATE($A$81,$A84),'D_Ch2-2_det-BMO'!$F:$Z,7,FALSE)</f>
        <v>0.20932559535721429</v>
      </c>
      <c r="F84" s="38">
        <f>VLOOKUP(CONCATENATE($A$81,$A84),'D_Ch2-2_det-BMO'!$F:$Z,8,FALSE)</f>
        <v>0.12976061498968344</v>
      </c>
      <c r="G84" s="61">
        <f t="shared" si="9"/>
        <v>4.6170619704515428E-2</v>
      </c>
      <c r="H84"/>
      <c r="I84"/>
      <c r="J84" s="60">
        <v>3</v>
      </c>
      <c r="K84" t="str">
        <f>VLOOKUP(CONCATENATE($J$81,$J84),'D_Ch2-2_det-BMO'!$F:$K,2,FALSE)</f>
        <v>T2A60</v>
      </c>
      <c r="L84" t="str">
        <f>VLOOKUP(CONCATENATE($J$81,$J84),'D_Ch2-2_det-BMO'!$F:$Z,3,FALSE)</f>
        <v>Aides à domicile</v>
      </c>
      <c r="M84" s="16">
        <f>VLOOKUP(CONCATENATE($J$81,$J84),'D_Ch2-2_det-BMO'!$F:$K,4,FALSE)</f>
        <v>799.19</v>
      </c>
      <c r="N84" s="168">
        <f>VLOOKUP(CONCATENATE($J$81,$J84),'D_Ch2-2_det-BMO'!$F:$Z,7,FALSE)</f>
        <v>0.40367121710732118</v>
      </c>
      <c r="O84" s="168">
        <f>VLOOKUP(CONCATENATE($J$81,$J84),'D_Ch2-2_det-BMO'!$F:$Z,8,FALSE)</f>
        <v>6.8531888537143856E-2</v>
      </c>
      <c r="P84" s="61">
        <f t="shared" si="10"/>
        <v>2.5462931249543991E-2</v>
      </c>
      <c r="Q84"/>
      <c r="R84"/>
      <c r="S84"/>
    </row>
    <row r="85" spans="1:19" s="24" customFormat="1">
      <c r="A85" s="60">
        <v>4</v>
      </c>
      <c r="B85" t="str">
        <f>VLOOKUP(CONCATENATE($A$81,$A85),'D_Ch2-2_det-BMO'!$F:$K,2,FALSE)</f>
        <v>R0Z60</v>
      </c>
      <c r="C85" t="str">
        <f>VLOOKUP(CONCATENATE($A$81,$A85),'D_Ch2-2_det-BMO'!$F:$Z,3,FALSE)</f>
        <v>Employés de libre service</v>
      </c>
      <c r="D85" s="16">
        <f>VLOOKUP(CONCATENATE($A$81,$A85),'D_Ch2-2_det-BMO'!$F:$K,4,FALSE)</f>
        <v>1175.83</v>
      </c>
      <c r="E85" s="38">
        <f>VLOOKUP(CONCATENATE($A$81,$A85),'D_Ch2-2_det-BMO'!$F:$Z,7,FALSE)</f>
        <v>5.6700373353290874E-2</v>
      </c>
      <c r="F85" s="38">
        <f>VLOOKUP(CONCATENATE($A$81,$A85),'D_Ch2-2_det-BMO'!$F:$Z,8,FALSE)</f>
        <v>0.86242058801017152</v>
      </c>
      <c r="G85" s="61">
        <f t="shared" si="9"/>
        <v>3.746302938118759E-2</v>
      </c>
      <c r="H85"/>
      <c r="I85"/>
      <c r="J85" s="60">
        <v>4</v>
      </c>
      <c r="K85" t="str">
        <f>VLOOKUP(CONCATENATE($J$81,$J85),'D_Ch2-2_det-BMO'!$F:$K,2,FALSE)</f>
        <v>A0Z40</v>
      </c>
      <c r="L85" t="str">
        <f>VLOOKUP(CONCATENATE($J$81,$J85),'D_Ch2-2_det-BMO'!$F:$Z,3,FALSE)</f>
        <v>Agriculteurs salariés, ouvriers agricoles</v>
      </c>
      <c r="M85" s="16">
        <f>VLOOKUP(CONCATENATE($J$81,$J85),'D_Ch2-2_det-BMO'!$F:$K,4,FALSE)</f>
        <v>721.89</v>
      </c>
      <c r="N85" s="168">
        <f>VLOOKUP(CONCATENATE($J$81,$J85),'D_Ch2-2_det-BMO'!$F:$Z,7,FALSE)</f>
        <v>0.48483841028411534</v>
      </c>
      <c r="O85" s="168">
        <f>VLOOKUP(CONCATENATE($J$81,$J85),'D_Ch2-2_det-BMO'!$F:$Z,8,FALSE)</f>
        <v>0.97798833617310121</v>
      </c>
      <c r="P85" s="61">
        <f t="shared" si="10"/>
        <v>2.3000081882572743E-2</v>
      </c>
      <c r="Q85"/>
      <c r="R85"/>
      <c r="S85"/>
    </row>
    <row r="86" spans="1:19" s="24" customFormat="1">
      <c r="A86" s="60">
        <v>5</v>
      </c>
      <c r="B86" t="str">
        <f>VLOOKUP(CONCATENATE($A$81,$A86),'D_Ch2-2_det-BMO'!$F:$K,2,FALSE)</f>
        <v>T2A60</v>
      </c>
      <c r="C86" t="str">
        <f>VLOOKUP(CONCATENATE($A$81,$A86),'D_Ch2-2_det-BMO'!$F:$Z,3,FALSE)</f>
        <v>Aides à domicile</v>
      </c>
      <c r="D86" s="16">
        <f>VLOOKUP(CONCATENATE($A$81,$A86),'D_Ch2-2_det-BMO'!$F:$K,4,FALSE)</f>
        <v>1092.6199999999999</v>
      </c>
      <c r="E86" s="38">
        <f>VLOOKUP(CONCATENATE($A$81,$A86),'D_Ch2-2_det-BMO'!$F:$Z,7,FALSE)</f>
        <v>0.64813018249711707</v>
      </c>
      <c r="F86" s="38">
        <f>VLOOKUP(CONCATENATE($A$81,$A86),'D_Ch2-2_det-BMO'!$F:$Z,8,FALSE)</f>
        <v>0.11406527429481431</v>
      </c>
      <c r="G86" s="61">
        <f t="shared" si="9"/>
        <v>3.4811881957828243E-2</v>
      </c>
      <c r="H86"/>
      <c r="I86"/>
      <c r="J86" s="60">
        <v>5</v>
      </c>
      <c r="K86" t="str">
        <f>VLOOKUP(CONCATENATE($J$81,$J86),'D_Ch2-2_det-BMO'!$F:$K,2,FALSE)</f>
        <v>V5Z81</v>
      </c>
      <c r="L86" t="str">
        <f>VLOOKUP(CONCATENATE($J$81,$J86),'D_Ch2-2_det-BMO'!$F:$Z,3,FALSE)</f>
        <v xml:space="preserve">Professionnels de l'animation </v>
      </c>
      <c r="M86" s="16">
        <f>VLOOKUP(CONCATENATE($J$81,$J86),'D_Ch2-2_det-BMO'!$F:$K,4,FALSE)</f>
        <v>650.6</v>
      </c>
      <c r="N86" s="168">
        <f>VLOOKUP(CONCATENATE($J$81,$J86),'D_Ch2-2_det-BMO'!$F:$Z,7,FALSE)</f>
        <v>0.19368275438057178</v>
      </c>
      <c r="O86" s="168">
        <f>VLOOKUP(CONCATENATE($J$81,$J86),'D_Ch2-2_det-BMO'!$F:$Z,8,FALSE)</f>
        <v>0.49256071318782657</v>
      </c>
      <c r="P86" s="61">
        <f t="shared" si="10"/>
        <v>2.0728716664314268E-2</v>
      </c>
      <c r="Q86"/>
      <c r="R86"/>
      <c r="S86"/>
    </row>
    <row r="87" spans="1:19" s="24" customFormat="1">
      <c r="A87" s="60">
        <v>6</v>
      </c>
      <c r="B87" t="str">
        <f>VLOOKUP(CONCATENATE($A$81,$A87),'D_Ch2-2_det-BMO'!$F:$K,2,FALSE)</f>
        <v>R1Z67</v>
      </c>
      <c r="C87" t="str">
        <f>VLOOKUP(CONCATENATE($A$81,$A87),'D_Ch2-2_det-BMO'!$F:$Z,3,FALSE)</f>
        <v>Télévendeurs</v>
      </c>
      <c r="D87" s="16">
        <f>VLOOKUP(CONCATENATE($A$81,$A87),'D_Ch2-2_det-BMO'!$F:$K,4,FALSE)</f>
        <v>933.4</v>
      </c>
      <c r="E87" s="38">
        <f>VLOOKUP(CONCATENATE($A$81,$A87),'D_Ch2-2_det-BMO'!$F:$Z,7,FALSE)</f>
        <v>0.23666166702378402</v>
      </c>
      <c r="F87" s="38">
        <f>VLOOKUP(CONCATENATE($A$81,$A87),'D_Ch2-2_det-BMO'!$F:$Z,8,FALSE)</f>
        <v>0.21427040925648169</v>
      </c>
      <c r="G87" s="61">
        <f t="shared" si="9"/>
        <v>2.9738985758485919E-2</v>
      </c>
      <c r="H87"/>
      <c r="I87"/>
      <c r="J87" s="60">
        <v>6</v>
      </c>
      <c r="K87" t="str">
        <f>VLOOKUP(CONCATENATE($J$81,$J87),'D_Ch2-2_det-BMO'!$F:$K,2,FALSE)</f>
        <v>T3Z61</v>
      </c>
      <c r="L87" t="str">
        <f>VLOOKUP(CONCATENATE($J$81,$J87),'D_Ch2-2_det-BMO'!$F:$Z,3,FALSE)</f>
        <v xml:space="preserve">Agents de sécurité </v>
      </c>
      <c r="M87" s="16">
        <f>VLOOKUP(CONCATENATE($J$81,$J87),'D_Ch2-2_det-BMO'!$F:$K,4,FALSE)</f>
        <v>642.67999999999995</v>
      </c>
      <c r="N87" s="168">
        <f>VLOOKUP(CONCATENATE($J$81,$J87),'D_Ch2-2_det-BMO'!$F:$Z,7,FALSE)</f>
        <v>5.0880687122673808E-3</v>
      </c>
      <c r="O87" s="168">
        <f>VLOOKUP(CONCATENATE($J$81,$J87),'D_Ch2-2_det-BMO'!$F:$Z,8,FALSE)</f>
        <v>0.1404742640194187</v>
      </c>
      <c r="P87" s="61">
        <f t="shared" si="10"/>
        <v>2.0476378152200266E-2</v>
      </c>
      <c r="Q87"/>
      <c r="R87"/>
      <c r="S87"/>
    </row>
    <row r="88" spans="1:19" s="24" customFormat="1">
      <c r="A88" s="60">
        <v>7</v>
      </c>
      <c r="B88" t="str">
        <f>VLOOKUP(CONCATENATE($A$81,$A88),'D_Ch2-2_det-BMO'!$F:$K,2,FALSE)</f>
        <v>J0Z20</v>
      </c>
      <c r="C88" t="str">
        <f>VLOOKUP(CONCATENATE($A$81,$A88),'D_Ch2-2_det-BMO'!$F:$Z,3,FALSE)</f>
        <v xml:space="preserve">Mantutionnaires </v>
      </c>
      <c r="D88" s="16">
        <f>VLOOKUP(CONCATENATE($A$81,$A88),'D_Ch2-2_det-BMO'!$F:$K,4,FALSE)</f>
        <v>831.69</v>
      </c>
      <c r="E88" s="38">
        <f>VLOOKUP(CONCATENATE($A$81,$A88),'D_Ch2-2_det-BMO'!$F:$Z,7,FALSE)</f>
        <v>0.25848573386718604</v>
      </c>
      <c r="F88" s="38">
        <f>VLOOKUP(CONCATENATE($A$81,$A88),'D_Ch2-2_det-BMO'!$F:$Z,8,FALSE)</f>
        <v>0.58910170856929855</v>
      </c>
      <c r="G88" s="61">
        <f t="shared" si="9"/>
        <v>2.6498411255062304E-2</v>
      </c>
      <c r="H88"/>
      <c r="I88"/>
      <c r="J88" s="60">
        <v>7</v>
      </c>
      <c r="K88" t="str">
        <f>VLOOKUP(CONCATENATE($J$81,$J88),'D_Ch2-2_det-BMO'!$F:$K,2,FALSE)</f>
        <v>S1Z20</v>
      </c>
      <c r="L88" t="str">
        <f>VLOOKUP(CONCATENATE($J$81,$J88),'D_Ch2-2_det-BMO'!$F:$Z,3,FALSE)</f>
        <v>Apprentis de restauration</v>
      </c>
      <c r="M88" s="16">
        <f>VLOOKUP(CONCATENATE($J$81,$J88),'D_Ch2-2_det-BMO'!$F:$K,4,FALSE)</f>
        <v>639.86</v>
      </c>
      <c r="N88" s="168">
        <f>VLOOKUP(CONCATENATE($J$81,$J88),'D_Ch2-2_det-BMO'!$F:$Z,7,FALSE)</f>
        <v>0.3235395242709343</v>
      </c>
      <c r="O88" s="168">
        <f>VLOOKUP(CONCATENATE($J$81,$J88),'D_Ch2-2_det-BMO'!$F:$Z,8,FALSE)</f>
        <v>0.28457787641046478</v>
      </c>
      <c r="P88" s="61">
        <f t="shared" si="10"/>
        <v>2.0386530348644526E-2</v>
      </c>
      <c r="Q88"/>
      <c r="R88"/>
      <c r="S88"/>
    </row>
    <row r="89" spans="1:19" s="24" customFormat="1">
      <c r="A89" s="60">
        <v>8</v>
      </c>
      <c r="B89" t="str">
        <f>VLOOKUP(CONCATENATE($A$81,$A89),'D_Ch2-2_det-BMO'!$F:$K,2,FALSE)</f>
        <v>L2Z61</v>
      </c>
      <c r="C89" t="str">
        <f>VLOOKUP(CONCATENATE($A$81,$A89),'D_Ch2-2_det-BMO'!$F:$Z,3,FALSE)</f>
        <v xml:space="preserve">Agents administratifs </v>
      </c>
      <c r="D89" s="16">
        <f>VLOOKUP(CONCATENATE($A$81,$A89),'D_Ch2-2_det-BMO'!$F:$K,4,FALSE)</f>
        <v>815.9</v>
      </c>
      <c r="E89" s="38">
        <f>VLOOKUP(CONCATENATE($A$81,$A89),'D_Ch2-2_det-BMO'!$F:$Z,7,FALSE)</f>
        <v>0.33964946684642727</v>
      </c>
      <c r="F89" s="38">
        <f>VLOOKUP(CONCATENATE($A$81,$A89),'D_Ch2-2_det-BMO'!$F:$Z,8,FALSE)</f>
        <v>0.37521755117048655</v>
      </c>
      <c r="G89" s="61">
        <f t="shared" si="9"/>
        <v>2.5995327276996636E-2</v>
      </c>
      <c r="H89"/>
      <c r="I89"/>
      <c r="J89" s="60">
        <v>8</v>
      </c>
      <c r="K89" t="str">
        <f>VLOOKUP(CONCATENATE($J$81,$J89),'D_Ch2-2_det-BMO'!$F:$K,2,FALSE)</f>
        <v>J0Z20</v>
      </c>
      <c r="L89" t="str">
        <f>VLOOKUP(CONCATENATE($J$81,$J89),'D_Ch2-2_det-BMO'!$F:$Z,3,FALSE)</f>
        <v xml:space="preserve">Mantutionnaires </v>
      </c>
      <c r="M89" s="16">
        <f>VLOOKUP(CONCATENATE($J$81,$J89),'D_Ch2-2_det-BMO'!$F:$K,4,FALSE)</f>
        <v>607.91</v>
      </c>
      <c r="N89" s="168">
        <f>VLOOKUP(CONCATENATE($J$81,$J89),'D_Ch2-2_det-BMO'!$F:$Z,7,FALSE)</f>
        <v>0.32060666875030847</v>
      </c>
      <c r="O89" s="168">
        <f>VLOOKUP(CONCATENATE($J$81,$J89),'D_Ch2-2_det-BMO'!$F:$Z,8,FALSE)</f>
        <v>0.33833955684229577</v>
      </c>
      <c r="P89" s="61">
        <f t="shared" si="10"/>
        <v>1.9368573850911907E-2</v>
      </c>
      <c r="Q89"/>
      <c r="R89"/>
      <c r="S89"/>
    </row>
    <row r="90" spans="1:19" s="24" customFormat="1">
      <c r="A90" s="60">
        <v>9</v>
      </c>
      <c r="B90" t="str">
        <f>VLOOKUP(CONCATENATE($A$81,$A90),'D_Ch2-2_det-BMO'!$F:$K,2,FALSE)</f>
        <v>M2Z90</v>
      </c>
      <c r="C90" t="str">
        <f>VLOOKUP(CONCATENATE($A$81,$A90),'D_Ch2-2_det-BMO'!$F:$Z,3,FALSE)</f>
        <v xml:space="preserve">Ingénieurs informatique </v>
      </c>
      <c r="D90" s="16">
        <f>VLOOKUP(CONCATENATE($A$81,$A90),'D_Ch2-2_det-BMO'!$F:$K,4,FALSE)</f>
        <v>758.9</v>
      </c>
      <c r="E90" s="38">
        <f>VLOOKUP(CONCATENATE($A$81,$A90),'D_Ch2-2_det-BMO'!$F:$Z,7,FALSE)</f>
        <v>0.38860192383713271</v>
      </c>
      <c r="F90" s="38">
        <f>VLOOKUP(CONCATENATE($A$81,$A90),'D_Ch2-2_det-BMO'!$F:$Z,8,FALSE)</f>
        <v>0</v>
      </c>
      <c r="G90" s="61">
        <f t="shared" si="9"/>
        <v>2.4179254651933751E-2</v>
      </c>
      <c r="H90"/>
      <c r="I90"/>
      <c r="J90" s="60">
        <v>9</v>
      </c>
      <c r="K90" t="str">
        <f>VLOOKUP(CONCATENATE($J$81,$J90),'D_Ch2-2_det-BMO'!$F:$K,2,FALSE)</f>
        <v>R2Z80</v>
      </c>
      <c r="L90" t="str">
        <f>VLOOKUP(CONCATENATE($J$81,$J90),'D_Ch2-2_det-BMO'!$F:$Z,3,FALSE)</f>
        <v>Commerciaux (techniciens)</v>
      </c>
      <c r="M90" s="16">
        <f>VLOOKUP(CONCATENATE($J$81,$J90),'D_Ch2-2_det-BMO'!$F:$K,4,FALSE)</f>
        <v>604.26</v>
      </c>
      <c r="N90" s="168">
        <f>VLOOKUP(CONCATENATE($J$81,$J90),'D_Ch2-2_det-BMO'!$F:$Z,7,FALSE)</f>
        <v>0.5417535497964453</v>
      </c>
      <c r="O90" s="168">
        <f>VLOOKUP(CONCATENATE($J$81,$J90),'D_Ch2-2_det-BMO'!$F:$Z,8,FALSE)</f>
        <v>4.9978486082150071E-3</v>
      </c>
      <c r="P90" s="61">
        <f t="shared" si="10"/>
        <v>1.9252281481061388E-2</v>
      </c>
      <c r="Q90"/>
      <c r="R90"/>
      <c r="S90"/>
    </row>
    <row r="91" spans="1:19" s="24" customFormat="1">
      <c r="A91" s="60">
        <v>10</v>
      </c>
      <c r="B91" t="str">
        <f>VLOOKUP(CONCATENATE($A$81,$A91),'D_Ch2-2_det-BMO'!$F:$K,2,FALSE)</f>
        <v>S2Z61</v>
      </c>
      <c r="C91" t="str">
        <f>VLOOKUP(CONCATENATE($A$81,$A91),'D_Ch2-2_det-BMO'!$F:$Z,3,FALSE)</f>
        <v xml:space="preserve">Serveurs </v>
      </c>
      <c r="D91" s="16">
        <f>VLOOKUP(CONCATENATE($A$81,$A91),'D_Ch2-2_det-BMO'!$F:$K,4,FALSE)</f>
        <v>723.9</v>
      </c>
      <c r="E91" s="38">
        <f>VLOOKUP(CONCATENATE($A$81,$A91),'D_Ch2-2_det-BMO'!$F:$Z,7,FALSE)</f>
        <v>0.36688769167012014</v>
      </c>
      <c r="F91" s="38">
        <f>VLOOKUP(CONCATENATE($A$81,$A91),'D_Ch2-2_det-BMO'!$F:$Z,8,FALSE)</f>
        <v>0.31335819864622189</v>
      </c>
      <c r="G91" s="61">
        <f>D91/$B$77</f>
        <v>2.3064122338298645E-2</v>
      </c>
      <c r="H91"/>
      <c r="I91"/>
      <c r="J91" s="60">
        <v>10</v>
      </c>
      <c r="K91" t="str">
        <f>VLOOKUP(CONCATENATE($J$81,$J91),'D_Ch2-2_det-BMO'!$F:$K,2,FALSE)</f>
        <v>R0Z60</v>
      </c>
      <c r="L91" t="str">
        <f>VLOOKUP(CONCATENATE($J$81,$J91),'D_Ch2-2_det-BMO'!$F:$Z,3,FALSE)</f>
        <v>Employés de libre service</v>
      </c>
      <c r="M91" s="16">
        <f>VLOOKUP(CONCATENATE($J$81,$J91),'D_Ch2-2_det-BMO'!$F:$K,4,FALSE)</f>
        <v>598.04999999999995</v>
      </c>
      <c r="N91" s="168">
        <f>VLOOKUP(CONCATENATE($J$81,$J91),'D_Ch2-2_det-BMO'!$F:$Z,7,FALSE)</f>
        <v>3.3442019898001843E-3</v>
      </c>
      <c r="O91" s="168">
        <f>VLOOKUP(CONCATENATE($J$81,$J91),'D_Ch2-2_det-BMO'!$F:$Z,8,FALSE)</f>
        <v>0.33477134018894744</v>
      </c>
      <c r="P91" s="61">
        <f>M91/$B$77</f>
        <v>1.9054425147699273E-2</v>
      </c>
      <c r="Q91"/>
      <c r="R91"/>
      <c r="S91"/>
    </row>
    <row r="92" spans="1:19" s="24" customFormat="1">
      <c r="A92"/>
      <c r="B92"/>
      <c r="C92"/>
      <c r="D92" s="16"/>
      <c r="E92" s="61"/>
      <c r="F92" s="61"/>
      <c r="G92"/>
      <c r="H92"/>
      <c r="I92"/>
      <c r="J92"/>
      <c r="K92"/>
      <c r="L92"/>
      <c r="M92"/>
      <c r="N92"/>
      <c r="O92"/>
      <c r="P92"/>
      <c r="Q92"/>
      <c r="R92"/>
      <c r="S92"/>
    </row>
    <row r="96" spans="1:19" s="65" customFormat="1" ht="15.75">
      <c r="A96" s="65" t="s">
        <v>480</v>
      </c>
    </row>
    <row r="97" spans="2:19">
      <c r="H97">
        <v>2016</v>
      </c>
      <c r="I97" s="683" t="s">
        <v>750</v>
      </c>
    </row>
    <row r="98" spans="2:19" s="59" customFormat="1" ht="45">
      <c r="B98" s="59" t="s">
        <v>462</v>
      </c>
      <c r="C98" s="59" t="s">
        <v>463</v>
      </c>
      <c r="D98" s="59" t="s">
        <v>1721</v>
      </c>
      <c r="E98" s="684" t="s">
        <v>464</v>
      </c>
      <c r="F98" s="59" t="s">
        <v>1722</v>
      </c>
      <c r="G98" s="59" t="s">
        <v>479</v>
      </c>
      <c r="H98" s="59" t="s">
        <v>1723</v>
      </c>
      <c r="I98" s="684" t="s">
        <v>947</v>
      </c>
      <c r="K98" t="s">
        <v>462</v>
      </c>
      <c r="L98" t="s">
        <v>463</v>
      </c>
      <c r="M98" s="59" t="s">
        <v>2012</v>
      </c>
      <c r="N98"/>
      <c r="O98" s="59" t="s">
        <v>1722</v>
      </c>
      <c r="P98" s="59" t="s">
        <v>1807</v>
      </c>
      <c r="Q98" s="710" t="s">
        <v>2020</v>
      </c>
      <c r="R98" s="131" t="s">
        <v>1808</v>
      </c>
      <c r="S98" s="708" t="s">
        <v>1809</v>
      </c>
    </row>
    <row r="99" spans="2:19">
      <c r="B99">
        <v>69</v>
      </c>
      <c r="C99" t="s">
        <v>474</v>
      </c>
      <c r="D99" s="177">
        <v>73092</v>
      </c>
      <c r="E99" s="683">
        <v>129275</v>
      </c>
      <c r="F99" s="16">
        <v>855119.80576623604</v>
      </c>
      <c r="G99" s="16">
        <f>(D99/F99)*100000</f>
        <v>8547.5742120725881</v>
      </c>
      <c r="H99" s="229">
        <f t="shared" ref="H99:H114" si="11">G99/19</f>
        <v>449.87232695118882</v>
      </c>
      <c r="I99" s="685">
        <f t="shared" ref="I99:I114" si="12">((E99/F99)*100000)/52.745</f>
        <v>286.61986318635087</v>
      </c>
      <c r="K99">
        <v>69</v>
      </c>
      <c r="L99" t="s">
        <v>474</v>
      </c>
      <c r="M99">
        <v>68293</v>
      </c>
      <c r="O99" s="16">
        <f t="shared" ref="O99:O114" si="13">VLOOKUP(K99,$B$98:$I$114,5,FALSE)</f>
        <v>855119.80576623604</v>
      </c>
      <c r="P99" s="16">
        <f t="shared" ref="P99:P114" si="14">((M99/O99)*100000)</f>
        <v>7986.3663008957656</v>
      </c>
      <c r="Q99" s="711">
        <f t="shared" ref="Q99:Q114" si="15">P99/22</f>
        <v>363.01665004071663</v>
      </c>
      <c r="R99" s="707">
        <f t="shared" ref="R99:R114" si="16">VLOOKUP($K99,$B$98:$I$114,7,FALSE)</f>
        <v>449.87232695118882</v>
      </c>
      <c r="S99" s="709">
        <f t="shared" ref="S99:S114" si="17">VLOOKUP($K99,$B$98:$I$114,8,FALSE)</f>
        <v>286.61986318635087</v>
      </c>
    </row>
    <row r="100" spans="2:19">
      <c r="B100">
        <v>99</v>
      </c>
      <c r="C100" t="s">
        <v>1479</v>
      </c>
      <c r="D100" s="177">
        <v>1039517</v>
      </c>
      <c r="E100" s="683">
        <v>4070247</v>
      </c>
      <c r="F100" s="16">
        <v>29762337.880284734</v>
      </c>
      <c r="G100" s="16">
        <f t="shared" ref="G100:G114" si="18">(D100/F100)*100000</f>
        <v>3492.7262911311827</v>
      </c>
      <c r="H100" s="229">
        <f t="shared" si="11"/>
        <v>183.82769953322014</v>
      </c>
      <c r="I100" s="685">
        <f t="shared" si="12"/>
        <v>259.28203429092594</v>
      </c>
      <c r="K100">
        <v>31</v>
      </c>
      <c r="L100" t="s">
        <v>467</v>
      </c>
      <c r="M100">
        <v>39537</v>
      </c>
      <c r="O100" s="16">
        <f t="shared" si="13"/>
        <v>649217.16999970097</v>
      </c>
      <c r="P100" s="16">
        <f t="shared" si="14"/>
        <v>6089.9498391298257</v>
      </c>
      <c r="Q100" s="711">
        <f t="shared" si="15"/>
        <v>276.81590177862842</v>
      </c>
      <c r="R100" s="707">
        <f t="shared" si="16"/>
        <v>311.04667503688506</v>
      </c>
      <c r="S100" s="709">
        <f t="shared" si="17"/>
        <v>166.81093169070192</v>
      </c>
    </row>
    <row r="101" spans="2:19">
      <c r="B101">
        <v>13</v>
      </c>
      <c r="C101" t="s">
        <v>466</v>
      </c>
      <c r="D101" s="177">
        <v>42358</v>
      </c>
      <c r="E101" s="683">
        <v>82576</v>
      </c>
      <c r="F101" s="16">
        <v>885584.26526024798</v>
      </c>
      <c r="G101" s="16">
        <f t="shared" si="18"/>
        <v>4783.0569784968111</v>
      </c>
      <c r="H101" s="229">
        <f t="shared" si="11"/>
        <v>251.73984097351638</v>
      </c>
      <c r="I101" s="685">
        <f t="shared" si="12"/>
        <v>176.78387677394588</v>
      </c>
      <c r="K101">
        <v>44</v>
      </c>
      <c r="L101" t="s">
        <v>471</v>
      </c>
      <c r="M101">
        <v>30815</v>
      </c>
      <c r="O101" s="16">
        <f t="shared" si="13"/>
        <v>633154.15859326604</v>
      </c>
      <c r="P101" s="16">
        <f t="shared" si="14"/>
        <v>4866.9031991299526</v>
      </c>
      <c r="Q101" s="711">
        <f t="shared" si="15"/>
        <v>221.22287268772513</v>
      </c>
      <c r="R101" s="707">
        <f t="shared" si="16"/>
        <v>261.86355684431163</v>
      </c>
      <c r="S101" s="709">
        <f t="shared" si="17"/>
        <v>140.25451607851636</v>
      </c>
    </row>
    <row r="102" spans="2:19">
      <c r="B102">
        <v>31</v>
      </c>
      <c r="C102" t="s">
        <v>467</v>
      </c>
      <c r="D102" s="177">
        <v>38368</v>
      </c>
      <c r="E102" s="683">
        <v>57121</v>
      </c>
      <c r="F102" s="16">
        <v>649217.16999970097</v>
      </c>
      <c r="G102" s="16">
        <f t="shared" si="18"/>
        <v>5909.8868257008162</v>
      </c>
      <c r="H102" s="229">
        <f t="shared" si="11"/>
        <v>311.04667503688506</v>
      </c>
      <c r="I102" s="685">
        <f t="shared" si="12"/>
        <v>166.81093169070192</v>
      </c>
      <c r="K102">
        <v>13</v>
      </c>
      <c r="L102" t="s">
        <v>466</v>
      </c>
      <c r="M102">
        <v>36860</v>
      </c>
      <c r="O102" s="16">
        <f t="shared" si="13"/>
        <v>885584.26526024798</v>
      </c>
      <c r="P102" s="16">
        <f t="shared" si="14"/>
        <v>4162.2239064023906</v>
      </c>
      <c r="Q102" s="711">
        <f t="shared" si="15"/>
        <v>189.19199574556322</v>
      </c>
      <c r="R102" s="707">
        <f t="shared" si="16"/>
        <v>251.73984097351638</v>
      </c>
      <c r="S102" s="709">
        <f t="shared" si="17"/>
        <v>176.78387677394588</v>
      </c>
    </row>
    <row r="103" spans="2:19">
      <c r="B103">
        <v>44</v>
      </c>
      <c r="C103" t="s">
        <v>471</v>
      </c>
      <c r="D103" s="177">
        <v>31502</v>
      </c>
      <c r="E103" s="683">
        <v>46839</v>
      </c>
      <c r="F103" s="16">
        <v>633154.15859326604</v>
      </c>
      <c r="G103" s="16">
        <f t="shared" si="18"/>
        <v>4975.4075800419205</v>
      </c>
      <c r="H103" s="229">
        <f t="shared" si="11"/>
        <v>261.86355684431163</v>
      </c>
      <c r="I103" s="685">
        <f t="shared" si="12"/>
        <v>140.25451607851636</v>
      </c>
      <c r="K103">
        <v>33</v>
      </c>
      <c r="L103" t="s">
        <v>116</v>
      </c>
      <c r="M103">
        <v>25690</v>
      </c>
      <c r="O103" s="16">
        <f t="shared" si="13"/>
        <v>717339.22673170397</v>
      </c>
      <c r="P103" s="16">
        <f t="shared" si="14"/>
        <v>3581.2902797811812</v>
      </c>
      <c r="Q103" s="711">
        <f t="shared" si="15"/>
        <v>162.78592180823551</v>
      </c>
      <c r="R103" s="707">
        <f t="shared" si="16"/>
        <v>172.51619173648339</v>
      </c>
      <c r="S103" s="709">
        <f t="shared" si="17"/>
        <v>100.29321893803373</v>
      </c>
    </row>
    <row r="104" spans="2:19">
      <c r="B104">
        <v>67</v>
      </c>
      <c r="C104" t="s">
        <v>473</v>
      </c>
      <c r="D104" s="177">
        <v>21984</v>
      </c>
      <c r="E104" s="683">
        <v>38183</v>
      </c>
      <c r="F104" s="16">
        <v>545824.86516903399</v>
      </c>
      <c r="G104" s="16">
        <f t="shared" si="18"/>
        <v>4027.6655394202089</v>
      </c>
      <c r="H104" s="229">
        <f t="shared" si="11"/>
        <v>211.98239681158995</v>
      </c>
      <c r="I104" s="685">
        <f t="shared" si="12"/>
        <v>132.6280653647519</v>
      </c>
      <c r="K104">
        <v>35</v>
      </c>
      <c r="L104" t="s">
        <v>469</v>
      </c>
      <c r="M104">
        <v>15942</v>
      </c>
      <c r="O104" s="16">
        <f t="shared" si="13"/>
        <v>484638.40576248901</v>
      </c>
      <c r="P104" s="16">
        <f t="shared" si="14"/>
        <v>3289.4627851290916</v>
      </c>
      <c r="Q104" s="711">
        <f t="shared" si="15"/>
        <v>149.52103568768598</v>
      </c>
      <c r="R104" s="707">
        <f t="shared" si="16"/>
        <v>187.47563886088224</v>
      </c>
      <c r="S104" s="709">
        <f t="shared" si="17"/>
        <v>113.17860098646028</v>
      </c>
    </row>
    <row r="105" spans="2:19">
      <c r="B105">
        <v>38</v>
      </c>
      <c r="C105" t="s">
        <v>470</v>
      </c>
      <c r="D105" s="177">
        <v>22044</v>
      </c>
      <c r="E105" s="683">
        <v>45028</v>
      </c>
      <c r="F105" s="16">
        <v>589046.10528474802</v>
      </c>
      <c r="G105" s="16">
        <f t="shared" si="18"/>
        <v>3742.3216624688171</v>
      </c>
      <c r="H105" s="229">
        <f t="shared" si="11"/>
        <v>196.96429802467458</v>
      </c>
      <c r="I105" s="685">
        <f t="shared" si="12"/>
        <v>144.92792422346503</v>
      </c>
      <c r="K105">
        <v>59</v>
      </c>
      <c r="L105" t="s">
        <v>472</v>
      </c>
      <c r="M105">
        <v>38389</v>
      </c>
      <c r="O105" s="16">
        <f t="shared" si="13"/>
        <v>1174914.1789289</v>
      </c>
      <c r="P105" s="16">
        <f t="shared" si="14"/>
        <v>3267.3875835762733</v>
      </c>
      <c r="Q105" s="711">
        <f t="shared" si="15"/>
        <v>148.51761743528516</v>
      </c>
      <c r="R105" s="707">
        <f t="shared" si="16"/>
        <v>188.64983706564462</v>
      </c>
      <c r="S105" s="709">
        <f t="shared" si="17"/>
        <v>135.38139659204185</v>
      </c>
    </row>
    <row r="106" spans="2:19">
      <c r="B106">
        <v>59</v>
      </c>
      <c r="C106" t="s">
        <v>472</v>
      </c>
      <c r="D106" s="177">
        <v>42113</v>
      </c>
      <c r="E106" s="683">
        <v>83897</v>
      </c>
      <c r="F106" s="16">
        <v>1174914.1789289</v>
      </c>
      <c r="G106" s="16">
        <f t="shared" si="18"/>
        <v>3584.3469042472479</v>
      </c>
      <c r="H106" s="229">
        <f t="shared" si="11"/>
        <v>188.64983706564462</v>
      </c>
      <c r="I106" s="685">
        <f t="shared" si="12"/>
        <v>135.38139659204185</v>
      </c>
      <c r="K106">
        <v>67</v>
      </c>
      <c r="L106" t="s">
        <v>473</v>
      </c>
      <c r="M106">
        <v>17413</v>
      </c>
      <c r="O106" s="16">
        <f t="shared" si="13"/>
        <v>545824.86516903399</v>
      </c>
      <c r="P106" s="16">
        <f t="shared" si="14"/>
        <v>3190.2174325838832</v>
      </c>
      <c r="Q106" s="711">
        <f t="shared" si="15"/>
        <v>145.00988329926741</v>
      </c>
      <c r="R106" s="707">
        <f t="shared" si="16"/>
        <v>211.98239681158995</v>
      </c>
      <c r="S106" s="709">
        <f t="shared" si="17"/>
        <v>132.6280653647519</v>
      </c>
    </row>
    <row r="107" spans="2:19">
      <c r="B107">
        <v>6</v>
      </c>
      <c r="C107" t="s">
        <v>465</v>
      </c>
      <c r="D107" s="177">
        <v>16368</v>
      </c>
      <c r="E107" s="683">
        <v>36333</v>
      </c>
      <c r="F107" s="16">
        <v>488907.20271584799</v>
      </c>
      <c r="G107" s="16">
        <f t="shared" si="18"/>
        <v>3347.8745882811327</v>
      </c>
      <c r="H107" s="229">
        <f t="shared" si="11"/>
        <v>176.20392569900699</v>
      </c>
      <c r="I107" s="685">
        <f t="shared" si="12"/>
        <v>140.89433342166387</v>
      </c>
      <c r="K107">
        <v>99</v>
      </c>
      <c r="L107" t="s">
        <v>1479</v>
      </c>
      <c r="M107">
        <v>929162</v>
      </c>
      <c r="O107" s="16">
        <f t="shared" si="13"/>
        <v>29762337.880284734</v>
      </c>
      <c r="P107" s="16">
        <f t="shared" si="14"/>
        <v>3121.9388871177975</v>
      </c>
      <c r="Q107" s="711">
        <f t="shared" si="15"/>
        <v>141.90631305080899</v>
      </c>
      <c r="R107" s="707">
        <f t="shared" si="16"/>
        <v>183.82769953322014</v>
      </c>
      <c r="S107" s="709">
        <f t="shared" si="17"/>
        <v>259.28203429092594</v>
      </c>
    </row>
    <row r="108" spans="2:19">
      <c r="B108">
        <v>35</v>
      </c>
      <c r="C108" t="s">
        <v>469</v>
      </c>
      <c r="D108" s="177">
        <v>17263</v>
      </c>
      <c r="E108" s="683">
        <v>28931</v>
      </c>
      <c r="F108" s="16">
        <v>484638.40576248901</v>
      </c>
      <c r="G108" s="16">
        <f t="shared" si="18"/>
        <v>3562.0371383567626</v>
      </c>
      <c r="H108" s="229">
        <f t="shared" si="11"/>
        <v>187.47563886088224</v>
      </c>
      <c r="I108" s="685">
        <f t="shared" si="12"/>
        <v>113.17860098646028</v>
      </c>
      <c r="K108">
        <v>38</v>
      </c>
      <c r="L108" t="s">
        <v>470</v>
      </c>
      <c r="M108">
        <v>17430</v>
      </c>
      <c r="O108" s="16">
        <f t="shared" si="13"/>
        <v>589046.10528474802</v>
      </c>
      <c r="P108" s="16">
        <f t="shared" si="14"/>
        <v>2959.021347161653</v>
      </c>
      <c r="Q108" s="711">
        <f t="shared" si="15"/>
        <v>134.50097032552969</v>
      </c>
      <c r="R108" s="707">
        <f t="shared" si="16"/>
        <v>196.96429802467458</v>
      </c>
      <c r="S108" s="709">
        <f t="shared" si="17"/>
        <v>144.92792422346503</v>
      </c>
    </row>
    <row r="109" spans="2:19">
      <c r="B109">
        <v>33</v>
      </c>
      <c r="C109" t="s">
        <v>116</v>
      </c>
      <c r="D109" s="177">
        <v>23513</v>
      </c>
      <c r="E109" s="683">
        <v>37947</v>
      </c>
      <c r="F109" s="16">
        <v>717339.22673170397</v>
      </c>
      <c r="G109" s="16">
        <f t="shared" si="18"/>
        <v>3277.8076429931843</v>
      </c>
      <c r="H109" s="229">
        <f t="shared" si="11"/>
        <v>172.51619173648339</v>
      </c>
      <c r="I109" s="685">
        <f t="shared" si="12"/>
        <v>100.29321893803373</v>
      </c>
      <c r="K109" s="59">
        <v>6</v>
      </c>
      <c r="L109" s="59" t="s">
        <v>465</v>
      </c>
      <c r="M109">
        <v>13889</v>
      </c>
      <c r="N109" s="59"/>
      <c r="O109" s="16">
        <f t="shared" si="13"/>
        <v>488907.20271584799</v>
      </c>
      <c r="P109" s="16">
        <f t="shared" si="14"/>
        <v>2840.8254005765311</v>
      </c>
      <c r="Q109" s="711">
        <f t="shared" si="15"/>
        <v>129.12842729893325</v>
      </c>
      <c r="R109" s="707">
        <f t="shared" si="16"/>
        <v>176.20392569900699</v>
      </c>
      <c r="S109" s="709">
        <f t="shared" si="17"/>
        <v>140.89433342166387</v>
      </c>
    </row>
    <row r="110" spans="2:19">
      <c r="B110">
        <v>84</v>
      </c>
      <c r="C110" t="s">
        <v>477</v>
      </c>
      <c r="D110" s="177">
        <v>5748</v>
      </c>
      <c r="E110" s="683">
        <v>13287</v>
      </c>
      <c r="F110" s="16">
        <v>245689.82759892</v>
      </c>
      <c r="G110" s="16">
        <f t="shared" si="18"/>
        <v>2339.5352002051168</v>
      </c>
      <c r="H110" s="229">
        <f t="shared" si="11"/>
        <v>123.13343158974298</v>
      </c>
      <c r="I110" s="685">
        <f t="shared" si="12"/>
        <v>102.53177191902016</v>
      </c>
      <c r="K110">
        <v>76</v>
      </c>
      <c r="L110" t="s">
        <v>475</v>
      </c>
      <c r="M110">
        <v>15492</v>
      </c>
      <c r="O110" s="16">
        <f t="shared" si="13"/>
        <v>577362.14073883498</v>
      </c>
      <c r="P110" s="16">
        <f t="shared" si="14"/>
        <v>2683.2379380080761</v>
      </c>
      <c r="Q110" s="711">
        <f t="shared" si="15"/>
        <v>121.96536081854892</v>
      </c>
      <c r="R110" s="707">
        <f t="shared" si="16"/>
        <v>133.4836762140468</v>
      </c>
      <c r="S110" s="709">
        <f t="shared" si="17"/>
        <v>85.137847996692628</v>
      </c>
    </row>
    <row r="111" spans="2:19">
      <c r="B111">
        <v>34</v>
      </c>
      <c r="C111" t="s">
        <v>468</v>
      </c>
      <c r="D111" s="177">
        <v>14714</v>
      </c>
      <c r="E111" s="683">
        <v>25826</v>
      </c>
      <c r="F111" s="16">
        <v>482617.64425140101</v>
      </c>
      <c r="G111" s="16">
        <f t="shared" si="18"/>
        <v>3048.7903157422297</v>
      </c>
      <c r="H111" s="229">
        <f t="shared" si="11"/>
        <v>160.46264819695946</v>
      </c>
      <c r="I111" s="685">
        <f t="shared" si="12"/>
        <v>101.4548129678204</v>
      </c>
      <c r="K111">
        <v>34</v>
      </c>
      <c r="L111" t="s">
        <v>468</v>
      </c>
      <c r="M111">
        <v>11966</v>
      </c>
      <c r="O111" s="16">
        <f t="shared" si="13"/>
        <v>482617.64425140101</v>
      </c>
      <c r="P111" s="16">
        <f t="shared" si="14"/>
        <v>2479.3954681372516</v>
      </c>
      <c r="Q111" s="711">
        <f t="shared" si="15"/>
        <v>112.6997940062387</v>
      </c>
      <c r="R111" s="707">
        <f t="shared" si="16"/>
        <v>160.46264819695946</v>
      </c>
      <c r="S111" s="709">
        <f t="shared" si="17"/>
        <v>101.4548129678204</v>
      </c>
    </row>
    <row r="112" spans="2:19">
      <c r="B112">
        <v>76</v>
      </c>
      <c r="C112" t="s">
        <v>475</v>
      </c>
      <c r="D112" s="177">
        <v>14643</v>
      </c>
      <c r="E112" s="683">
        <v>25927</v>
      </c>
      <c r="F112" s="16">
        <v>577362.14073883498</v>
      </c>
      <c r="G112" s="16">
        <f t="shared" si="18"/>
        <v>2536.1898480668892</v>
      </c>
      <c r="H112" s="229">
        <f t="shared" si="11"/>
        <v>133.4836762140468</v>
      </c>
      <c r="I112" s="685">
        <f t="shared" si="12"/>
        <v>85.137847996692628</v>
      </c>
      <c r="K112">
        <v>84</v>
      </c>
      <c r="L112" t="s">
        <v>477</v>
      </c>
      <c r="M112">
        <v>5270</v>
      </c>
      <c r="O112" s="16">
        <f t="shared" si="13"/>
        <v>245689.82759892</v>
      </c>
      <c r="P112" s="16">
        <f t="shared" si="14"/>
        <v>2144.9809507795699</v>
      </c>
      <c r="Q112" s="711">
        <f t="shared" si="15"/>
        <v>97.499134126344089</v>
      </c>
      <c r="R112" s="707">
        <f t="shared" si="16"/>
        <v>123.13343158974298</v>
      </c>
      <c r="S112" s="709">
        <f t="shared" si="17"/>
        <v>102.53177191902016</v>
      </c>
    </row>
    <row r="113" spans="1:19">
      <c r="B113">
        <v>62</v>
      </c>
      <c r="C113" t="s">
        <v>478</v>
      </c>
      <c r="D113" s="177">
        <v>7924</v>
      </c>
      <c r="E113" s="683">
        <v>22338</v>
      </c>
      <c r="F113" s="16">
        <v>643552.62299927801</v>
      </c>
      <c r="G113" s="16">
        <f t="shared" si="18"/>
        <v>1231.2901411340979</v>
      </c>
      <c r="H113" s="229">
        <f t="shared" si="11"/>
        <v>64.804744270215679</v>
      </c>
      <c r="I113" s="685">
        <f t="shared" si="12"/>
        <v>65.808035309402456</v>
      </c>
      <c r="K113">
        <v>83</v>
      </c>
      <c r="L113" t="s">
        <v>476</v>
      </c>
      <c r="M113">
        <v>6124</v>
      </c>
      <c r="O113" s="16">
        <f t="shared" si="13"/>
        <v>441158.18716678798</v>
      </c>
      <c r="P113" s="16">
        <f t="shared" si="14"/>
        <v>1388.1641955529908</v>
      </c>
      <c r="Q113" s="711">
        <f t="shared" si="15"/>
        <v>63.098372525135943</v>
      </c>
      <c r="R113" s="707">
        <f t="shared" si="16"/>
        <v>70.221857532270818</v>
      </c>
      <c r="S113" s="709">
        <f t="shared" si="17"/>
        <v>69.036387119705708</v>
      </c>
    </row>
    <row r="114" spans="1:19">
      <c r="B114">
        <v>83</v>
      </c>
      <c r="C114" t="s">
        <v>476</v>
      </c>
      <c r="D114" s="177">
        <v>5886</v>
      </c>
      <c r="E114" s="683">
        <v>16064</v>
      </c>
      <c r="F114" s="16">
        <v>441158.18716678798</v>
      </c>
      <c r="G114" s="16">
        <f t="shared" si="18"/>
        <v>1334.2152931131457</v>
      </c>
      <c r="H114" s="229">
        <f t="shared" si="11"/>
        <v>70.221857532270818</v>
      </c>
      <c r="I114" s="685">
        <f t="shared" si="12"/>
        <v>69.036387119705708</v>
      </c>
      <c r="K114">
        <v>62</v>
      </c>
      <c r="L114" t="s">
        <v>478</v>
      </c>
      <c r="M114">
        <v>5771</v>
      </c>
      <c r="O114" s="16">
        <f t="shared" si="13"/>
        <v>643552.62299927801</v>
      </c>
      <c r="P114" s="16">
        <f t="shared" si="14"/>
        <v>896.74096472550229</v>
      </c>
      <c r="Q114" s="711">
        <f t="shared" si="15"/>
        <v>40.760952942068286</v>
      </c>
      <c r="R114" s="707">
        <f t="shared" si="16"/>
        <v>64.804744270215679</v>
      </c>
      <c r="S114" s="709">
        <f t="shared" si="17"/>
        <v>65.808035309402456</v>
      </c>
    </row>
    <row r="115" spans="1:19">
      <c r="O115" s="16"/>
      <c r="P115" s="16"/>
      <c r="Q115" s="16"/>
    </row>
    <row r="117" spans="1:19">
      <c r="A117" s="166" t="s">
        <v>2011</v>
      </c>
      <c r="B117" s="16"/>
      <c r="C117" s="16"/>
      <c r="D117" s="16"/>
    </row>
    <row r="118" spans="1:19" ht="60">
      <c r="A118" s="757"/>
      <c r="B118" s="757" t="s">
        <v>2004</v>
      </c>
      <c r="C118" s="757" t="s">
        <v>509</v>
      </c>
      <c r="D118" s="757" t="s">
        <v>510</v>
      </c>
      <c r="E118" s="757" t="s">
        <v>2005</v>
      </c>
      <c r="F118" s="757" t="s">
        <v>2006</v>
      </c>
      <c r="G118" s="757" t="s">
        <v>2007</v>
      </c>
      <c r="H118" s="757" t="s">
        <v>514</v>
      </c>
      <c r="I118" s="757" t="s">
        <v>515</v>
      </c>
      <c r="J118" s="757" t="s">
        <v>2008</v>
      </c>
      <c r="K118" s="254" t="s">
        <v>2009</v>
      </c>
      <c r="L118" s="254" t="s">
        <v>2010</v>
      </c>
      <c r="M118" s="254" t="s">
        <v>91</v>
      </c>
    </row>
    <row r="119" spans="1:19">
      <c r="A119" s="254" t="s">
        <v>474</v>
      </c>
      <c r="B119" s="835">
        <v>2.0837058968849065</v>
      </c>
      <c r="C119" s="835">
        <v>32.956572858893928</v>
      </c>
      <c r="D119" s="835">
        <v>11.215865924559063</v>
      </c>
      <c r="E119" s="835">
        <v>14.681621651010488</v>
      </c>
      <c r="F119" s="835">
        <v>0.75481182999402219</v>
      </c>
      <c r="G119" s="835">
        <v>2.2325420323766854</v>
      </c>
      <c r="H119" s="835">
        <v>8.0849915029641402</v>
      </c>
      <c r="I119" s="835">
        <v>15.096236599880445</v>
      </c>
      <c r="J119" s="835">
        <v>5.1667401320717579</v>
      </c>
      <c r="K119" s="835">
        <v>258.83667077273884</v>
      </c>
      <c r="L119" s="835">
        <v>11.906890839342323</v>
      </c>
      <c r="M119" s="835">
        <v>363.01665004071663</v>
      </c>
    </row>
    <row r="120" spans="1:19">
      <c r="A120" s="254" t="s">
        <v>2014</v>
      </c>
      <c r="B120" s="835">
        <v>0.98720292765729856</v>
      </c>
      <c r="C120" s="835">
        <v>20.710257163193543</v>
      </c>
      <c r="D120" s="835">
        <v>8.7027889296313639</v>
      </c>
      <c r="E120" s="835">
        <v>7.8626162252421716</v>
      </c>
      <c r="F120" s="835">
        <v>0.41308491299135192</v>
      </c>
      <c r="G120" s="835">
        <v>0.73515111634054153</v>
      </c>
      <c r="H120" s="835">
        <v>4.8940060030670329</v>
      </c>
      <c r="I120" s="835">
        <v>10.124081087889742</v>
      </c>
      <c r="J120" s="835">
        <v>2.9966159789881117</v>
      </c>
      <c r="K120" s="835">
        <v>214.75514468108028</v>
      </c>
      <c r="L120" s="835">
        <v>4.6349527525470329</v>
      </c>
      <c r="M120" s="835">
        <v>276.81590177862842</v>
      </c>
    </row>
    <row r="121" spans="1:19">
      <c r="A121" s="254" t="s">
        <v>2015</v>
      </c>
      <c r="B121" s="835">
        <v>2.3116587702562872</v>
      </c>
      <c r="C121" s="835">
        <v>17.488201131504084</v>
      </c>
      <c r="D121" s="835">
        <v>6.1739954733553022</v>
      </c>
      <c r="E121" s="835">
        <v>8.500012372619393</v>
      </c>
      <c r="F121" s="835">
        <v>0.35177416069117418</v>
      </c>
      <c r="G121" s="835">
        <v>1.0050690305462118</v>
      </c>
      <c r="H121" s="835">
        <v>4.7022872500554911</v>
      </c>
      <c r="I121" s="835">
        <v>8.3492520180374594</v>
      </c>
      <c r="J121" s="835">
        <v>2.4049866088070071</v>
      </c>
      <c r="K121" s="835">
        <v>161.32793753167479</v>
      </c>
      <c r="L121" s="835">
        <v>8.6076983401779152</v>
      </c>
      <c r="M121" s="835">
        <v>221.2228726877251</v>
      </c>
    </row>
    <row r="122" spans="1:19">
      <c r="A122" s="254" t="s">
        <v>1072</v>
      </c>
      <c r="B122" s="835">
        <v>1.9247693544380411</v>
      </c>
      <c r="C122" s="835">
        <v>13.191085975748708</v>
      </c>
      <c r="D122" s="835">
        <v>6.3029780459997715</v>
      </c>
      <c r="E122" s="835">
        <v>7.1550092802310123</v>
      </c>
      <c r="F122" s="835">
        <v>0.80070405144622514</v>
      </c>
      <c r="G122" s="835">
        <v>1.7810532426400008</v>
      </c>
      <c r="H122" s="835">
        <v>6.1028020331382153</v>
      </c>
      <c r="I122" s="835">
        <v>6.3081107642782737</v>
      </c>
      <c r="J122" s="835">
        <v>3.1874180509493963</v>
      </c>
      <c r="K122" s="835">
        <v>133.84076183020363</v>
      </c>
      <c r="L122" s="835">
        <v>8.5973031164899183</v>
      </c>
      <c r="M122" s="835">
        <v>189.19199574556319</v>
      </c>
    </row>
    <row r="123" spans="1:19">
      <c r="A123" s="254" t="s">
        <v>116</v>
      </c>
      <c r="B123" s="835">
        <v>1.6791852580452475</v>
      </c>
      <c r="C123" s="835">
        <v>15.866716551491697</v>
      </c>
      <c r="D123" s="835">
        <v>9.5491780523554262</v>
      </c>
      <c r="E123" s="835">
        <v>7.4137613279733561</v>
      </c>
      <c r="F123" s="835">
        <v>0.32950050346548254</v>
      </c>
      <c r="G123" s="835">
        <v>1.1088959251242199</v>
      </c>
      <c r="H123" s="835">
        <v>3.8082654342837499</v>
      </c>
      <c r="I123" s="835">
        <v>8.6937440529738836</v>
      </c>
      <c r="J123" s="835">
        <v>3.5167842196796695</v>
      </c>
      <c r="K123" s="835">
        <v>105.01561238333539</v>
      </c>
      <c r="L123" s="835">
        <v>5.8042780995073464</v>
      </c>
      <c r="M123" s="835">
        <v>162.78592180823549</v>
      </c>
    </row>
    <row r="124" spans="1:19">
      <c r="A124" s="254" t="s">
        <v>469</v>
      </c>
      <c r="B124" s="835">
        <v>4.6613947269338816</v>
      </c>
      <c r="C124" s="835">
        <v>13.130689371644737</v>
      </c>
      <c r="D124" s="835">
        <v>4.2580949819476501</v>
      </c>
      <c r="E124" s="835">
        <v>6.7716840902339293</v>
      </c>
      <c r="F124" s="835">
        <v>0.68467166009290414</v>
      </c>
      <c r="G124" s="835">
        <v>0.60963914939779129</v>
      </c>
      <c r="H124" s="835">
        <v>3.2357770237267385</v>
      </c>
      <c r="I124" s="835">
        <v>5.0740735357570017</v>
      </c>
      <c r="J124" s="835">
        <v>1.7257477459875938</v>
      </c>
      <c r="K124" s="835">
        <v>98.142523989207518</v>
      </c>
      <c r="L124" s="835">
        <v>11.226739412756249</v>
      </c>
      <c r="M124" s="835">
        <v>149.52103568768601</v>
      </c>
    </row>
    <row r="125" spans="1:19">
      <c r="A125" s="254" t="s">
        <v>472</v>
      </c>
      <c r="B125" s="835">
        <v>2.0813899341004825</v>
      </c>
      <c r="C125" s="835">
        <v>17.935545974888168</v>
      </c>
      <c r="D125" s="835">
        <v>3.9151795786425425</v>
      </c>
      <c r="E125" s="835">
        <v>7.1146395702802723</v>
      </c>
      <c r="F125" s="835">
        <v>0.17022519907141492</v>
      </c>
      <c r="G125" s="835">
        <v>0.64608200556650663</v>
      </c>
      <c r="H125" s="835">
        <v>5.0835434449963453</v>
      </c>
      <c r="I125" s="835">
        <v>5.625169078405392</v>
      </c>
      <c r="J125" s="835">
        <v>2.0156211071865262</v>
      </c>
      <c r="K125" s="835">
        <v>97.922045765831413</v>
      </c>
      <c r="L125" s="835">
        <v>6.0081757763160759</v>
      </c>
      <c r="M125" s="835">
        <v>148.51761743528513</v>
      </c>
    </row>
    <row r="126" spans="1:19">
      <c r="A126" s="254" t="s">
        <v>473</v>
      </c>
      <c r="B126" s="835">
        <v>3.0978967775413477</v>
      </c>
      <c r="C126" s="835">
        <v>21.99340158464166</v>
      </c>
      <c r="D126" s="835">
        <v>4.688483563859621</v>
      </c>
      <c r="E126" s="835">
        <v>6.7620757617300375</v>
      </c>
      <c r="F126" s="835">
        <v>0.34143485989030986</v>
      </c>
      <c r="G126" s="835">
        <v>0.87440634849957388</v>
      </c>
      <c r="H126" s="835">
        <v>3.5559191505649341</v>
      </c>
      <c r="I126" s="835">
        <v>5.4129916811878385</v>
      </c>
      <c r="J126" s="835">
        <v>2.1318859544370565</v>
      </c>
      <c r="K126" s="835">
        <v>90.505220909460661</v>
      </c>
      <c r="L126" s="835">
        <v>5.646166707454392</v>
      </c>
      <c r="M126" s="835">
        <v>145.00988329926744</v>
      </c>
    </row>
    <row r="127" spans="1:19">
      <c r="A127" s="254" t="s">
        <v>1929</v>
      </c>
      <c r="B127" s="835">
        <v>2.1042457410161481</v>
      </c>
      <c r="C127" s="835">
        <v>15.999323529039822</v>
      </c>
      <c r="D127" s="835">
        <v>4.5484574436741854</v>
      </c>
      <c r="E127" s="835">
        <v>5.7412400853737147</v>
      </c>
      <c r="F127" s="835">
        <v>0.47054587952320753</v>
      </c>
      <c r="G127" s="835">
        <v>1.0980931106043044</v>
      </c>
      <c r="H127" s="835">
        <v>4.5614390729372412</v>
      </c>
      <c r="I127" s="835">
        <v>6.6432342315808111</v>
      </c>
      <c r="J127" s="835">
        <v>1.8389623288993642</v>
      </c>
      <c r="K127" s="835">
        <v>91.722236095791061</v>
      </c>
      <c r="L127" s="835">
        <v>7.17853553236914</v>
      </c>
      <c r="M127" s="835">
        <v>141.90631305080902</v>
      </c>
    </row>
    <row r="128" spans="1:19">
      <c r="A128" s="254" t="s">
        <v>470</v>
      </c>
      <c r="B128" s="835">
        <v>0.92599635335992891</v>
      </c>
      <c r="C128" s="835">
        <v>20.310186683694443</v>
      </c>
      <c r="D128" s="835">
        <v>3.426186507431737</v>
      </c>
      <c r="E128" s="835">
        <v>4.3830494059036633</v>
      </c>
      <c r="F128" s="835">
        <v>0.26236563345197988</v>
      </c>
      <c r="G128" s="835">
        <v>0.46299817667996446</v>
      </c>
      <c r="H128" s="835">
        <v>3.3721700534857408</v>
      </c>
      <c r="I128" s="835">
        <v>4.5219488589076526</v>
      </c>
      <c r="J128" s="835">
        <v>0.96457953474992597</v>
      </c>
      <c r="K128" s="835">
        <v>91.403556712902983</v>
      </c>
      <c r="L128" s="835">
        <v>4.4679324049616573</v>
      </c>
      <c r="M128" s="835">
        <v>134.50097032552966</v>
      </c>
    </row>
    <row r="129" spans="1:13">
      <c r="A129" s="254" t="s">
        <v>2013</v>
      </c>
      <c r="B129" s="835">
        <v>0.91112289403812052</v>
      </c>
      <c r="C129" s="835">
        <v>9.4924130082951113</v>
      </c>
      <c r="D129" s="835">
        <v>3.1424442671927011</v>
      </c>
      <c r="E129" s="835">
        <v>4.5184257806380259</v>
      </c>
      <c r="F129" s="835">
        <v>0.39048124030205161</v>
      </c>
      <c r="G129" s="835">
        <v>1.4875475821030539</v>
      </c>
      <c r="H129" s="835">
        <v>5.2436052269132647</v>
      </c>
      <c r="I129" s="835">
        <v>3.737463300033923</v>
      </c>
      <c r="J129" s="835">
        <v>2.4823450276344712</v>
      </c>
      <c r="K129" s="835">
        <v>91.465581954561529</v>
      </c>
      <c r="L129" s="835">
        <v>6.2569970172209706</v>
      </c>
      <c r="M129" s="835">
        <v>129.12842729893322</v>
      </c>
    </row>
    <row r="130" spans="1:13">
      <c r="A130" s="254" t="s">
        <v>2016</v>
      </c>
      <c r="B130" s="835">
        <v>2.9759170145501859</v>
      </c>
      <c r="C130" s="835">
        <v>16.430525950704336</v>
      </c>
      <c r="D130" s="835">
        <v>9.6992850844598664</v>
      </c>
      <c r="E130" s="835">
        <v>5.5975581940348738</v>
      </c>
      <c r="F130" s="835">
        <v>0.18894711203493245</v>
      </c>
      <c r="G130" s="835">
        <v>0.38576702040465372</v>
      </c>
      <c r="H130" s="835">
        <v>4.7787873752168331</v>
      </c>
      <c r="I130" s="835">
        <v>4.3772747621426014</v>
      </c>
      <c r="J130" s="835">
        <v>2.0862910287190459</v>
      </c>
      <c r="K130" s="835">
        <v>69.989159416272898</v>
      </c>
      <c r="L130" s="835">
        <v>5.4558478600086753</v>
      </c>
      <c r="M130" s="835">
        <v>121.9653608185489</v>
      </c>
    </row>
    <row r="131" spans="1:13">
      <c r="A131" s="254" t="s">
        <v>468</v>
      </c>
      <c r="B131" s="835">
        <v>1.2997301999716648</v>
      </c>
      <c r="C131" s="835">
        <v>10.275403247602075</v>
      </c>
      <c r="D131" s="835">
        <v>3.343508847753196</v>
      </c>
      <c r="E131" s="835">
        <v>5.0953191172802228</v>
      </c>
      <c r="F131" s="835">
        <v>0.76288511737467291</v>
      </c>
      <c r="G131" s="835">
        <v>0.9512518130227402</v>
      </c>
      <c r="H131" s="835">
        <v>2.401675369512859</v>
      </c>
      <c r="I131" s="835">
        <v>3.8426805912205739</v>
      </c>
      <c r="J131" s="835">
        <v>2.175635334735178</v>
      </c>
      <c r="K131" s="835">
        <v>78.709023776544967</v>
      </c>
      <c r="L131" s="835">
        <v>3.8426805912205739</v>
      </c>
      <c r="M131" s="835">
        <v>112.69979400623872</v>
      </c>
    </row>
    <row r="132" spans="1:13">
      <c r="A132" s="254" t="s">
        <v>477</v>
      </c>
      <c r="B132" s="835">
        <v>3.6446545394477767</v>
      </c>
      <c r="C132" s="835">
        <v>12.543531866728896</v>
      </c>
      <c r="D132" s="835">
        <v>2.5531082560598644</v>
      </c>
      <c r="E132" s="835">
        <v>9.2318914476367553</v>
      </c>
      <c r="F132" s="835">
        <v>7.4003137856807663E-2</v>
      </c>
      <c r="G132" s="835">
        <v>0.55502353392605741</v>
      </c>
      <c r="H132" s="835">
        <v>6.1977627955076402</v>
      </c>
      <c r="I132" s="835">
        <v>4.2181788578380361</v>
      </c>
      <c r="J132" s="835">
        <v>1.4430611882077491</v>
      </c>
      <c r="K132" s="835">
        <v>51.617188655123329</v>
      </c>
      <c r="L132" s="835">
        <v>5.4207298480111596</v>
      </c>
      <c r="M132" s="835">
        <v>97.499134126344075</v>
      </c>
    </row>
    <row r="133" spans="1:13">
      <c r="A133" s="254" t="s">
        <v>476</v>
      </c>
      <c r="B133" s="835">
        <v>0.57699360898230134</v>
      </c>
      <c r="C133" s="835">
        <v>14.775157772868216</v>
      </c>
      <c r="D133" s="835">
        <v>2.1225122044706084</v>
      </c>
      <c r="E133" s="835">
        <v>3.2868028797384663</v>
      </c>
      <c r="F133" s="835">
        <v>0.1030345730325538</v>
      </c>
      <c r="G133" s="835">
        <v>0.36062100561393834</v>
      </c>
      <c r="H133" s="835">
        <v>1.4115736505459873</v>
      </c>
      <c r="I133" s="835">
        <v>2.4110090089617588</v>
      </c>
      <c r="J133" s="835">
        <v>1.3497529067264549</v>
      </c>
      <c r="K133" s="835">
        <v>32.86802879738466</v>
      </c>
      <c r="L133" s="835">
        <v>3.8328861168110011</v>
      </c>
      <c r="M133" s="835">
        <v>63.09837252513595</v>
      </c>
    </row>
    <row r="134" spans="1:13">
      <c r="A134" s="254" t="s">
        <v>478</v>
      </c>
      <c r="B134" s="835">
        <v>4.1107043168053616</v>
      </c>
      <c r="C134" s="835">
        <v>6.8299846638329633</v>
      </c>
      <c r="D134" s="835">
        <v>2.5215145036074125</v>
      </c>
      <c r="E134" s="835">
        <v>2.0836044217484222</v>
      </c>
      <c r="F134" s="835">
        <v>0</v>
      </c>
      <c r="G134" s="835">
        <v>0.35315329182176641</v>
      </c>
      <c r="H134" s="835">
        <v>2.2036765409678227</v>
      </c>
      <c r="I134" s="835">
        <v>1.8787755124917973</v>
      </c>
      <c r="J134" s="835">
        <v>0.44497314769542573</v>
      </c>
      <c r="K134" s="835">
        <v>17.791862841980592</v>
      </c>
      <c r="L134" s="835">
        <v>2.5427037011167184</v>
      </c>
      <c r="M134" s="835">
        <v>40.760952942068286</v>
      </c>
    </row>
  </sheetData>
  <sortState ref="K99:S114">
    <sortCondition descending="1" ref="Q99:Q114"/>
  </sortState>
  <mergeCells count="2">
    <mergeCell ref="A39:E39"/>
    <mergeCell ref="A1:L2"/>
  </mergeCells>
  <hyperlinks>
    <hyperlink ref="K57" r:id="rId1"/>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419"/>
  <sheetViews>
    <sheetView workbookViewId="0">
      <selection activeCell="A24" sqref="A24:U31"/>
    </sheetView>
  </sheetViews>
  <sheetFormatPr baseColWidth="10" defaultColWidth="10.28515625" defaultRowHeight="15"/>
  <cols>
    <col min="8" max="8" width="99.5703125" customWidth="1"/>
  </cols>
  <sheetData>
    <row r="1" spans="2:13">
      <c r="B1" t="s">
        <v>1769</v>
      </c>
      <c r="C1" t="s">
        <v>1772</v>
      </c>
      <c r="D1" t="s">
        <v>1771</v>
      </c>
      <c r="E1" t="s">
        <v>1770</v>
      </c>
      <c r="F1" t="s">
        <v>1801</v>
      </c>
      <c r="G1" t="s">
        <v>205</v>
      </c>
      <c r="H1" t="s">
        <v>1773</v>
      </c>
      <c r="I1" t="s">
        <v>1774</v>
      </c>
      <c r="J1" t="s">
        <v>1775</v>
      </c>
      <c r="K1" t="s">
        <v>1776</v>
      </c>
      <c r="L1" t="s">
        <v>1777</v>
      </c>
      <c r="M1" t="s">
        <v>1778</v>
      </c>
    </row>
    <row r="2" spans="2:13">
      <c r="B2" t="s">
        <v>150</v>
      </c>
      <c r="C2">
        <f t="shared" ref="C2:C33" si="0">RANK(I2,$I$2:$I$153,0)</f>
        <v>1</v>
      </c>
      <c r="D2" t="str">
        <f t="shared" ref="D2:D65" si="1">CONCATENATE(E2,C2)</f>
        <v>ROUEN1</v>
      </c>
      <c r="E2" t="s">
        <v>151</v>
      </c>
      <c r="F2" t="str">
        <f>D2</f>
        <v>ROUEN1</v>
      </c>
      <c r="G2" t="s">
        <v>225</v>
      </c>
      <c r="H2" t="s">
        <v>1779</v>
      </c>
      <c r="I2" s="16">
        <v>802.21</v>
      </c>
      <c r="J2" s="16">
        <v>7.81</v>
      </c>
      <c r="K2" s="16">
        <v>65.540000000000006</v>
      </c>
      <c r="L2" s="159">
        <f>J2/$I2</f>
        <v>9.7356053901098208E-3</v>
      </c>
      <c r="M2" s="159">
        <f>K2/$I2</f>
        <v>8.1699305668091901E-2</v>
      </c>
    </row>
    <row r="3" spans="2:13">
      <c r="B3" t="s">
        <v>150</v>
      </c>
      <c r="C3">
        <f t="shared" si="0"/>
        <v>2</v>
      </c>
      <c r="D3" t="str">
        <f t="shared" si="1"/>
        <v>ROUEN2</v>
      </c>
      <c r="E3" t="s">
        <v>151</v>
      </c>
      <c r="F3" t="str">
        <f t="shared" ref="F3:F66" si="2">D3</f>
        <v>ROUEN2</v>
      </c>
      <c r="G3" t="s">
        <v>211</v>
      </c>
      <c r="H3" t="s">
        <v>908</v>
      </c>
      <c r="I3" s="16">
        <v>373.01</v>
      </c>
      <c r="J3" s="16">
        <v>120.31</v>
      </c>
      <c r="K3" s="16">
        <v>304.97000000000003</v>
      </c>
      <c r="L3" s="159">
        <f t="shared" ref="L3:M66" si="3">J3/$I3</f>
        <v>0.3225382697514812</v>
      </c>
      <c r="M3" s="159">
        <f t="shared" si="3"/>
        <v>0.81759202166161771</v>
      </c>
    </row>
    <row r="4" spans="2:13">
      <c r="B4" t="s">
        <v>150</v>
      </c>
      <c r="C4">
        <f t="shared" si="0"/>
        <v>3</v>
      </c>
      <c r="D4" t="str">
        <f t="shared" si="1"/>
        <v>ROUEN3</v>
      </c>
      <c r="E4" t="s">
        <v>151</v>
      </c>
      <c r="F4" t="str">
        <f t="shared" si="2"/>
        <v>ROUEN3</v>
      </c>
      <c r="G4" t="s">
        <v>216</v>
      </c>
      <c r="H4" t="s">
        <v>910</v>
      </c>
      <c r="I4" s="16">
        <v>361.34</v>
      </c>
      <c r="J4" s="16">
        <v>337.69</v>
      </c>
      <c r="K4" s="16">
        <v>137.49</v>
      </c>
      <c r="L4" s="159">
        <f t="shared" si="3"/>
        <v>0.93454917805944548</v>
      </c>
      <c r="M4" s="159">
        <f t="shared" si="3"/>
        <v>0.38050035977196001</v>
      </c>
    </row>
    <row r="5" spans="2:13">
      <c r="B5" t="s">
        <v>150</v>
      </c>
      <c r="C5">
        <f t="shared" si="0"/>
        <v>4</v>
      </c>
      <c r="D5" t="str">
        <f t="shared" si="1"/>
        <v>ROUEN4</v>
      </c>
      <c r="E5" t="s">
        <v>151</v>
      </c>
      <c r="F5" t="str">
        <f t="shared" si="2"/>
        <v>ROUEN4</v>
      </c>
      <c r="G5" t="s">
        <v>208</v>
      </c>
      <c r="H5" t="s">
        <v>907</v>
      </c>
      <c r="I5" s="16">
        <v>313.51</v>
      </c>
      <c r="J5" s="16">
        <v>182.44</v>
      </c>
      <c r="K5" s="16">
        <v>46.71</v>
      </c>
      <c r="L5" s="159">
        <f t="shared" si="3"/>
        <v>0.58192721125322955</v>
      </c>
      <c r="M5" s="159">
        <f t="shared" si="3"/>
        <v>0.14899046282415235</v>
      </c>
    </row>
    <row r="6" spans="2:13">
      <c r="B6" t="s">
        <v>150</v>
      </c>
      <c r="C6">
        <f t="shared" si="0"/>
        <v>5</v>
      </c>
      <c r="D6" t="str">
        <f t="shared" si="1"/>
        <v>ROUEN5</v>
      </c>
      <c r="E6" t="s">
        <v>151</v>
      </c>
      <c r="F6" t="str">
        <f t="shared" si="2"/>
        <v>ROUEN5</v>
      </c>
      <c r="G6" t="s">
        <v>332</v>
      </c>
      <c r="H6" t="s">
        <v>940</v>
      </c>
      <c r="I6" s="16">
        <v>302.7</v>
      </c>
      <c r="J6" s="16">
        <v>0</v>
      </c>
      <c r="K6" s="16">
        <v>2.7</v>
      </c>
      <c r="L6" s="159">
        <f t="shared" si="3"/>
        <v>0</v>
      </c>
      <c r="M6" s="159">
        <f t="shared" si="3"/>
        <v>8.9197224975223009E-3</v>
      </c>
    </row>
    <row r="7" spans="2:13">
      <c r="B7" t="s">
        <v>150</v>
      </c>
      <c r="C7">
        <f t="shared" si="0"/>
        <v>6</v>
      </c>
      <c r="D7" t="str">
        <f t="shared" si="1"/>
        <v>ROUEN6</v>
      </c>
      <c r="E7" t="s">
        <v>151</v>
      </c>
      <c r="F7" t="str">
        <f t="shared" si="2"/>
        <v>ROUEN6</v>
      </c>
      <c r="G7" t="s">
        <v>207</v>
      </c>
      <c r="H7" t="s">
        <v>906</v>
      </c>
      <c r="I7" s="16">
        <v>265.93</v>
      </c>
      <c r="J7" s="16">
        <v>69.98</v>
      </c>
      <c r="K7" s="16">
        <v>73.819999999999993</v>
      </c>
      <c r="L7" s="159">
        <f t="shared" si="3"/>
        <v>0.26315195728199153</v>
      </c>
      <c r="M7" s="159">
        <f t="shared" si="3"/>
        <v>0.27759184747865978</v>
      </c>
    </row>
    <row r="8" spans="2:13">
      <c r="B8" t="s">
        <v>150</v>
      </c>
      <c r="C8">
        <f t="shared" si="0"/>
        <v>7</v>
      </c>
      <c r="D8" t="str">
        <f t="shared" si="1"/>
        <v>ROUEN7</v>
      </c>
      <c r="E8" t="s">
        <v>151</v>
      </c>
      <c r="F8" t="str">
        <f t="shared" si="2"/>
        <v>ROUEN7</v>
      </c>
      <c r="G8" t="s">
        <v>234</v>
      </c>
      <c r="H8" t="s">
        <v>923</v>
      </c>
      <c r="I8" s="16">
        <v>244.57</v>
      </c>
      <c r="J8" s="16">
        <v>50.38</v>
      </c>
      <c r="K8" s="16">
        <v>18.38</v>
      </c>
      <c r="L8" s="159">
        <f t="shared" si="3"/>
        <v>0.20599419389131948</v>
      </c>
      <c r="M8" s="159">
        <f t="shared" si="3"/>
        <v>7.5152308132640955E-2</v>
      </c>
    </row>
    <row r="9" spans="2:13">
      <c r="B9" t="s">
        <v>150</v>
      </c>
      <c r="C9">
        <f t="shared" si="0"/>
        <v>8</v>
      </c>
      <c r="D9" t="str">
        <f t="shared" si="1"/>
        <v>ROUEN8</v>
      </c>
      <c r="E9" t="s">
        <v>151</v>
      </c>
      <c r="F9" t="str">
        <f t="shared" si="2"/>
        <v>ROUEN8</v>
      </c>
      <c r="G9" t="s">
        <v>242</v>
      </c>
      <c r="H9" t="s">
        <v>243</v>
      </c>
      <c r="I9" s="16">
        <v>208.16</v>
      </c>
      <c r="J9" s="16">
        <v>0</v>
      </c>
      <c r="K9" s="16">
        <v>28.16</v>
      </c>
      <c r="L9" s="159">
        <f t="shared" si="3"/>
        <v>0</v>
      </c>
      <c r="M9" s="159">
        <f t="shared" si="3"/>
        <v>0.13528055342044581</v>
      </c>
    </row>
    <row r="10" spans="2:13">
      <c r="B10" t="s">
        <v>150</v>
      </c>
      <c r="C10">
        <f t="shared" si="0"/>
        <v>9</v>
      </c>
      <c r="D10" t="str">
        <f t="shared" si="1"/>
        <v>ROUEN9</v>
      </c>
      <c r="E10" t="s">
        <v>151</v>
      </c>
      <c r="F10" t="str">
        <f t="shared" si="2"/>
        <v>ROUEN9</v>
      </c>
      <c r="G10" t="s">
        <v>228</v>
      </c>
      <c r="H10" t="s">
        <v>1780</v>
      </c>
      <c r="I10" s="16">
        <v>173.12</v>
      </c>
      <c r="J10" s="16">
        <v>71.47</v>
      </c>
      <c r="K10" s="16">
        <v>0</v>
      </c>
      <c r="L10" s="159">
        <f t="shared" si="3"/>
        <v>0.41283502772643249</v>
      </c>
      <c r="M10" s="159">
        <f t="shared" si="3"/>
        <v>0</v>
      </c>
    </row>
    <row r="11" spans="2:13">
      <c r="B11" t="s">
        <v>150</v>
      </c>
      <c r="C11">
        <f t="shared" si="0"/>
        <v>10</v>
      </c>
      <c r="D11" t="str">
        <f t="shared" si="1"/>
        <v>ROUEN10</v>
      </c>
      <c r="E11" t="s">
        <v>151</v>
      </c>
      <c r="F11" t="str">
        <f t="shared" si="2"/>
        <v>ROUEN10</v>
      </c>
      <c r="G11" t="s">
        <v>220</v>
      </c>
      <c r="H11" t="s">
        <v>913</v>
      </c>
      <c r="I11" s="16">
        <v>163.69999999999999</v>
      </c>
      <c r="J11" s="16">
        <v>3.48</v>
      </c>
      <c r="K11" s="16">
        <v>75.459999999999994</v>
      </c>
      <c r="L11" s="159">
        <f t="shared" si="3"/>
        <v>2.1258399511301162E-2</v>
      </c>
      <c r="M11" s="159">
        <f t="shared" si="3"/>
        <v>0.460965180207697</v>
      </c>
    </row>
    <row r="12" spans="2:13">
      <c r="B12" t="s">
        <v>150</v>
      </c>
      <c r="C12">
        <f t="shared" si="0"/>
        <v>11</v>
      </c>
      <c r="D12" t="str">
        <f t="shared" si="1"/>
        <v>ROUEN11</v>
      </c>
      <c r="E12" t="s">
        <v>151</v>
      </c>
      <c r="F12" t="str">
        <f t="shared" si="2"/>
        <v>ROUEN11</v>
      </c>
      <c r="G12" t="s">
        <v>232</v>
      </c>
      <c r="H12" t="s">
        <v>922</v>
      </c>
      <c r="I12" s="16">
        <v>155.94999999999999</v>
      </c>
      <c r="J12" s="16">
        <v>12.81</v>
      </c>
      <c r="K12" s="16">
        <v>0</v>
      </c>
      <c r="L12" s="159">
        <f t="shared" si="3"/>
        <v>8.2141712087207441E-2</v>
      </c>
      <c r="M12" s="159">
        <f t="shared" si="3"/>
        <v>0</v>
      </c>
    </row>
    <row r="13" spans="2:13">
      <c r="B13" t="s">
        <v>150</v>
      </c>
      <c r="C13">
        <f t="shared" si="0"/>
        <v>12</v>
      </c>
      <c r="D13" t="str">
        <f t="shared" si="1"/>
        <v>ROUEN12</v>
      </c>
      <c r="E13" t="s">
        <v>151</v>
      </c>
      <c r="F13" t="str">
        <f t="shared" si="2"/>
        <v>ROUEN12</v>
      </c>
      <c r="G13" t="s">
        <v>290</v>
      </c>
      <c r="H13" t="s">
        <v>291</v>
      </c>
      <c r="I13" s="16">
        <v>153.62</v>
      </c>
      <c r="J13" s="16">
        <v>80</v>
      </c>
      <c r="K13" s="16">
        <v>12.81</v>
      </c>
      <c r="L13" s="159">
        <f t="shared" si="3"/>
        <v>0.52076552532222364</v>
      </c>
      <c r="M13" s="159">
        <f t="shared" si="3"/>
        <v>8.3387579742221066E-2</v>
      </c>
    </row>
    <row r="14" spans="2:13">
      <c r="B14" t="s">
        <v>150</v>
      </c>
      <c r="C14">
        <f t="shared" si="0"/>
        <v>13</v>
      </c>
      <c r="D14" t="str">
        <f t="shared" si="1"/>
        <v>ROUEN13</v>
      </c>
      <c r="E14" t="s">
        <v>151</v>
      </c>
      <c r="F14" t="str">
        <f t="shared" si="2"/>
        <v>ROUEN13</v>
      </c>
      <c r="G14" t="s">
        <v>251</v>
      </c>
      <c r="H14" t="s">
        <v>929</v>
      </c>
      <c r="I14" s="16">
        <v>150.16999999999999</v>
      </c>
      <c r="J14" s="16">
        <v>96.59</v>
      </c>
      <c r="K14" s="16">
        <v>27.17</v>
      </c>
      <c r="L14" s="159">
        <f t="shared" si="3"/>
        <v>0.64320436838249995</v>
      </c>
      <c r="M14" s="159">
        <f t="shared" si="3"/>
        <v>0.18092828128121466</v>
      </c>
    </row>
    <row r="15" spans="2:13">
      <c r="B15" t="s">
        <v>150</v>
      </c>
      <c r="C15">
        <f t="shared" si="0"/>
        <v>14</v>
      </c>
      <c r="D15" t="str">
        <f t="shared" si="1"/>
        <v>ROUEN14</v>
      </c>
      <c r="E15" t="s">
        <v>151</v>
      </c>
      <c r="F15" t="str">
        <f t="shared" si="2"/>
        <v>ROUEN14</v>
      </c>
      <c r="G15" t="s">
        <v>209</v>
      </c>
      <c r="H15" t="s">
        <v>210</v>
      </c>
      <c r="I15" s="16">
        <v>139.58000000000001</v>
      </c>
      <c r="J15" s="16">
        <v>55.51</v>
      </c>
      <c r="K15" s="16">
        <v>117.06</v>
      </c>
      <c r="L15" s="159">
        <f t="shared" si="3"/>
        <v>0.39769307923771308</v>
      </c>
      <c r="M15" s="159">
        <f t="shared" si="3"/>
        <v>0.83865883364378846</v>
      </c>
    </row>
    <row r="16" spans="2:13">
      <c r="B16" t="s">
        <v>150</v>
      </c>
      <c r="C16">
        <f t="shared" si="0"/>
        <v>15</v>
      </c>
      <c r="D16" t="str">
        <f t="shared" si="1"/>
        <v>ROUEN15</v>
      </c>
      <c r="E16" t="s">
        <v>151</v>
      </c>
      <c r="F16" t="str">
        <f t="shared" si="2"/>
        <v>ROUEN15</v>
      </c>
      <c r="G16" t="s">
        <v>224</v>
      </c>
      <c r="H16" t="s">
        <v>917</v>
      </c>
      <c r="I16" s="16">
        <v>139.25</v>
      </c>
      <c r="J16" s="16">
        <v>23.39</v>
      </c>
      <c r="K16" s="16">
        <v>18.04</v>
      </c>
      <c r="L16" s="159">
        <f t="shared" si="3"/>
        <v>0.16797127468581688</v>
      </c>
      <c r="M16" s="159">
        <f t="shared" si="3"/>
        <v>0.12955116696588867</v>
      </c>
    </row>
    <row r="17" spans="2:13">
      <c r="B17" t="s">
        <v>150</v>
      </c>
      <c r="C17">
        <f t="shared" si="0"/>
        <v>16</v>
      </c>
      <c r="D17" t="str">
        <f t="shared" si="1"/>
        <v>ROUEN16</v>
      </c>
      <c r="E17" t="s">
        <v>151</v>
      </c>
      <c r="F17" t="str">
        <f t="shared" si="2"/>
        <v>ROUEN16</v>
      </c>
      <c r="G17" t="s">
        <v>219</v>
      </c>
      <c r="H17" t="s">
        <v>912</v>
      </c>
      <c r="I17" s="16">
        <v>139.09</v>
      </c>
      <c r="J17" s="16">
        <v>7.24</v>
      </c>
      <c r="K17" s="16">
        <v>0</v>
      </c>
      <c r="L17" s="159">
        <f t="shared" si="3"/>
        <v>5.2052627794952906E-2</v>
      </c>
      <c r="M17" s="159">
        <f t="shared" si="3"/>
        <v>0</v>
      </c>
    </row>
    <row r="18" spans="2:13">
      <c r="B18" t="s">
        <v>150</v>
      </c>
      <c r="C18">
        <f t="shared" si="0"/>
        <v>17</v>
      </c>
      <c r="D18" t="str">
        <f t="shared" si="1"/>
        <v>ROUEN17</v>
      </c>
      <c r="E18" t="s">
        <v>151</v>
      </c>
      <c r="F18" t="str">
        <f t="shared" si="2"/>
        <v>ROUEN17</v>
      </c>
      <c r="G18" t="s">
        <v>354</v>
      </c>
      <c r="H18" t="s">
        <v>942</v>
      </c>
      <c r="I18" s="16">
        <v>132</v>
      </c>
      <c r="J18" s="16">
        <v>55.99</v>
      </c>
      <c r="K18" s="16">
        <v>12.53</v>
      </c>
      <c r="L18" s="159">
        <f t="shared" si="3"/>
        <v>0.42416666666666669</v>
      </c>
      <c r="M18" s="159">
        <f t="shared" si="3"/>
        <v>9.4924242424242425E-2</v>
      </c>
    </row>
    <row r="19" spans="2:13">
      <c r="B19" t="s">
        <v>150</v>
      </c>
      <c r="C19">
        <f t="shared" si="0"/>
        <v>18</v>
      </c>
      <c r="D19" t="str">
        <f t="shared" si="1"/>
        <v>ROUEN18</v>
      </c>
      <c r="E19" t="s">
        <v>151</v>
      </c>
      <c r="F19" t="str">
        <f t="shared" si="2"/>
        <v>ROUEN18</v>
      </c>
      <c r="G19" t="s">
        <v>229</v>
      </c>
      <c r="H19" t="s">
        <v>921</v>
      </c>
      <c r="I19" s="16">
        <v>120.07</v>
      </c>
      <c r="J19" s="16">
        <v>14.44</v>
      </c>
      <c r="K19" s="16">
        <v>26.2</v>
      </c>
      <c r="L19" s="159">
        <f t="shared" si="3"/>
        <v>0.12026317981177646</v>
      </c>
      <c r="M19" s="159">
        <f t="shared" si="3"/>
        <v>0.21820604647289082</v>
      </c>
    </row>
    <row r="20" spans="2:13">
      <c r="B20" t="s">
        <v>150</v>
      </c>
      <c r="C20">
        <f t="shared" si="0"/>
        <v>19</v>
      </c>
      <c r="D20" t="str">
        <f t="shared" si="1"/>
        <v>ROUEN19</v>
      </c>
      <c r="E20" t="s">
        <v>151</v>
      </c>
      <c r="F20" t="str">
        <f t="shared" si="2"/>
        <v>ROUEN19</v>
      </c>
      <c r="G20" t="s">
        <v>325</v>
      </c>
      <c r="H20" t="s">
        <v>938</v>
      </c>
      <c r="I20" s="16">
        <v>110.69</v>
      </c>
      <c r="J20" s="16">
        <v>18.29</v>
      </c>
      <c r="K20" s="16">
        <v>67.03</v>
      </c>
      <c r="L20" s="159">
        <f t="shared" si="3"/>
        <v>0.1652362453699521</v>
      </c>
      <c r="M20" s="159">
        <f t="shared" si="3"/>
        <v>0.6055650916975337</v>
      </c>
    </row>
    <row r="21" spans="2:13">
      <c r="B21" t="s">
        <v>150</v>
      </c>
      <c r="C21">
        <f t="shared" si="0"/>
        <v>20</v>
      </c>
      <c r="D21" t="str">
        <f t="shared" si="1"/>
        <v>ROUEN20</v>
      </c>
      <c r="E21" t="s">
        <v>151</v>
      </c>
      <c r="F21" t="str">
        <f t="shared" si="2"/>
        <v>ROUEN20</v>
      </c>
      <c r="G21" t="s">
        <v>298</v>
      </c>
      <c r="H21" t="s">
        <v>1781</v>
      </c>
      <c r="I21" s="16">
        <v>106.08</v>
      </c>
      <c r="J21" s="16">
        <v>38.68</v>
      </c>
      <c r="K21" s="16">
        <v>0</v>
      </c>
      <c r="L21" s="159">
        <f t="shared" si="3"/>
        <v>0.36463046757164402</v>
      </c>
      <c r="M21" s="159">
        <f t="shared" si="3"/>
        <v>0</v>
      </c>
    </row>
    <row r="22" spans="2:13">
      <c r="B22" t="s">
        <v>150</v>
      </c>
      <c r="C22">
        <f t="shared" si="0"/>
        <v>21</v>
      </c>
      <c r="D22" t="str">
        <f t="shared" si="1"/>
        <v>ROUEN21</v>
      </c>
      <c r="E22" t="s">
        <v>151</v>
      </c>
      <c r="F22" t="str">
        <f t="shared" si="2"/>
        <v>ROUEN21</v>
      </c>
      <c r="G22" t="s">
        <v>345</v>
      </c>
      <c r="H22" t="s">
        <v>1782</v>
      </c>
      <c r="I22" s="16">
        <v>104.53</v>
      </c>
      <c r="J22" s="16">
        <v>17.32</v>
      </c>
      <c r="K22" s="16">
        <v>0</v>
      </c>
      <c r="L22" s="159">
        <f t="shared" si="3"/>
        <v>0.16569405912178323</v>
      </c>
      <c r="M22" s="159">
        <f t="shared" si="3"/>
        <v>0</v>
      </c>
    </row>
    <row r="23" spans="2:13">
      <c r="B23" t="s">
        <v>150</v>
      </c>
      <c r="C23">
        <f t="shared" si="0"/>
        <v>22</v>
      </c>
      <c r="D23" t="str">
        <f t="shared" si="1"/>
        <v>ROUEN22</v>
      </c>
      <c r="E23" t="s">
        <v>151</v>
      </c>
      <c r="F23" t="str">
        <f t="shared" si="2"/>
        <v>ROUEN22</v>
      </c>
      <c r="G23" t="s">
        <v>218</v>
      </c>
      <c r="H23" t="s">
        <v>911</v>
      </c>
      <c r="I23" s="16">
        <v>102.85</v>
      </c>
      <c r="J23" s="16">
        <v>0</v>
      </c>
      <c r="K23" s="16">
        <v>8</v>
      </c>
      <c r="L23" s="159">
        <f t="shared" si="3"/>
        <v>0</v>
      </c>
      <c r="M23" s="159">
        <f t="shared" si="3"/>
        <v>7.7783179387457463E-2</v>
      </c>
    </row>
    <row r="24" spans="2:13">
      <c r="B24" t="s">
        <v>150</v>
      </c>
      <c r="C24">
        <f t="shared" si="0"/>
        <v>23</v>
      </c>
      <c r="D24" t="str">
        <f t="shared" si="1"/>
        <v>ROUEN23</v>
      </c>
      <c r="E24" t="s">
        <v>151</v>
      </c>
      <c r="F24" t="str">
        <f t="shared" si="2"/>
        <v>ROUEN23</v>
      </c>
      <c r="G24" t="s">
        <v>340</v>
      </c>
      <c r="H24" t="s">
        <v>945</v>
      </c>
      <c r="I24" s="16">
        <v>100.52</v>
      </c>
      <c r="J24" s="16">
        <v>33.22</v>
      </c>
      <c r="K24" s="16">
        <v>0</v>
      </c>
      <c r="L24" s="159">
        <f t="shared" si="3"/>
        <v>0.33048149621965778</v>
      </c>
      <c r="M24" s="159">
        <f t="shared" si="3"/>
        <v>0</v>
      </c>
    </row>
    <row r="25" spans="2:13">
      <c r="B25" t="s">
        <v>150</v>
      </c>
      <c r="C25">
        <f t="shared" si="0"/>
        <v>24</v>
      </c>
      <c r="D25" t="str">
        <f t="shared" si="1"/>
        <v>ROUEN24</v>
      </c>
      <c r="E25" t="s">
        <v>151</v>
      </c>
      <c r="F25" t="str">
        <f t="shared" si="2"/>
        <v>ROUEN24</v>
      </c>
      <c r="G25" t="s">
        <v>213</v>
      </c>
      <c r="H25" t="s">
        <v>919</v>
      </c>
      <c r="I25" s="16">
        <v>100.24</v>
      </c>
      <c r="J25" s="16">
        <v>26.99</v>
      </c>
      <c r="K25" s="16">
        <v>28.89</v>
      </c>
      <c r="L25" s="159">
        <f t="shared" si="3"/>
        <v>0.2692537909018356</v>
      </c>
      <c r="M25" s="159">
        <f t="shared" si="3"/>
        <v>0.28820830007980847</v>
      </c>
    </row>
    <row r="26" spans="2:13">
      <c r="B26" t="s">
        <v>150</v>
      </c>
      <c r="C26">
        <f t="shared" si="0"/>
        <v>25</v>
      </c>
      <c r="D26" t="str">
        <f t="shared" si="1"/>
        <v>ROUEN25</v>
      </c>
      <c r="E26" t="s">
        <v>151</v>
      </c>
      <c r="F26" t="str">
        <f t="shared" si="2"/>
        <v>ROUEN25</v>
      </c>
      <c r="G26" t="s">
        <v>214</v>
      </c>
      <c r="H26" t="s">
        <v>215</v>
      </c>
      <c r="I26" s="16">
        <v>99.31</v>
      </c>
      <c r="J26" s="16">
        <v>41.16</v>
      </c>
      <c r="K26" s="16">
        <v>28.33</v>
      </c>
      <c r="L26" s="159">
        <f t="shared" si="3"/>
        <v>0.41445977242976534</v>
      </c>
      <c r="M26" s="159">
        <f t="shared" si="3"/>
        <v>0.28526835162622088</v>
      </c>
    </row>
    <row r="27" spans="2:13">
      <c r="B27" t="s">
        <v>150</v>
      </c>
      <c r="C27">
        <f t="shared" si="0"/>
        <v>26</v>
      </c>
      <c r="D27" t="str">
        <f t="shared" si="1"/>
        <v>ROUEN26</v>
      </c>
      <c r="E27" t="s">
        <v>151</v>
      </c>
      <c r="F27" t="str">
        <f t="shared" si="2"/>
        <v>ROUEN26</v>
      </c>
      <c r="G27" t="s">
        <v>320</v>
      </c>
      <c r="H27" t="s">
        <v>1783</v>
      </c>
      <c r="I27" s="16">
        <v>97.59</v>
      </c>
      <c r="J27" s="16">
        <v>3.2</v>
      </c>
      <c r="K27" s="16">
        <v>48.9</v>
      </c>
      <c r="L27" s="159">
        <f t="shared" si="3"/>
        <v>3.2790244902141615E-2</v>
      </c>
      <c r="M27" s="159">
        <f t="shared" si="3"/>
        <v>0.50107592991085148</v>
      </c>
    </row>
    <row r="28" spans="2:13">
      <c r="B28" t="s">
        <v>150</v>
      </c>
      <c r="C28">
        <f t="shared" si="0"/>
        <v>27</v>
      </c>
      <c r="D28" t="str">
        <f t="shared" si="1"/>
        <v>ROUEN27</v>
      </c>
      <c r="E28" t="s">
        <v>151</v>
      </c>
      <c r="F28" t="str">
        <f t="shared" si="2"/>
        <v>ROUEN27</v>
      </c>
      <c r="G28" t="s">
        <v>221</v>
      </c>
      <c r="H28" t="s">
        <v>914</v>
      </c>
      <c r="I28" s="16">
        <v>96.52</v>
      </c>
      <c r="J28" s="16">
        <v>3.48</v>
      </c>
      <c r="K28" s="16">
        <v>44.04</v>
      </c>
      <c r="L28" s="159">
        <f t="shared" si="3"/>
        <v>3.6054703688354749E-2</v>
      </c>
      <c r="M28" s="159">
        <f t="shared" si="3"/>
        <v>0.45627849150435146</v>
      </c>
    </row>
    <row r="29" spans="2:13">
      <c r="B29" t="s">
        <v>150</v>
      </c>
      <c r="C29">
        <f t="shared" si="0"/>
        <v>28</v>
      </c>
      <c r="D29" t="str">
        <f t="shared" si="1"/>
        <v>ROUEN28</v>
      </c>
      <c r="E29" t="s">
        <v>151</v>
      </c>
      <c r="F29" t="str">
        <f t="shared" si="2"/>
        <v>ROUEN28</v>
      </c>
      <c r="G29" t="s">
        <v>230</v>
      </c>
      <c r="H29" t="s">
        <v>231</v>
      </c>
      <c r="I29" s="16">
        <v>94.92</v>
      </c>
      <c r="J29" s="16">
        <v>33.97</v>
      </c>
      <c r="K29" s="16">
        <v>38.18</v>
      </c>
      <c r="L29" s="159">
        <f t="shared" si="3"/>
        <v>0.35788032026970079</v>
      </c>
      <c r="M29" s="159">
        <f t="shared" si="3"/>
        <v>0.40223345975558367</v>
      </c>
    </row>
    <row r="30" spans="2:13">
      <c r="B30" t="s">
        <v>150</v>
      </c>
      <c r="C30">
        <f t="shared" si="0"/>
        <v>29</v>
      </c>
      <c r="D30" t="str">
        <f t="shared" si="1"/>
        <v>ROUEN29</v>
      </c>
      <c r="E30" t="s">
        <v>151</v>
      </c>
      <c r="F30" t="str">
        <f t="shared" si="2"/>
        <v>ROUEN29</v>
      </c>
      <c r="G30" t="s">
        <v>246</v>
      </c>
      <c r="H30" t="s">
        <v>928</v>
      </c>
      <c r="I30" s="16">
        <v>86.15</v>
      </c>
      <c r="J30" s="16">
        <v>22.75</v>
      </c>
      <c r="K30" s="16">
        <v>28.86</v>
      </c>
      <c r="L30" s="159">
        <f t="shared" si="3"/>
        <v>0.2640742890307603</v>
      </c>
      <c r="M30" s="159">
        <f t="shared" si="3"/>
        <v>0.33499709808473588</v>
      </c>
    </row>
    <row r="31" spans="2:13">
      <c r="B31" t="s">
        <v>150</v>
      </c>
      <c r="C31">
        <f t="shared" si="0"/>
        <v>30</v>
      </c>
      <c r="D31" t="str">
        <f t="shared" si="1"/>
        <v>ROUEN30</v>
      </c>
      <c r="E31" t="s">
        <v>151</v>
      </c>
      <c r="F31" t="str">
        <f t="shared" si="2"/>
        <v>ROUEN30</v>
      </c>
      <c r="G31" t="s">
        <v>386</v>
      </c>
      <c r="H31" t="s">
        <v>1784</v>
      </c>
      <c r="I31" s="16">
        <v>70</v>
      </c>
      <c r="J31" s="16">
        <v>0</v>
      </c>
      <c r="K31" s="16">
        <v>70</v>
      </c>
      <c r="L31" s="159">
        <f t="shared" si="3"/>
        <v>0</v>
      </c>
      <c r="M31" s="159">
        <f t="shared" si="3"/>
        <v>1</v>
      </c>
    </row>
    <row r="32" spans="2:13">
      <c r="B32" t="s">
        <v>150</v>
      </c>
      <c r="C32">
        <f t="shared" si="0"/>
        <v>31</v>
      </c>
      <c r="D32" t="str">
        <f t="shared" si="1"/>
        <v>ROUEN31</v>
      </c>
      <c r="E32" t="s">
        <v>151</v>
      </c>
      <c r="F32" t="str">
        <f t="shared" si="2"/>
        <v>ROUEN31</v>
      </c>
      <c r="G32" t="s">
        <v>235</v>
      </c>
      <c r="H32" t="s">
        <v>236</v>
      </c>
      <c r="I32" s="16">
        <v>68.25</v>
      </c>
      <c r="J32" s="16">
        <v>20</v>
      </c>
      <c r="K32" s="16">
        <v>56.88</v>
      </c>
      <c r="L32" s="159">
        <f t="shared" si="3"/>
        <v>0.29304029304029305</v>
      </c>
      <c r="M32" s="159">
        <f t="shared" si="3"/>
        <v>0.8334065934065934</v>
      </c>
    </row>
    <row r="33" spans="2:13">
      <c r="B33" t="s">
        <v>150</v>
      </c>
      <c r="C33">
        <f t="shared" si="0"/>
        <v>32</v>
      </c>
      <c r="D33" t="str">
        <f t="shared" si="1"/>
        <v>ROUEN32</v>
      </c>
      <c r="E33" t="s">
        <v>151</v>
      </c>
      <c r="F33" t="str">
        <f t="shared" si="2"/>
        <v>ROUEN32</v>
      </c>
      <c r="G33" t="s">
        <v>265</v>
      </c>
      <c r="H33" t="s">
        <v>1785</v>
      </c>
      <c r="I33" s="16">
        <v>66.55</v>
      </c>
      <c r="J33" s="16">
        <v>37.76</v>
      </c>
      <c r="K33" s="16">
        <v>3</v>
      </c>
      <c r="L33" s="159">
        <f t="shared" si="3"/>
        <v>0.56739293764087151</v>
      </c>
      <c r="M33" s="159">
        <f t="shared" si="3"/>
        <v>4.5078888054094671E-2</v>
      </c>
    </row>
    <row r="34" spans="2:13">
      <c r="B34" t="s">
        <v>150</v>
      </c>
      <c r="C34">
        <f t="shared" ref="C34:C65" si="4">RANK(I34,$I$2:$I$153,0)</f>
        <v>33</v>
      </c>
      <c r="D34" t="str">
        <f t="shared" si="1"/>
        <v>ROUEN33</v>
      </c>
      <c r="E34" t="s">
        <v>151</v>
      </c>
      <c r="F34" t="str">
        <f t="shared" si="2"/>
        <v>ROUEN33</v>
      </c>
      <c r="G34" t="s">
        <v>223</v>
      </c>
      <c r="H34" t="s">
        <v>916</v>
      </c>
      <c r="I34" s="16">
        <v>66.23</v>
      </c>
      <c r="J34" s="16">
        <v>23.25</v>
      </c>
      <c r="K34" s="16">
        <v>46.31</v>
      </c>
      <c r="L34" s="159">
        <f t="shared" si="3"/>
        <v>0.3510493733957421</v>
      </c>
      <c r="M34" s="159">
        <f t="shared" si="3"/>
        <v>0.69922995621319639</v>
      </c>
    </row>
    <row r="35" spans="2:13">
      <c r="B35" t="s">
        <v>150</v>
      </c>
      <c r="C35">
        <f t="shared" si="4"/>
        <v>34</v>
      </c>
      <c r="D35" t="str">
        <f t="shared" si="1"/>
        <v>ROUEN34</v>
      </c>
      <c r="E35" t="s">
        <v>151</v>
      </c>
      <c r="F35" t="str">
        <f t="shared" si="2"/>
        <v>ROUEN34</v>
      </c>
      <c r="G35" t="s">
        <v>343</v>
      </c>
      <c r="H35" t="s">
        <v>1786</v>
      </c>
      <c r="I35" s="16">
        <v>65.8</v>
      </c>
      <c r="J35" s="16">
        <v>53.96</v>
      </c>
      <c r="K35" s="16">
        <v>0</v>
      </c>
      <c r="L35" s="159">
        <f t="shared" si="3"/>
        <v>0.82006079027355627</v>
      </c>
      <c r="M35" s="159">
        <f t="shared" si="3"/>
        <v>0</v>
      </c>
    </row>
    <row r="36" spans="2:13">
      <c r="B36" t="s">
        <v>150</v>
      </c>
      <c r="C36">
        <f t="shared" si="4"/>
        <v>35</v>
      </c>
      <c r="D36" t="str">
        <f t="shared" si="1"/>
        <v>ROUEN35</v>
      </c>
      <c r="E36" t="s">
        <v>151</v>
      </c>
      <c r="F36" t="str">
        <f t="shared" si="2"/>
        <v>ROUEN35</v>
      </c>
      <c r="G36" t="s">
        <v>222</v>
      </c>
      <c r="H36" t="s">
        <v>915</v>
      </c>
      <c r="I36" s="16">
        <v>63.57</v>
      </c>
      <c r="J36" s="16">
        <v>0</v>
      </c>
      <c r="K36" s="16">
        <v>20.88</v>
      </c>
      <c r="L36" s="159">
        <f t="shared" si="3"/>
        <v>0</v>
      </c>
      <c r="M36" s="159">
        <f t="shared" si="3"/>
        <v>0.32845681925436526</v>
      </c>
    </row>
    <row r="37" spans="2:13">
      <c r="B37" t="s">
        <v>150</v>
      </c>
      <c r="C37">
        <f t="shared" si="4"/>
        <v>36</v>
      </c>
      <c r="D37" t="str">
        <f t="shared" si="1"/>
        <v>ROUEN36</v>
      </c>
      <c r="E37" t="s">
        <v>151</v>
      </c>
      <c r="F37" t="str">
        <f t="shared" si="2"/>
        <v>ROUEN36</v>
      </c>
      <c r="G37" t="s">
        <v>310</v>
      </c>
      <c r="H37" t="s">
        <v>311</v>
      </c>
      <c r="I37" s="16">
        <v>61.46</v>
      </c>
      <c r="J37" s="16">
        <v>7.17</v>
      </c>
      <c r="K37" s="16">
        <v>0</v>
      </c>
      <c r="L37" s="159">
        <f t="shared" si="3"/>
        <v>0.11666124308493328</v>
      </c>
      <c r="M37" s="159">
        <f t="shared" si="3"/>
        <v>0</v>
      </c>
    </row>
    <row r="38" spans="2:13">
      <c r="B38" t="s">
        <v>150</v>
      </c>
      <c r="C38">
        <f t="shared" si="4"/>
        <v>37</v>
      </c>
      <c r="D38" t="str">
        <f t="shared" si="1"/>
        <v>ROUEN37</v>
      </c>
      <c r="E38" t="s">
        <v>151</v>
      </c>
      <c r="F38" t="str">
        <f t="shared" si="2"/>
        <v>ROUEN37</v>
      </c>
      <c r="G38" t="s">
        <v>233</v>
      </c>
      <c r="H38" t="s">
        <v>1787</v>
      </c>
      <c r="I38" s="16">
        <v>60.64</v>
      </c>
      <c r="J38" s="16">
        <v>10</v>
      </c>
      <c r="K38" s="16">
        <v>0</v>
      </c>
      <c r="L38" s="159">
        <f t="shared" si="3"/>
        <v>0.16490765171503957</v>
      </c>
      <c r="M38" s="159">
        <f t="shared" si="3"/>
        <v>0</v>
      </c>
    </row>
    <row r="39" spans="2:13">
      <c r="B39" t="s">
        <v>150</v>
      </c>
      <c r="C39">
        <f t="shared" si="4"/>
        <v>38</v>
      </c>
      <c r="D39" t="str">
        <f t="shared" si="1"/>
        <v>ROUEN38</v>
      </c>
      <c r="E39" t="s">
        <v>151</v>
      </c>
      <c r="F39" t="str">
        <f t="shared" si="2"/>
        <v>ROUEN38</v>
      </c>
      <c r="G39" t="s">
        <v>341</v>
      </c>
      <c r="H39" t="s">
        <v>342</v>
      </c>
      <c r="I39" s="16">
        <v>56.4</v>
      </c>
      <c r="J39" s="16">
        <v>36.74</v>
      </c>
      <c r="K39" s="16">
        <v>0</v>
      </c>
      <c r="L39" s="159">
        <f t="shared" si="3"/>
        <v>0.65141843971631208</v>
      </c>
      <c r="M39" s="159">
        <f t="shared" si="3"/>
        <v>0</v>
      </c>
    </row>
    <row r="40" spans="2:13">
      <c r="B40" t="s">
        <v>150</v>
      </c>
      <c r="C40">
        <f t="shared" si="4"/>
        <v>39</v>
      </c>
      <c r="D40" t="str">
        <f t="shared" si="1"/>
        <v>ROUEN39</v>
      </c>
      <c r="E40" t="s">
        <v>151</v>
      </c>
      <c r="F40" t="str">
        <f t="shared" si="2"/>
        <v>ROUEN39</v>
      </c>
      <c r="G40" t="s">
        <v>433</v>
      </c>
      <c r="H40" t="s">
        <v>434</v>
      </c>
      <c r="I40" s="16">
        <v>54.1</v>
      </c>
      <c r="J40" s="16">
        <v>35.72</v>
      </c>
      <c r="K40" s="16">
        <v>0</v>
      </c>
      <c r="L40" s="159">
        <f t="shared" si="3"/>
        <v>0.66025878003696858</v>
      </c>
      <c r="M40" s="159">
        <f t="shared" si="3"/>
        <v>0</v>
      </c>
    </row>
    <row r="41" spans="2:13">
      <c r="B41" t="s">
        <v>150</v>
      </c>
      <c r="C41">
        <f t="shared" si="4"/>
        <v>40</v>
      </c>
      <c r="D41" t="str">
        <f t="shared" si="1"/>
        <v>ROUEN40</v>
      </c>
      <c r="E41" t="s">
        <v>151</v>
      </c>
      <c r="F41" t="str">
        <f t="shared" si="2"/>
        <v>ROUEN40</v>
      </c>
      <c r="G41" t="s">
        <v>318</v>
      </c>
      <c r="H41" t="s">
        <v>319</v>
      </c>
      <c r="I41" s="16">
        <v>47.14</v>
      </c>
      <c r="J41" s="16">
        <v>37.14</v>
      </c>
      <c r="K41" s="16">
        <v>0</v>
      </c>
      <c r="L41" s="159">
        <f t="shared" si="3"/>
        <v>0.78786593126856175</v>
      </c>
      <c r="M41" s="159">
        <f t="shared" si="3"/>
        <v>0</v>
      </c>
    </row>
    <row r="42" spans="2:13">
      <c r="B42" t="s">
        <v>150</v>
      </c>
      <c r="C42">
        <f t="shared" si="4"/>
        <v>41</v>
      </c>
      <c r="D42" t="str">
        <f t="shared" si="1"/>
        <v>ROUEN41</v>
      </c>
      <c r="E42" t="s">
        <v>151</v>
      </c>
      <c r="F42" t="str">
        <f t="shared" si="2"/>
        <v>ROUEN41</v>
      </c>
      <c r="G42" t="s">
        <v>381</v>
      </c>
      <c r="H42" t="s">
        <v>382</v>
      </c>
      <c r="I42" s="16">
        <v>45.7</v>
      </c>
      <c r="J42" s="16">
        <v>40.200000000000003</v>
      </c>
      <c r="K42" s="16">
        <v>0</v>
      </c>
      <c r="L42" s="159">
        <f t="shared" si="3"/>
        <v>0.87964989059080967</v>
      </c>
      <c r="M42" s="159">
        <f t="shared" si="3"/>
        <v>0</v>
      </c>
    </row>
    <row r="43" spans="2:13">
      <c r="B43" t="s">
        <v>150</v>
      </c>
      <c r="C43">
        <f t="shared" si="4"/>
        <v>42</v>
      </c>
      <c r="D43" t="str">
        <f t="shared" si="1"/>
        <v>ROUEN42</v>
      </c>
      <c r="E43" t="s">
        <v>151</v>
      </c>
      <c r="F43" t="str">
        <f t="shared" si="2"/>
        <v>ROUEN42</v>
      </c>
      <c r="G43" t="s">
        <v>238</v>
      </c>
      <c r="H43" t="s">
        <v>924</v>
      </c>
      <c r="I43" s="16">
        <v>45.18</v>
      </c>
      <c r="J43" s="16">
        <v>13.75</v>
      </c>
      <c r="K43" s="16">
        <v>4.88</v>
      </c>
      <c r="L43" s="159">
        <f t="shared" si="3"/>
        <v>0.30433820274457724</v>
      </c>
      <c r="M43" s="159">
        <f t="shared" si="3"/>
        <v>0.1080123948649845</v>
      </c>
    </row>
    <row r="44" spans="2:13">
      <c r="B44" t="s">
        <v>150</v>
      </c>
      <c r="C44">
        <f t="shared" si="4"/>
        <v>43</v>
      </c>
      <c r="D44" t="str">
        <f t="shared" si="1"/>
        <v>ROUEN43</v>
      </c>
      <c r="E44" t="s">
        <v>151</v>
      </c>
      <c r="F44" t="str">
        <f t="shared" si="2"/>
        <v>ROUEN43</v>
      </c>
      <c r="G44" t="s">
        <v>249</v>
      </c>
      <c r="H44" t="s">
        <v>250</v>
      </c>
      <c r="I44" s="16">
        <v>44.96</v>
      </c>
      <c r="J44" s="16">
        <v>0</v>
      </c>
      <c r="K44" s="16">
        <v>4.88</v>
      </c>
      <c r="L44" s="159">
        <f t="shared" si="3"/>
        <v>0</v>
      </c>
      <c r="M44" s="159">
        <f t="shared" si="3"/>
        <v>0.10854092526690391</v>
      </c>
    </row>
    <row r="45" spans="2:13">
      <c r="B45" t="s">
        <v>150</v>
      </c>
      <c r="C45">
        <f t="shared" si="4"/>
        <v>44</v>
      </c>
      <c r="D45" t="str">
        <f t="shared" si="1"/>
        <v>ROUEN44</v>
      </c>
      <c r="E45" t="s">
        <v>151</v>
      </c>
      <c r="F45" t="str">
        <f t="shared" si="2"/>
        <v>ROUEN44</v>
      </c>
      <c r="G45" t="s">
        <v>226</v>
      </c>
      <c r="H45" t="s">
        <v>227</v>
      </c>
      <c r="I45" s="16">
        <v>42.4</v>
      </c>
      <c r="J45" s="16">
        <v>18.809999999999999</v>
      </c>
      <c r="K45" s="16">
        <v>6.96</v>
      </c>
      <c r="L45" s="159">
        <f t="shared" si="3"/>
        <v>0.44363207547169808</v>
      </c>
      <c r="M45" s="159">
        <f t="shared" si="3"/>
        <v>0.16415094339622641</v>
      </c>
    </row>
    <row r="46" spans="2:13">
      <c r="B46" t="s">
        <v>150</v>
      </c>
      <c r="C46">
        <f t="shared" si="4"/>
        <v>45</v>
      </c>
      <c r="D46" t="str">
        <f t="shared" si="1"/>
        <v>ROUEN45</v>
      </c>
      <c r="E46" t="s">
        <v>151</v>
      </c>
      <c r="F46" t="str">
        <f t="shared" si="2"/>
        <v>ROUEN45</v>
      </c>
      <c r="G46" t="s">
        <v>272</v>
      </c>
      <c r="H46" t="s">
        <v>273</v>
      </c>
      <c r="I46" s="16">
        <v>41.02</v>
      </c>
      <c r="J46" s="16">
        <v>41.02</v>
      </c>
      <c r="K46" s="16">
        <v>37</v>
      </c>
      <c r="L46" s="159">
        <f t="shared" si="3"/>
        <v>1</v>
      </c>
      <c r="M46" s="159">
        <f t="shared" si="3"/>
        <v>0.90199902486591899</v>
      </c>
    </row>
    <row r="47" spans="2:13">
      <c r="B47" t="s">
        <v>150</v>
      </c>
      <c r="C47">
        <f t="shared" si="4"/>
        <v>46</v>
      </c>
      <c r="D47" t="str">
        <f t="shared" si="1"/>
        <v>ROUEN46</v>
      </c>
      <c r="E47" t="s">
        <v>151</v>
      </c>
      <c r="F47" t="str">
        <f t="shared" si="2"/>
        <v>ROUEN46</v>
      </c>
      <c r="G47" t="s">
        <v>326</v>
      </c>
      <c r="H47" t="s">
        <v>1788</v>
      </c>
      <c r="I47" s="16">
        <v>40.659999999999997</v>
      </c>
      <c r="J47" s="16">
        <v>30.98</v>
      </c>
      <c r="K47" s="16">
        <v>4.1399999999999997</v>
      </c>
      <c r="L47" s="159">
        <f t="shared" si="3"/>
        <v>0.76192818494835224</v>
      </c>
      <c r="M47" s="159">
        <f t="shared" si="3"/>
        <v>0.10181997048696508</v>
      </c>
    </row>
    <row r="48" spans="2:13">
      <c r="B48" t="s">
        <v>150</v>
      </c>
      <c r="C48">
        <f t="shared" si="4"/>
        <v>47</v>
      </c>
      <c r="D48" t="str">
        <f t="shared" si="1"/>
        <v>ROUEN47</v>
      </c>
      <c r="E48" t="s">
        <v>151</v>
      </c>
      <c r="F48" t="str">
        <f t="shared" si="2"/>
        <v>ROUEN47</v>
      </c>
      <c r="G48" t="s">
        <v>266</v>
      </c>
      <c r="H48" t="s">
        <v>267</v>
      </c>
      <c r="I48" s="16">
        <v>39.950000000000003</v>
      </c>
      <c r="J48" s="16">
        <v>21.3</v>
      </c>
      <c r="K48" s="16">
        <v>6.4</v>
      </c>
      <c r="L48" s="159">
        <f t="shared" si="3"/>
        <v>0.53316645807259067</v>
      </c>
      <c r="M48" s="159">
        <f t="shared" si="3"/>
        <v>0.16020025031289112</v>
      </c>
    </row>
    <row r="49" spans="2:13">
      <c r="B49" t="s">
        <v>150</v>
      </c>
      <c r="C49">
        <f t="shared" si="4"/>
        <v>48</v>
      </c>
      <c r="D49" t="str">
        <f t="shared" si="1"/>
        <v>ROUEN48</v>
      </c>
      <c r="E49" t="s">
        <v>151</v>
      </c>
      <c r="F49" t="str">
        <f t="shared" si="2"/>
        <v>ROUEN48</v>
      </c>
      <c r="G49" t="s">
        <v>303</v>
      </c>
      <c r="H49" t="s">
        <v>936</v>
      </c>
      <c r="I49" s="16">
        <v>39.83</v>
      </c>
      <c r="J49" s="16">
        <v>25.55</v>
      </c>
      <c r="K49" s="16">
        <v>6.96</v>
      </c>
      <c r="L49" s="159">
        <f t="shared" si="3"/>
        <v>0.64147627416520214</v>
      </c>
      <c r="M49" s="159">
        <f t="shared" si="3"/>
        <v>0.17474265628922922</v>
      </c>
    </row>
    <row r="50" spans="2:13">
      <c r="B50" t="s">
        <v>150</v>
      </c>
      <c r="C50">
        <f t="shared" si="4"/>
        <v>49</v>
      </c>
      <c r="D50" t="str">
        <f t="shared" si="1"/>
        <v>ROUEN49</v>
      </c>
      <c r="E50" t="s">
        <v>151</v>
      </c>
      <c r="F50" t="str">
        <f t="shared" si="2"/>
        <v>ROUEN49</v>
      </c>
      <c r="G50" t="s">
        <v>357</v>
      </c>
      <c r="H50" t="s">
        <v>358</v>
      </c>
      <c r="I50" s="16">
        <v>39.14</v>
      </c>
      <c r="J50" s="16">
        <v>31.53</v>
      </c>
      <c r="K50" s="16">
        <v>0</v>
      </c>
      <c r="L50" s="159">
        <f t="shared" si="3"/>
        <v>0.80556974961676031</v>
      </c>
      <c r="M50" s="159">
        <f t="shared" si="3"/>
        <v>0</v>
      </c>
    </row>
    <row r="51" spans="2:13">
      <c r="B51" t="s">
        <v>150</v>
      </c>
      <c r="C51">
        <f t="shared" si="4"/>
        <v>50</v>
      </c>
      <c r="D51" t="str">
        <f t="shared" si="1"/>
        <v>ROUEN50</v>
      </c>
      <c r="E51" t="s">
        <v>151</v>
      </c>
      <c r="F51" t="str">
        <f t="shared" si="2"/>
        <v>ROUEN50</v>
      </c>
      <c r="G51" t="s">
        <v>239</v>
      </c>
      <c r="H51" t="s">
        <v>925</v>
      </c>
      <c r="I51" s="16">
        <v>39.04</v>
      </c>
      <c r="J51" s="16">
        <v>21.12</v>
      </c>
      <c r="K51" s="16">
        <v>16.760000000000002</v>
      </c>
      <c r="L51" s="159">
        <f t="shared" si="3"/>
        <v>0.54098360655737709</v>
      </c>
      <c r="M51" s="159">
        <f t="shared" si="3"/>
        <v>0.42930327868852464</v>
      </c>
    </row>
    <row r="52" spans="2:13">
      <c r="B52" t="s">
        <v>150</v>
      </c>
      <c r="C52">
        <f t="shared" si="4"/>
        <v>51</v>
      </c>
      <c r="D52" t="str">
        <f t="shared" si="1"/>
        <v>ROUEN51</v>
      </c>
      <c r="E52" t="s">
        <v>151</v>
      </c>
      <c r="F52" t="str">
        <f t="shared" si="2"/>
        <v>ROUEN51</v>
      </c>
      <c r="G52" t="s">
        <v>336</v>
      </c>
      <c r="H52" t="s">
        <v>941</v>
      </c>
      <c r="I52" s="16">
        <v>38.729999999999997</v>
      </c>
      <c r="J52" s="16">
        <v>17.809999999999999</v>
      </c>
      <c r="K52" s="16">
        <v>0</v>
      </c>
      <c r="L52" s="159">
        <f t="shared" si="3"/>
        <v>0.45985024528789054</v>
      </c>
      <c r="M52" s="159">
        <f t="shared" si="3"/>
        <v>0</v>
      </c>
    </row>
    <row r="53" spans="2:13">
      <c r="B53" t="s">
        <v>150</v>
      </c>
      <c r="C53">
        <f t="shared" si="4"/>
        <v>52</v>
      </c>
      <c r="D53" t="str">
        <f t="shared" si="1"/>
        <v>ROUEN52</v>
      </c>
      <c r="E53" t="s">
        <v>151</v>
      </c>
      <c r="F53" t="str">
        <f t="shared" si="2"/>
        <v>ROUEN52</v>
      </c>
      <c r="G53" t="s">
        <v>299</v>
      </c>
      <c r="H53" t="s">
        <v>300</v>
      </c>
      <c r="I53" s="16">
        <v>37.909999999999997</v>
      </c>
      <c r="J53" s="16">
        <v>4.6399999999999997</v>
      </c>
      <c r="K53" s="16">
        <v>33.28</v>
      </c>
      <c r="L53" s="159">
        <f t="shared" si="3"/>
        <v>0.12239514639936692</v>
      </c>
      <c r="M53" s="159">
        <f t="shared" si="3"/>
        <v>0.87786863624373523</v>
      </c>
    </row>
    <row r="54" spans="2:13">
      <c r="B54" t="s">
        <v>150</v>
      </c>
      <c r="C54">
        <f t="shared" si="4"/>
        <v>53</v>
      </c>
      <c r="D54" t="str">
        <f t="shared" si="1"/>
        <v>ROUEN53</v>
      </c>
      <c r="E54" t="s">
        <v>151</v>
      </c>
      <c r="F54" t="str">
        <f t="shared" si="2"/>
        <v>ROUEN53</v>
      </c>
      <c r="G54" t="s">
        <v>389</v>
      </c>
      <c r="H54" t="s">
        <v>390</v>
      </c>
      <c r="I54" s="16">
        <v>37.68</v>
      </c>
      <c r="J54" s="16">
        <v>36.68</v>
      </c>
      <c r="K54" s="16">
        <v>0</v>
      </c>
      <c r="L54" s="159">
        <f t="shared" si="3"/>
        <v>0.97346072186836519</v>
      </c>
      <c r="M54" s="159">
        <f t="shared" si="3"/>
        <v>0</v>
      </c>
    </row>
    <row r="55" spans="2:13">
      <c r="B55" t="s">
        <v>150</v>
      </c>
      <c r="C55">
        <f t="shared" si="4"/>
        <v>54</v>
      </c>
      <c r="D55" t="str">
        <f t="shared" si="1"/>
        <v>ROUEN54</v>
      </c>
      <c r="E55" t="s">
        <v>151</v>
      </c>
      <c r="F55" t="str">
        <f t="shared" si="2"/>
        <v>ROUEN54</v>
      </c>
      <c r="G55" t="s">
        <v>347</v>
      </c>
      <c r="H55" t="s">
        <v>348</v>
      </c>
      <c r="I55" s="16">
        <v>37.6</v>
      </c>
      <c r="J55" s="16">
        <v>12.18</v>
      </c>
      <c r="K55" s="16">
        <v>4.75</v>
      </c>
      <c r="L55" s="159">
        <f t="shared" si="3"/>
        <v>0.32393617021276594</v>
      </c>
      <c r="M55" s="159">
        <f t="shared" si="3"/>
        <v>0.12632978723404256</v>
      </c>
    </row>
    <row r="56" spans="2:13">
      <c r="B56" t="s">
        <v>150</v>
      </c>
      <c r="C56">
        <f t="shared" si="4"/>
        <v>55</v>
      </c>
      <c r="D56" t="str">
        <f t="shared" si="1"/>
        <v>ROUEN55</v>
      </c>
      <c r="E56" t="s">
        <v>151</v>
      </c>
      <c r="F56" t="str">
        <f t="shared" si="2"/>
        <v>ROUEN55</v>
      </c>
      <c r="G56" t="s">
        <v>412</v>
      </c>
      <c r="H56" t="s">
        <v>413</v>
      </c>
      <c r="I56" s="16">
        <v>36.61</v>
      </c>
      <c r="J56" s="16">
        <v>13.74</v>
      </c>
      <c r="K56" s="16">
        <v>0</v>
      </c>
      <c r="L56" s="159">
        <f t="shared" si="3"/>
        <v>0.37530729308931987</v>
      </c>
      <c r="M56" s="159">
        <f t="shared" si="3"/>
        <v>0</v>
      </c>
    </row>
    <row r="57" spans="2:13">
      <c r="B57" t="s">
        <v>150</v>
      </c>
      <c r="C57">
        <f t="shared" si="4"/>
        <v>56</v>
      </c>
      <c r="D57" t="str">
        <f t="shared" si="1"/>
        <v>ROUEN56</v>
      </c>
      <c r="E57" t="s">
        <v>151</v>
      </c>
      <c r="F57" t="str">
        <f t="shared" si="2"/>
        <v>ROUEN56</v>
      </c>
      <c r="G57" t="s">
        <v>330</v>
      </c>
      <c r="H57" t="s">
        <v>331</v>
      </c>
      <c r="I57" s="16">
        <v>35.58</v>
      </c>
      <c r="J57" s="16">
        <v>6.9</v>
      </c>
      <c r="K57" s="16">
        <v>0</v>
      </c>
      <c r="L57" s="159">
        <f t="shared" si="3"/>
        <v>0.19392917369308602</v>
      </c>
      <c r="M57" s="159">
        <f t="shared" si="3"/>
        <v>0</v>
      </c>
    </row>
    <row r="58" spans="2:13">
      <c r="B58" t="s">
        <v>150</v>
      </c>
      <c r="C58">
        <f t="shared" si="4"/>
        <v>57</v>
      </c>
      <c r="D58" t="str">
        <f t="shared" si="1"/>
        <v>ROUEN57</v>
      </c>
      <c r="E58" t="s">
        <v>151</v>
      </c>
      <c r="F58" t="str">
        <f t="shared" si="2"/>
        <v>ROUEN57</v>
      </c>
      <c r="G58" t="s">
        <v>321</v>
      </c>
      <c r="H58" t="s">
        <v>322</v>
      </c>
      <c r="I58" s="16">
        <v>35.25</v>
      </c>
      <c r="J58" s="16">
        <v>3.64</v>
      </c>
      <c r="K58" s="16">
        <v>0</v>
      </c>
      <c r="L58" s="159">
        <f t="shared" si="3"/>
        <v>0.10326241134751774</v>
      </c>
      <c r="M58" s="159">
        <f t="shared" si="3"/>
        <v>0</v>
      </c>
    </row>
    <row r="59" spans="2:13">
      <c r="B59" t="s">
        <v>150</v>
      </c>
      <c r="C59">
        <f t="shared" si="4"/>
        <v>58</v>
      </c>
      <c r="D59" t="str">
        <f t="shared" si="1"/>
        <v>ROUEN58</v>
      </c>
      <c r="E59" t="s">
        <v>151</v>
      </c>
      <c r="F59" t="str">
        <f t="shared" si="2"/>
        <v>ROUEN58</v>
      </c>
      <c r="G59" t="s">
        <v>349</v>
      </c>
      <c r="H59" t="s">
        <v>350</v>
      </c>
      <c r="I59" s="16">
        <v>34.369999999999997</v>
      </c>
      <c r="J59" s="16">
        <v>31.09</v>
      </c>
      <c r="K59" s="16">
        <v>0</v>
      </c>
      <c r="L59" s="159">
        <f t="shared" si="3"/>
        <v>0.90456793715449524</v>
      </c>
      <c r="M59" s="159">
        <f t="shared" si="3"/>
        <v>0</v>
      </c>
    </row>
    <row r="60" spans="2:13">
      <c r="B60" t="s">
        <v>150</v>
      </c>
      <c r="C60">
        <f t="shared" si="4"/>
        <v>59</v>
      </c>
      <c r="D60" t="str">
        <f t="shared" si="1"/>
        <v>ROUEN59</v>
      </c>
      <c r="E60" t="s">
        <v>151</v>
      </c>
      <c r="F60" t="str">
        <f t="shared" si="2"/>
        <v>ROUEN59</v>
      </c>
      <c r="G60" t="s">
        <v>240</v>
      </c>
      <c r="H60" t="s">
        <v>926</v>
      </c>
      <c r="I60" s="16">
        <v>34.36</v>
      </c>
      <c r="J60" s="16">
        <v>16.260000000000002</v>
      </c>
      <c r="K60" s="16">
        <v>16.899999999999999</v>
      </c>
      <c r="L60" s="159">
        <f t="shared" si="3"/>
        <v>0.47322467986030275</v>
      </c>
      <c r="M60" s="159">
        <f t="shared" si="3"/>
        <v>0.49185098952270079</v>
      </c>
    </row>
    <row r="61" spans="2:13">
      <c r="B61" t="s">
        <v>150</v>
      </c>
      <c r="C61">
        <f t="shared" si="4"/>
        <v>60</v>
      </c>
      <c r="D61" t="str">
        <f t="shared" si="1"/>
        <v>ROUEN60</v>
      </c>
      <c r="E61" t="s">
        <v>151</v>
      </c>
      <c r="F61" t="str">
        <f t="shared" si="2"/>
        <v>ROUEN60</v>
      </c>
      <c r="G61" t="s">
        <v>289</v>
      </c>
      <c r="H61" t="s">
        <v>935</v>
      </c>
      <c r="I61" s="16">
        <v>34.21</v>
      </c>
      <c r="J61" s="16">
        <v>7.24</v>
      </c>
      <c r="K61" s="16">
        <v>5.25</v>
      </c>
      <c r="L61" s="159">
        <f t="shared" si="3"/>
        <v>0.2116340251388483</v>
      </c>
      <c r="M61" s="159">
        <f t="shared" si="3"/>
        <v>0.15346389944460684</v>
      </c>
    </row>
    <row r="62" spans="2:13">
      <c r="B62" t="s">
        <v>150</v>
      </c>
      <c r="C62">
        <f t="shared" si="4"/>
        <v>61</v>
      </c>
      <c r="D62" t="str">
        <f t="shared" si="1"/>
        <v>ROUEN61</v>
      </c>
      <c r="E62" t="s">
        <v>151</v>
      </c>
      <c r="F62" t="str">
        <f t="shared" si="2"/>
        <v>ROUEN61</v>
      </c>
      <c r="G62" t="s">
        <v>373</v>
      </c>
      <c r="H62" t="s">
        <v>1789</v>
      </c>
      <c r="I62" s="16">
        <v>32.86</v>
      </c>
      <c r="J62" s="16">
        <v>0</v>
      </c>
      <c r="K62" s="16">
        <v>0</v>
      </c>
      <c r="L62" s="159">
        <f t="shared" si="3"/>
        <v>0</v>
      </c>
      <c r="M62" s="159">
        <f t="shared" si="3"/>
        <v>0</v>
      </c>
    </row>
    <row r="63" spans="2:13">
      <c r="B63" t="s">
        <v>150</v>
      </c>
      <c r="C63">
        <f t="shared" si="4"/>
        <v>62</v>
      </c>
      <c r="D63" t="str">
        <f t="shared" si="1"/>
        <v>ROUEN62</v>
      </c>
      <c r="E63" t="s">
        <v>151</v>
      </c>
      <c r="F63" t="str">
        <f t="shared" si="2"/>
        <v>ROUEN62</v>
      </c>
      <c r="G63" t="s">
        <v>308</v>
      </c>
      <c r="H63" t="s">
        <v>309</v>
      </c>
      <c r="I63" s="16">
        <v>32.33</v>
      </c>
      <c r="J63" s="16">
        <v>7.91</v>
      </c>
      <c r="K63" s="16">
        <v>0</v>
      </c>
      <c r="L63" s="159">
        <f t="shared" si="3"/>
        <v>0.24466439839158677</v>
      </c>
      <c r="M63" s="159">
        <f t="shared" si="3"/>
        <v>0</v>
      </c>
    </row>
    <row r="64" spans="2:13">
      <c r="B64" t="s">
        <v>150</v>
      </c>
      <c r="C64">
        <f t="shared" si="4"/>
        <v>63</v>
      </c>
      <c r="D64" t="str">
        <f t="shared" si="1"/>
        <v>ROUEN63</v>
      </c>
      <c r="E64" t="s">
        <v>151</v>
      </c>
      <c r="F64" t="str">
        <f t="shared" si="2"/>
        <v>ROUEN63</v>
      </c>
      <c r="G64" t="s">
        <v>402</v>
      </c>
      <c r="H64" t="s">
        <v>1790</v>
      </c>
      <c r="I64" s="16">
        <v>31.84</v>
      </c>
      <c r="J64" s="16">
        <v>8.4499999999999993</v>
      </c>
      <c r="K64" s="16">
        <v>0</v>
      </c>
      <c r="L64" s="159">
        <f t="shared" si="3"/>
        <v>0.26538944723618091</v>
      </c>
      <c r="M64" s="159">
        <f t="shared" si="3"/>
        <v>0</v>
      </c>
    </row>
    <row r="65" spans="2:13">
      <c r="B65" t="s">
        <v>150</v>
      </c>
      <c r="C65">
        <f t="shared" si="4"/>
        <v>64</v>
      </c>
      <c r="D65" t="str">
        <f t="shared" si="1"/>
        <v>ROUEN64</v>
      </c>
      <c r="E65" t="s">
        <v>151</v>
      </c>
      <c r="F65" t="str">
        <f t="shared" si="2"/>
        <v>ROUEN64</v>
      </c>
      <c r="G65" t="s">
        <v>405</v>
      </c>
      <c r="H65" t="s">
        <v>406</v>
      </c>
      <c r="I65" s="16">
        <v>31.81</v>
      </c>
      <c r="J65" s="16">
        <v>31.81</v>
      </c>
      <c r="K65" s="16">
        <v>0</v>
      </c>
      <c r="L65" s="159">
        <f t="shared" si="3"/>
        <v>1</v>
      </c>
      <c r="M65" s="159">
        <f t="shared" si="3"/>
        <v>0</v>
      </c>
    </row>
    <row r="66" spans="2:13">
      <c r="B66" t="s">
        <v>150</v>
      </c>
      <c r="C66">
        <f t="shared" ref="C66:C97" si="5">RANK(I66,$I$2:$I$153,0)</f>
        <v>64</v>
      </c>
      <c r="D66" t="str">
        <f t="shared" ref="D66:D129" si="6">CONCATENATE(E66,C66)</f>
        <v>ROUEN64</v>
      </c>
      <c r="E66" t="s">
        <v>151</v>
      </c>
      <c r="F66" t="str">
        <f t="shared" si="2"/>
        <v>ROUEN64</v>
      </c>
      <c r="G66" t="s">
        <v>276</v>
      </c>
      <c r="H66" t="s">
        <v>933</v>
      </c>
      <c r="I66" s="16">
        <v>31.81</v>
      </c>
      <c r="J66" s="16">
        <v>31.81</v>
      </c>
      <c r="K66" s="16">
        <v>0</v>
      </c>
      <c r="L66" s="159">
        <f t="shared" si="3"/>
        <v>1</v>
      </c>
      <c r="M66" s="159">
        <f t="shared" si="3"/>
        <v>0</v>
      </c>
    </row>
    <row r="67" spans="2:13">
      <c r="B67" t="s">
        <v>150</v>
      </c>
      <c r="C67">
        <f t="shared" si="5"/>
        <v>66</v>
      </c>
      <c r="D67" t="str">
        <f t="shared" si="6"/>
        <v>ROUEN66</v>
      </c>
      <c r="E67" t="s">
        <v>151</v>
      </c>
      <c r="F67" t="str">
        <f t="shared" ref="F67:F130" si="7">D67</f>
        <v>ROUEN66</v>
      </c>
      <c r="G67" t="s">
        <v>241</v>
      </c>
      <c r="H67" t="s">
        <v>927</v>
      </c>
      <c r="I67" s="16">
        <v>30.76</v>
      </c>
      <c r="J67" s="16">
        <v>16.86</v>
      </c>
      <c r="K67" s="16">
        <v>9.3800000000000008</v>
      </c>
      <c r="L67" s="159">
        <f t="shared" ref="L67:M130" si="8">J67/$I67</f>
        <v>0.54811443433029905</v>
      </c>
      <c r="M67" s="159">
        <f t="shared" si="8"/>
        <v>0.3049414824447334</v>
      </c>
    </row>
    <row r="68" spans="2:13">
      <c r="B68" t="s">
        <v>150</v>
      </c>
      <c r="C68">
        <f t="shared" si="5"/>
        <v>67</v>
      </c>
      <c r="D68" t="str">
        <f t="shared" si="6"/>
        <v>ROUEN67</v>
      </c>
      <c r="E68" t="s">
        <v>151</v>
      </c>
      <c r="F68" t="str">
        <f t="shared" si="7"/>
        <v>ROUEN67</v>
      </c>
      <c r="G68" t="s">
        <v>282</v>
      </c>
      <c r="H68" t="s">
        <v>920</v>
      </c>
      <c r="I68" s="16">
        <v>30.28</v>
      </c>
      <c r="J68" s="16">
        <v>21.98</v>
      </c>
      <c r="K68" s="16">
        <v>0</v>
      </c>
      <c r="L68" s="159">
        <f t="shared" si="8"/>
        <v>0.72589167767503304</v>
      </c>
      <c r="M68" s="159">
        <f t="shared" si="8"/>
        <v>0</v>
      </c>
    </row>
    <row r="69" spans="2:13">
      <c r="B69" t="s">
        <v>150</v>
      </c>
      <c r="C69">
        <f t="shared" si="5"/>
        <v>68</v>
      </c>
      <c r="D69" t="str">
        <f t="shared" si="6"/>
        <v>ROUEN68</v>
      </c>
      <c r="E69" t="s">
        <v>151</v>
      </c>
      <c r="F69" t="str">
        <f t="shared" si="7"/>
        <v>ROUEN68</v>
      </c>
      <c r="G69" t="s">
        <v>270</v>
      </c>
      <c r="H69" t="s">
        <v>271</v>
      </c>
      <c r="I69" s="16">
        <v>30.03</v>
      </c>
      <c r="J69" s="16">
        <v>21.1</v>
      </c>
      <c r="K69" s="16">
        <v>3</v>
      </c>
      <c r="L69" s="159">
        <f t="shared" si="8"/>
        <v>0.7026307026307026</v>
      </c>
      <c r="M69" s="159">
        <f t="shared" si="8"/>
        <v>9.990009990009989E-2</v>
      </c>
    </row>
    <row r="70" spans="2:13">
      <c r="B70" t="s">
        <v>150</v>
      </c>
      <c r="C70">
        <f t="shared" si="5"/>
        <v>69</v>
      </c>
      <c r="D70" t="str">
        <f t="shared" si="6"/>
        <v>ROUEN69</v>
      </c>
      <c r="E70" t="s">
        <v>151</v>
      </c>
      <c r="F70" t="str">
        <f t="shared" si="7"/>
        <v>ROUEN69</v>
      </c>
      <c r="G70" t="s">
        <v>212</v>
      </c>
      <c r="H70" t="s">
        <v>909</v>
      </c>
      <c r="I70" s="16">
        <v>28.51</v>
      </c>
      <c r="J70" s="16">
        <v>0</v>
      </c>
      <c r="K70" s="16">
        <v>0</v>
      </c>
      <c r="L70" s="159">
        <f t="shared" si="8"/>
        <v>0</v>
      </c>
      <c r="M70" s="159">
        <f t="shared" si="8"/>
        <v>0</v>
      </c>
    </row>
    <row r="71" spans="2:13">
      <c r="B71" t="s">
        <v>150</v>
      </c>
      <c r="C71">
        <f t="shared" si="5"/>
        <v>70</v>
      </c>
      <c r="D71" t="str">
        <f t="shared" si="6"/>
        <v>ROUEN70</v>
      </c>
      <c r="E71" t="s">
        <v>151</v>
      </c>
      <c r="F71" t="str">
        <f t="shared" si="7"/>
        <v>ROUEN70</v>
      </c>
      <c r="G71" t="s">
        <v>274</v>
      </c>
      <c r="H71" t="s">
        <v>275</v>
      </c>
      <c r="I71" s="16">
        <v>28.48</v>
      </c>
      <c r="J71" s="16">
        <v>12.98</v>
      </c>
      <c r="K71" s="16">
        <v>14.06</v>
      </c>
      <c r="L71" s="159">
        <f t="shared" si="8"/>
        <v>0.45575842696629215</v>
      </c>
      <c r="M71" s="159">
        <f t="shared" si="8"/>
        <v>0.4936797752808989</v>
      </c>
    </row>
    <row r="72" spans="2:13">
      <c r="B72" t="s">
        <v>150</v>
      </c>
      <c r="C72">
        <f t="shared" si="5"/>
        <v>71</v>
      </c>
      <c r="D72" t="str">
        <f t="shared" si="6"/>
        <v>ROUEN71</v>
      </c>
      <c r="E72" t="s">
        <v>151</v>
      </c>
      <c r="F72" t="str">
        <f t="shared" si="7"/>
        <v>ROUEN71</v>
      </c>
      <c r="G72" t="s">
        <v>401</v>
      </c>
      <c r="H72" t="s">
        <v>1791</v>
      </c>
      <c r="I72" s="16">
        <v>28.18</v>
      </c>
      <c r="J72" s="16">
        <v>0</v>
      </c>
      <c r="K72" s="16">
        <v>0</v>
      </c>
      <c r="L72" s="159">
        <f t="shared" si="8"/>
        <v>0</v>
      </c>
      <c r="M72" s="159">
        <f t="shared" si="8"/>
        <v>0</v>
      </c>
    </row>
    <row r="73" spans="2:13">
      <c r="B73" t="s">
        <v>150</v>
      </c>
      <c r="C73">
        <f t="shared" si="5"/>
        <v>72</v>
      </c>
      <c r="D73" t="str">
        <f t="shared" si="6"/>
        <v>ROUEN72</v>
      </c>
      <c r="E73" t="s">
        <v>151</v>
      </c>
      <c r="F73" t="str">
        <f t="shared" si="7"/>
        <v>ROUEN72</v>
      </c>
      <c r="G73" t="s">
        <v>284</v>
      </c>
      <c r="H73" t="s">
        <v>1792</v>
      </c>
      <c r="I73" s="16">
        <v>28.17</v>
      </c>
      <c r="J73" s="16">
        <v>21.75</v>
      </c>
      <c r="K73" s="16">
        <v>0</v>
      </c>
      <c r="L73" s="159">
        <f t="shared" si="8"/>
        <v>0.77209797657082002</v>
      </c>
      <c r="M73" s="159">
        <f t="shared" si="8"/>
        <v>0</v>
      </c>
    </row>
    <row r="74" spans="2:13">
      <c r="B74" t="s">
        <v>150</v>
      </c>
      <c r="C74">
        <f t="shared" si="5"/>
        <v>73</v>
      </c>
      <c r="D74" t="str">
        <f t="shared" si="6"/>
        <v>ROUEN73</v>
      </c>
      <c r="E74" t="s">
        <v>151</v>
      </c>
      <c r="F74" t="str">
        <f t="shared" si="7"/>
        <v>ROUEN73</v>
      </c>
      <c r="G74" t="s">
        <v>252</v>
      </c>
      <c r="H74" t="s">
        <v>930</v>
      </c>
      <c r="I74" s="16">
        <v>26.93</v>
      </c>
      <c r="J74" s="16">
        <v>14.26</v>
      </c>
      <c r="K74" s="16">
        <v>0</v>
      </c>
      <c r="L74" s="159">
        <f t="shared" si="8"/>
        <v>0.52952098031934647</v>
      </c>
      <c r="M74" s="159">
        <f t="shared" si="8"/>
        <v>0</v>
      </c>
    </row>
    <row r="75" spans="2:13">
      <c r="B75" t="s">
        <v>150</v>
      </c>
      <c r="C75">
        <f t="shared" si="5"/>
        <v>74</v>
      </c>
      <c r="D75" t="str">
        <f t="shared" si="6"/>
        <v>ROUEN74</v>
      </c>
      <c r="E75" t="s">
        <v>151</v>
      </c>
      <c r="F75" t="str">
        <f t="shared" si="7"/>
        <v>ROUEN74</v>
      </c>
      <c r="G75" t="s">
        <v>301</v>
      </c>
      <c r="H75" t="s">
        <v>918</v>
      </c>
      <c r="I75" s="16">
        <v>26.28</v>
      </c>
      <c r="J75" s="16">
        <v>16.03</v>
      </c>
      <c r="K75" s="16">
        <v>0</v>
      </c>
      <c r="L75" s="159">
        <f t="shared" si="8"/>
        <v>0.60996955859969559</v>
      </c>
      <c r="M75" s="159">
        <f t="shared" si="8"/>
        <v>0</v>
      </c>
    </row>
    <row r="76" spans="2:13">
      <c r="B76" t="s">
        <v>150</v>
      </c>
      <c r="C76">
        <f t="shared" si="5"/>
        <v>75</v>
      </c>
      <c r="D76" t="str">
        <f t="shared" si="6"/>
        <v>ROUEN75</v>
      </c>
      <c r="E76" t="s">
        <v>151</v>
      </c>
      <c r="F76" t="str">
        <f t="shared" si="7"/>
        <v>ROUEN75</v>
      </c>
      <c r="G76" t="s">
        <v>374</v>
      </c>
      <c r="H76" t="s">
        <v>1793</v>
      </c>
      <c r="I76" s="16">
        <v>25.84</v>
      </c>
      <c r="J76" s="16">
        <v>15.83</v>
      </c>
      <c r="K76" s="16">
        <v>19.43</v>
      </c>
      <c r="L76" s="159">
        <f t="shared" si="8"/>
        <v>0.6126160990712074</v>
      </c>
      <c r="M76" s="159">
        <f t="shared" si="8"/>
        <v>0.75193498452012386</v>
      </c>
    </row>
    <row r="77" spans="2:13">
      <c r="B77" t="s">
        <v>150</v>
      </c>
      <c r="C77">
        <f t="shared" si="5"/>
        <v>76</v>
      </c>
      <c r="D77" t="str">
        <f t="shared" si="6"/>
        <v>ROUEN76</v>
      </c>
      <c r="E77" t="s">
        <v>151</v>
      </c>
      <c r="F77" t="str">
        <f t="shared" si="7"/>
        <v>ROUEN76</v>
      </c>
      <c r="G77" t="s">
        <v>257</v>
      </c>
      <c r="H77" t="s">
        <v>258</v>
      </c>
      <c r="I77" s="16">
        <v>25.81</v>
      </c>
      <c r="J77" s="16">
        <v>4.88</v>
      </c>
      <c r="K77" s="16">
        <v>0</v>
      </c>
      <c r="L77" s="159">
        <f t="shared" si="8"/>
        <v>0.18907400232468036</v>
      </c>
      <c r="M77" s="159">
        <f t="shared" si="8"/>
        <v>0</v>
      </c>
    </row>
    <row r="78" spans="2:13">
      <c r="B78" t="s">
        <v>150</v>
      </c>
      <c r="C78">
        <f t="shared" si="5"/>
        <v>77</v>
      </c>
      <c r="D78" t="str">
        <f t="shared" si="6"/>
        <v>ROUEN77</v>
      </c>
      <c r="E78" t="s">
        <v>151</v>
      </c>
      <c r="F78" t="str">
        <f t="shared" si="7"/>
        <v>ROUEN77</v>
      </c>
      <c r="G78" t="s">
        <v>328</v>
      </c>
      <c r="H78" t="s">
        <v>939</v>
      </c>
      <c r="I78" s="16">
        <v>25.32</v>
      </c>
      <c r="J78" s="16">
        <v>3.64</v>
      </c>
      <c r="K78" s="16">
        <v>0</v>
      </c>
      <c r="L78" s="159">
        <f t="shared" si="8"/>
        <v>0.14375987361769352</v>
      </c>
      <c r="M78" s="159">
        <f t="shared" si="8"/>
        <v>0</v>
      </c>
    </row>
    <row r="79" spans="2:13">
      <c r="B79" t="s">
        <v>150</v>
      </c>
      <c r="C79">
        <f t="shared" si="5"/>
        <v>78</v>
      </c>
      <c r="D79" t="str">
        <f t="shared" si="6"/>
        <v>ROUEN78</v>
      </c>
      <c r="E79" t="s">
        <v>151</v>
      </c>
      <c r="F79" t="str">
        <f t="shared" si="7"/>
        <v>ROUEN78</v>
      </c>
      <c r="G79" t="s">
        <v>263</v>
      </c>
      <c r="H79" t="s">
        <v>264</v>
      </c>
      <c r="I79" s="16">
        <v>24.51</v>
      </c>
      <c r="J79" s="16">
        <v>8.33</v>
      </c>
      <c r="K79" s="16">
        <v>0</v>
      </c>
      <c r="L79" s="159">
        <f t="shared" si="8"/>
        <v>0.33986128110975111</v>
      </c>
      <c r="M79" s="159">
        <f t="shared" si="8"/>
        <v>0</v>
      </c>
    </row>
    <row r="80" spans="2:13">
      <c r="B80" t="s">
        <v>150</v>
      </c>
      <c r="C80">
        <f t="shared" si="5"/>
        <v>79</v>
      </c>
      <c r="D80" t="str">
        <f t="shared" si="6"/>
        <v>ROUEN79</v>
      </c>
      <c r="E80" t="s">
        <v>151</v>
      </c>
      <c r="F80" t="str">
        <f t="shared" si="7"/>
        <v>ROUEN79</v>
      </c>
      <c r="G80" t="s">
        <v>259</v>
      </c>
      <c r="H80" t="s">
        <v>1794</v>
      </c>
      <c r="I80" s="16">
        <v>24.48</v>
      </c>
      <c r="J80" s="16">
        <v>4.62</v>
      </c>
      <c r="K80" s="16">
        <v>6.96</v>
      </c>
      <c r="L80" s="159">
        <f t="shared" si="8"/>
        <v>0.18872549019607843</v>
      </c>
      <c r="M80" s="159">
        <f t="shared" si="8"/>
        <v>0.28431372549019607</v>
      </c>
    </row>
    <row r="81" spans="2:13">
      <c r="B81" t="s">
        <v>150</v>
      </c>
      <c r="C81">
        <f t="shared" si="5"/>
        <v>80</v>
      </c>
      <c r="D81" t="str">
        <f t="shared" si="6"/>
        <v>ROUEN80</v>
      </c>
      <c r="E81" t="s">
        <v>151</v>
      </c>
      <c r="F81" t="str">
        <f t="shared" si="7"/>
        <v>ROUEN80</v>
      </c>
      <c r="G81" t="s">
        <v>355</v>
      </c>
      <c r="H81" t="s">
        <v>356</v>
      </c>
      <c r="I81" s="16">
        <v>24.32</v>
      </c>
      <c r="J81" s="16">
        <v>24.32</v>
      </c>
      <c r="K81" s="16">
        <v>7.93</v>
      </c>
      <c r="L81" s="159">
        <f t="shared" si="8"/>
        <v>1</v>
      </c>
      <c r="M81" s="159">
        <f t="shared" si="8"/>
        <v>0.32606907894736842</v>
      </c>
    </row>
    <row r="82" spans="2:13">
      <c r="B82" t="s">
        <v>150</v>
      </c>
      <c r="C82">
        <f t="shared" si="5"/>
        <v>81</v>
      </c>
      <c r="D82" t="str">
        <f t="shared" si="6"/>
        <v>ROUEN81</v>
      </c>
      <c r="E82" t="s">
        <v>151</v>
      </c>
      <c r="F82" t="str">
        <f t="shared" si="7"/>
        <v>ROUEN81</v>
      </c>
      <c r="G82" t="s">
        <v>323</v>
      </c>
      <c r="H82" t="s">
        <v>324</v>
      </c>
      <c r="I82" s="16">
        <v>23.41</v>
      </c>
      <c r="J82" s="16">
        <v>2.58</v>
      </c>
      <c r="K82" s="16">
        <v>0</v>
      </c>
      <c r="L82" s="159">
        <f t="shared" si="8"/>
        <v>0.11020931225971807</v>
      </c>
      <c r="M82" s="159">
        <f t="shared" si="8"/>
        <v>0</v>
      </c>
    </row>
    <row r="83" spans="2:13">
      <c r="B83" t="s">
        <v>150</v>
      </c>
      <c r="C83">
        <f t="shared" si="5"/>
        <v>82</v>
      </c>
      <c r="D83" t="str">
        <f t="shared" si="6"/>
        <v>ROUEN82</v>
      </c>
      <c r="E83" t="s">
        <v>151</v>
      </c>
      <c r="F83" t="str">
        <f t="shared" si="7"/>
        <v>ROUEN82</v>
      </c>
      <c r="G83" t="s">
        <v>304</v>
      </c>
      <c r="H83" t="s">
        <v>1795</v>
      </c>
      <c r="I83" s="16">
        <v>20.93</v>
      </c>
      <c r="J83" s="16">
        <v>0</v>
      </c>
      <c r="K83" s="16">
        <v>0</v>
      </c>
      <c r="L83" s="159">
        <f t="shared" si="8"/>
        <v>0</v>
      </c>
      <c r="M83" s="159">
        <f t="shared" si="8"/>
        <v>0</v>
      </c>
    </row>
    <row r="84" spans="2:13">
      <c r="B84" t="s">
        <v>150</v>
      </c>
      <c r="C84">
        <f t="shared" si="5"/>
        <v>83</v>
      </c>
      <c r="D84" t="str">
        <f t="shared" si="6"/>
        <v>ROUEN83</v>
      </c>
      <c r="E84" t="s">
        <v>151</v>
      </c>
      <c r="F84" t="str">
        <f t="shared" si="7"/>
        <v>ROUEN83</v>
      </c>
      <c r="G84" t="s">
        <v>305</v>
      </c>
      <c r="H84" t="s">
        <v>937</v>
      </c>
      <c r="I84" s="16">
        <v>20.72</v>
      </c>
      <c r="J84" s="16">
        <v>15.85</v>
      </c>
      <c r="K84" s="16">
        <v>0</v>
      </c>
      <c r="L84" s="159">
        <f t="shared" si="8"/>
        <v>0.76496138996138996</v>
      </c>
      <c r="M84" s="159">
        <f t="shared" si="8"/>
        <v>0</v>
      </c>
    </row>
    <row r="85" spans="2:13">
      <c r="B85" t="s">
        <v>150</v>
      </c>
      <c r="C85">
        <f t="shared" si="5"/>
        <v>84</v>
      </c>
      <c r="D85" t="str">
        <f t="shared" si="6"/>
        <v>ROUEN84</v>
      </c>
      <c r="E85" t="s">
        <v>151</v>
      </c>
      <c r="F85" t="str">
        <f t="shared" si="7"/>
        <v>ROUEN84</v>
      </c>
      <c r="G85" t="s">
        <v>312</v>
      </c>
      <c r="H85" t="s">
        <v>1796</v>
      </c>
      <c r="I85" s="16">
        <v>20.13</v>
      </c>
      <c r="J85" s="16">
        <v>0</v>
      </c>
      <c r="K85" s="16">
        <v>6.26</v>
      </c>
      <c r="L85" s="159">
        <f t="shared" si="8"/>
        <v>0</v>
      </c>
      <c r="M85" s="159">
        <f t="shared" si="8"/>
        <v>0.31097863884749133</v>
      </c>
    </row>
    <row r="86" spans="2:13">
      <c r="B86" t="s">
        <v>150</v>
      </c>
      <c r="C86">
        <f t="shared" si="5"/>
        <v>85</v>
      </c>
      <c r="D86" t="str">
        <f t="shared" si="6"/>
        <v>ROUEN85</v>
      </c>
      <c r="E86" t="s">
        <v>151</v>
      </c>
      <c r="F86" t="str">
        <f t="shared" si="7"/>
        <v>ROUEN85</v>
      </c>
      <c r="G86" t="s">
        <v>337</v>
      </c>
      <c r="H86" t="s">
        <v>338</v>
      </c>
      <c r="I86" s="16">
        <v>19.100000000000001</v>
      </c>
      <c r="J86" s="16">
        <v>0</v>
      </c>
      <c r="K86" s="16">
        <v>0</v>
      </c>
      <c r="L86" s="159">
        <f t="shared" si="8"/>
        <v>0</v>
      </c>
      <c r="M86" s="159">
        <f t="shared" si="8"/>
        <v>0</v>
      </c>
    </row>
    <row r="87" spans="2:13">
      <c r="B87" t="s">
        <v>150</v>
      </c>
      <c r="C87">
        <f t="shared" si="5"/>
        <v>86</v>
      </c>
      <c r="D87" t="str">
        <f t="shared" si="6"/>
        <v>ROUEN86</v>
      </c>
      <c r="E87" t="s">
        <v>151</v>
      </c>
      <c r="F87" t="str">
        <f t="shared" si="7"/>
        <v>ROUEN86</v>
      </c>
      <c r="G87" t="s">
        <v>363</v>
      </c>
      <c r="H87" t="s">
        <v>364</v>
      </c>
      <c r="I87" s="16">
        <v>18.82</v>
      </c>
      <c r="J87" s="16">
        <v>0</v>
      </c>
      <c r="K87" s="16">
        <v>0</v>
      </c>
      <c r="L87" s="159">
        <f t="shared" si="8"/>
        <v>0</v>
      </c>
      <c r="M87" s="159">
        <f t="shared" si="8"/>
        <v>0</v>
      </c>
    </row>
    <row r="88" spans="2:13">
      <c r="B88" t="s">
        <v>150</v>
      </c>
      <c r="C88">
        <f t="shared" si="5"/>
        <v>87</v>
      </c>
      <c r="D88" t="str">
        <f t="shared" si="6"/>
        <v>ROUEN87</v>
      </c>
      <c r="E88" t="s">
        <v>151</v>
      </c>
      <c r="F88" t="str">
        <f t="shared" si="7"/>
        <v>ROUEN87</v>
      </c>
      <c r="G88" t="s">
        <v>368</v>
      </c>
      <c r="H88" t="s">
        <v>369</v>
      </c>
      <c r="I88" s="16">
        <v>18.38</v>
      </c>
      <c r="J88" s="16">
        <v>8.01</v>
      </c>
      <c r="K88" s="16">
        <v>0</v>
      </c>
      <c r="L88" s="159">
        <f t="shared" si="8"/>
        <v>0.43579978237214367</v>
      </c>
      <c r="M88" s="159">
        <f t="shared" si="8"/>
        <v>0</v>
      </c>
    </row>
    <row r="89" spans="2:13">
      <c r="B89" t="s">
        <v>150</v>
      </c>
      <c r="C89">
        <f t="shared" si="5"/>
        <v>88</v>
      </c>
      <c r="D89" t="str">
        <f t="shared" si="6"/>
        <v>ROUEN88</v>
      </c>
      <c r="E89" t="s">
        <v>151</v>
      </c>
      <c r="F89" t="str">
        <f t="shared" si="7"/>
        <v>ROUEN88</v>
      </c>
      <c r="G89" t="s">
        <v>293</v>
      </c>
      <c r="H89" t="s">
        <v>294</v>
      </c>
      <c r="I89" s="16">
        <v>18.05</v>
      </c>
      <c r="J89" s="16">
        <v>12.54</v>
      </c>
      <c r="K89" s="16">
        <v>10.16</v>
      </c>
      <c r="L89" s="159">
        <f t="shared" si="8"/>
        <v>0.6947368421052631</v>
      </c>
      <c r="M89" s="159">
        <f t="shared" si="8"/>
        <v>0.56288088642659273</v>
      </c>
    </row>
    <row r="90" spans="2:13">
      <c r="B90" t="s">
        <v>150</v>
      </c>
      <c r="C90">
        <f t="shared" si="5"/>
        <v>89</v>
      </c>
      <c r="D90" t="str">
        <f t="shared" si="6"/>
        <v>ROUEN89</v>
      </c>
      <c r="E90" t="s">
        <v>151</v>
      </c>
      <c r="F90" t="str">
        <f t="shared" si="7"/>
        <v>ROUEN89</v>
      </c>
      <c r="G90" t="s">
        <v>247</v>
      </c>
      <c r="H90" t="s">
        <v>248</v>
      </c>
      <c r="I90" s="16">
        <v>16.260000000000002</v>
      </c>
      <c r="J90" s="16">
        <v>2.08</v>
      </c>
      <c r="K90" s="16">
        <v>5.25</v>
      </c>
      <c r="L90" s="159">
        <f t="shared" si="8"/>
        <v>0.12792127921279212</v>
      </c>
      <c r="M90" s="159">
        <f t="shared" si="8"/>
        <v>0.32287822878228778</v>
      </c>
    </row>
    <row r="91" spans="2:13">
      <c r="B91" t="s">
        <v>150</v>
      </c>
      <c r="C91">
        <f t="shared" si="5"/>
        <v>90</v>
      </c>
      <c r="D91" t="str">
        <f t="shared" si="6"/>
        <v>ROUEN90</v>
      </c>
      <c r="E91" t="s">
        <v>151</v>
      </c>
      <c r="F91" t="str">
        <f t="shared" si="7"/>
        <v>ROUEN90</v>
      </c>
      <c r="G91" t="s">
        <v>254</v>
      </c>
      <c r="H91" t="s">
        <v>931</v>
      </c>
      <c r="I91" s="16">
        <v>16.14</v>
      </c>
      <c r="J91" s="16">
        <v>7.47</v>
      </c>
      <c r="K91" s="16">
        <v>0</v>
      </c>
      <c r="L91" s="159">
        <f t="shared" si="8"/>
        <v>0.46282527881040891</v>
      </c>
      <c r="M91" s="159">
        <f t="shared" si="8"/>
        <v>0</v>
      </c>
    </row>
    <row r="92" spans="2:13">
      <c r="B92" t="s">
        <v>150</v>
      </c>
      <c r="C92">
        <f t="shared" si="5"/>
        <v>91</v>
      </c>
      <c r="D92" t="str">
        <f t="shared" si="6"/>
        <v>ROUEN91</v>
      </c>
      <c r="E92" t="s">
        <v>151</v>
      </c>
      <c r="F92" t="str">
        <f t="shared" si="7"/>
        <v>ROUEN91</v>
      </c>
      <c r="G92" t="s">
        <v>445</v>
      </c>
      <c r="H92" t="s">
        <v>446</v>
      </c>
      <c r="I92" s="16">
        <v>16.09</v>
      </c>
      <c r="J92" s="16">
        <v>0</v>
      </c>
      <c r="K92" s="16">
        <v>0</v>
      </c>
      <c r="L92" s="159">
        <f t="shared" si="8"/>
        <v>0</v>
      </c>
      <c r="M92" s="159">
        <f t="shared" si="8"/>
        <v>0</v>
      </c>
    </row>
    <row r="93" spans="2:13">
      <c r="B93" t="s">
        <v>150</v>
      </c>
      <c r="C93">
        <f t="shared" si="5"/>
        <v>92</v>
      </c>
      <c r="D93" t="str">
        <f t="shared" si="6"/>
        <v>ROUEN92</v>
      </c>
      <c r="E93" t="s">
        <v>151</v>
      </c>
      <c r="F93" t="str">
        <f t="shared" si="7"/>
        <v>ROUEN92</v>
      </c>
      <c r="G93" t="s">
        <v>409</v>
      </c>
      <c r="H93" t="s">
        <v>410</v>
      </c>
      <c r="I93" s="16">
        <v>16.03</v>
      </c>
      <c r="J93" s="16">
        <v>0</v>
      </c>
      <c r="K93" s="16">
        <v>0</v>
      </c>
      <c r="L93" s="159">
        <f t="shared" si="8"/>
        <v>0</v>
      </c>
      <c r="M93" s="159">
        <f t="shared" si="8"/>
        <v>0</v>
      </c>
    </row>
    <row r="94" spans="2:13">
      <c r="B94" t="s">
        <v>150</v>
      </c>
      <c r="C94">
        <f t="shared" si="5"/>
        <v>93</v>
      </c>
      <c r="D94" t="str">
        <f t="shared" si="6"/>
        <v>ROUEN93</v>
      </c>
      <c r="E94" t="s">
        <v>151</v>
      </c>
      <c r="F94" t="str">
        <f t="shared" si="7"/>
        <v>ROUEN93</v>
      </c>
      <c r="G94" t="s">
        <v>362</v>
      </c>
      <c r="H94" t="s">
        <v>943</v>
      </c>
      <c r="I94" s="16">
        <v>15.06</v>
      </c>
      <c r="J94" s="16">
        <v>0</v>
      </c>
      <c r="K94" s="16">
        <v>0</v>
      </c>
      <c r="L94" s="159">
        <f t="shared" si="8"/>
        <v>0</v>
      </c>
      <c r="M94" s="159">
        <f t="shared" si="8"/>
        <v>0</v>
      </c>
    </row>
    <row r="95" spans="2:13">
      <c r="B95" t="s">
        <v>150</v>
      </c>
      <c r="C95">
        <f t="shared" si="5"/>
        <v>94</v>
      </c>
      <c r="D95" t="str">
        <f t="shared" si="6"/>
        <v>ROUEN94</v>
      </c>
      <c r="E95" t="s">
        <v>151</v>
      </c>
      <c r="F95" t="str">
        <f t="shared" si="7"/>
        <v>ROUEN94</v>
      </c>
      <c r="G95" t="s">
        <v>280</v>
      </c>
      <c r="H95" t="s">
        <v>281</v>
      </c>
      <c r="I95" s="16">
        <v>14.87</v>
      </c>
      <c r="J95" s="16">
        <v>0</v>
      </c>
      <c r="K95" s="16">
        <v>6.96</v>
      </c>
      <c r="L95" s="159">
        <f t="shared" si="8"/>
        <v>0</v>
      </c>
      <c r="M95" s="159">
        <f t="shared" si="8"/>
        <v>0.46805648957632823</v>
      </c>
    </row>
    <row r="96" spans="2:13">
      <c r="B96" t="s">
        <v>150</v>
      </c>
      <c r="C96">
        <f t="shared" si="5"/>
        <v>95</v>
      </c>
      <c r="D96" t="str">
        <f t="shared" si="6"/>
        <v>ROUEN95</v>
      </c>
      <c r="E96" t="s">
        <v>151</v>
      </c>
      <c r="F96" t="str">
        <f t="shared" si="7"/>
        <v>ROUEN95</v>
      </c>
      <c r="G96" t="s">
        <v>260</v>
      </c>
      <c r="H96" t="s">
        <v>932</v>
      </c>
      <c r="I96" s="16">
        <v>14.34</v>
      </c>
      <c r="J96" s="16">
        <v>0</v>
      </c>
      <c r="K96" s="16">
        <v>0</v>
      </c>
      <c r="L96" s="159">
        <f t="shared" si="8"/>
        <v>0</v>
      </c>
      <c r="M96" s="159">
        <f t="shared" si="8"/>
        <v>0</v>
      </c>
    </row>
    <row r="97" spans="2:13">
      <c r="B97" t="s">
        <v>150</v>
      </c>
      <c r="C97">
        <f t="shared" si="5"/>
        <v>95</v>
      </c>
      <c r="D97" t="str">
        <f t="shared" si="6"/>
        <v>ROUEN95</v>
      </c>
      <c r="E97" t="s">
        <v>151</v>
      </c>
      <c r="F97" t="str">
        <f t="shared" si="7"/>
        <v>ROUEN95</v>
      </c>
      <c r="G97" t="s">
        <v>295</v>
      </c>
      <c r="H97" t="s">
        <v>296</v>
      </c>
      <c r="I97" s="16">
        <v>14.34</v>
      </c>
      <c r="J97" s="16">
        <v>14.34</v>
      </c>
      <c r="K97" s="16">
        <v>14.34</v>
      </c>
      <c r="L97" s="159">
        <f t="shared" si="8"/>
        <v>1</v>
      </c>
      <c r="M97" s="159">
        <f t="shared" si="8"/>
        <v>1</v>
      </c>
    </row>
    <row r="98" spans="2:13">
      <c r="B98" t="s">
        <v>150</v>
      </c>
      <c r="C98">
        <f t="shared" ref="C98:C129" si="9">RANK(I98,$I$2:$I$153,0)</f>
        <v>97</v>
      </c>
      <c r="D98" t="str">
        <f t="shared" si="6"/>
        <v>ROUEN97</v>
      </c>
      <c r="E98" t="s">
        <v>151</v>
      </c>
      <c r="F98" t="str">
        <f t="shared" si="7"/>
        <v>ROUEN97</v>
      </c>
      <c r="G98" t="s">
        <v>407</v>
      </c>
      <c r="H98" t="s">
        <v>408</v>
      </c>
      <c r="I98" s="16">
        <v>14.28</v>
      </c>
      <c r="J98" s="16">
        <v>0</v>
      </c>
      <c r="K98" s="16">
        <v>0</v>
      </c>
      <c r="L98" s="159">
        <f t="shared" si="8"/>
        <v>0</v>
      </c>
      <c r="M98" s="159">
        <f t="shared" si="8"/>
        <v>0</v>
      </c>
    </row>
    <row r="99" spans="2:13">
      <c r="B99" t="s">
        <v>150</v>
      </c>
      <c r="C99">
        <f t="shared" si="9"/>
        <v>98</v>
      </c>
      <c r="D99" t="str">
        <f t="shared" si="6"/>
        <v>ROUEN98</v>
      </c>
      <c r="E99" t="s">
        <v>151</v>
      </c>
      <c r="F99" t="str">
        <f t="shared" si="7"/>
        <v>ROUEN98</v>
      </c>
      <c r="G99" t="s">
        <v>360</v>
      </c>
      <c r="H99" t="s">
        <v>361</v>
      </c>
      <c r="I99" s="16">
        <v>14.18</v>
      </c>
      <c r="J99" s="16">
        <v>7.91</v>
      </c>
      <c r="K99" s="16">
        <v>0</v>
      </c>
      <c r="L99" s="159">
        <f t="shared" si="8"/>
        <v>0.55782792665726377</v>
      </c>
      <c r="M99" s="159">
        <f t="shared" si="8"/>
        <v>0</v>
      </c>
    </row>
    <row r="100" spans="2:13">
      <c r="B100" t="s">
        <v>150</v>
      </c>
      <c r="C100">
        <f t="shared" si="9"/>
        <v>99</v>
      </c>
      <c r="D100" t="str">
        <f t="shared" si="6"/>
        <v>ROUEN99</v>
      </c>
      <c r="E100" t="s">
        <v>151</v>
      </c>
      <c r="F100" t="str">
        <f t="shared" si="7"/>
        <v>ROUEN99</v>
      </c>
      <c r="G100" t="s">
        <v>375</v>
      </c>
      <c r="H100" t="s">
        <v>376</v>
      </c>
      <c r="I100" s="16">
        <v>13.89</v>
      </c>
      <c r="J100" s="16">
        <v>3.6</v>
      </c>
      <c r="K100" s="16">
        <v>0</v>
      </c>
      <c r="L100" s="159">
        <f t="shared" si="8"/>
        <v>0.25917926565874727</v>
      </c>
      <c r="M100" s="159">
        <f t="shared" si="8"/>
        <v>0</v>
      </c>
    </row>
    <row r="101" spans="2:13">
      <c r="B101" t="s">
        <v>150</v>
      </c>
      <c r="C101">
        <f t="shared" si="9"/>
        <v>100</v>
      </c>
      <c r="D101" t="str">
        <f t="shared" si="6"/>
        <v>ROUEN100</v>
      </c>
      <c r="E101" t="s">
        <v>151</v>
      </c>
      <c r="F101" t="str">
        <f t="shared" si="7"/>
        <v>ROUEN100</v>
      </c>
      <c r="G101" t="s">
        <v>306</v>
      </c>
      <c r="H101" t="s">
        <v>307</v>
      </c>
      <c r="I101" s="16">
        <v>12.77</v>
      </c>
      <c r="J101" s="16">
        <v>0</v>
      </c>
      <c r="K101" s="16">
        <v>0</v>
      </c>
      <c r="L101" s="159">
        <f t="shared" si="8"/>
        <v>0</v>
      </c>
      <c r="M101" s="159">
        <f t="shared" si="8"/>
        <v>0</v>
      </c>
    </row>
    <row r="102" spans="2:13">
      <c r="B102" t="s">
        <v>150</v>
      </c>
      <c r="C102">
        <f t="shared" si="9"/>
        <v>101</v>
      </c>
      <c r="D102" t="str">
        <f t="shared" si="6"/>
        <v>ROUEN101</v>
      </c>
      <c r="E102" t="s">
        <v>151</v>
      </c>
      <c r="F102" t="str">
        <f t="shared" si="7"/>
        <v>ROUEN101</v>
      </c>
      <c r="G102" t="s">
        <v>283</v>
      </c>
      <c r="I102" s="16">
        <v>12.17</v>
      </c>
      <c r="J102" s="16">
        <v>12.17</v>
      </c>
      <c r="K102" s="16">
        <v>0</v>
      </c>
      <c r="L102" s="159">
        <f t="shared" si="8"/>
        <v>1</v>
      </c>
      <c r="M102" s="159">
        <f t="shared" si="8"/>
        <v>0</v>
      </c>
    </row>
    <row r="103" spans="2:13">
      <c r="B103" t="s">
        <v>150</v>
      </c>
      <c r="C103">
        <f t="shared" si="9"/>
        <v>102</v>
      </c>
      <c r="D103" t="str">
        <f t="shared" si="6"/>
        <v>ROUEN102</v>
      </c>
      <c r="E103" t="s">
        <v>151</v>
      </c>
      <c r="F103" t="str">
        <f t="shared" si="7"/>
        <v>ROUEN102</v>
      </c>
      <c r="G103" t="s">
        <v>245</v>
      </c>
      <c r="I103" s="16">
        <v>12.07</v>
      </c>
      <c r="J103" s="16">
        <v>12.07</v>
      </c>
      <c r="K103" s="16">
        <v>12.07</v>
      </c>
      <c r="L103" s="159">
        <f t="shared" si="8"/>
        <v>1</v>
      </c>
      <c r="M103" s="159">
        <f t="shared" si="8"/>
        <v>1</v>
      </c>
    </row>
    <row r="104" spans="2:13">
      <c r="B104" t="s">
        <v>150</v>
      </c>
      <c r="C104">
        <f t="shared" si="9"/>
        <v>103</v>
      </c>
      <c r="D104" t="str">
        <f t="shared" si="6"/>
        <v>ROUEN103</v>
      </c>
      <c r="E104" t="s">
        <v>151</v>
      </c>
      <c r="F104" t="str">
        <f t="shared" si="7"/>
        <v>ROUEN103</v>
      </c>
      <c r="G104" t="s">
        <v>287</v>
      </c>
      <c r="I104" s="16">
        <v>11.51</v>
      </c>
      <c r="J104" s="16">
        <v>0</v>
      </c>
      <c r="K104" s="16">
        <v>0</v>
      </c>
      <c r="L104" s="159">
        <f t="shared" si="8"/>
        <v>0</v>
      </c>
      <c r="M104" s="159">
        <f t="shared" si="8"/>
        <v>0</v>
      </c>
    </row>
    <row r="105" spans="2:13">
      <c r="B105" t="s">
        <v>150</v>
      </c>
      <c r="C105">
        <f t="shared" si="9"/>
        <v>104</v>
      </c>
      <c r="D105" t="str">
        <f t="shared" si="6"/>
        <v>ROUEN104</v>
      </c>
      <c r="E105" t="s">
        <v>151</v>
      </c>
      <c r="F105" t="str">
        <f t="shared" si="7"/>
        <v>ROUEN104</v>
      </c>
      <c r="G105" t="s">
        <v>285</v>
      </c>
      <c r="H105" t="s">
        <v>286</v>
      </c>
      <c r="I105" s="16">
        <v>11.49</v>
      </c>
      <c r="J105" s="16">
        <v>5</v>
      </c>
      <c r="K105" s="16">
        <v>0</v>
      </c>
      <c r="L105" s="159">
        <f t="shared" si="8"/>
        <v>0.4351610095735422</v>
      </c>
      <c r="M105" s="159">
        <f t="shared" si="8"/>
        <v>0</v>
      </c>
    </row>
    <row r="106" spans="2:13">
      <c r="B106" t="s">
        <v>150</v>
      </c>
      <c r="C106">
        <f t="shared" si="9"/>
        <v>105</v>
      </c>
      <c r="D106" t="str">
        <f t="shared" si="6"/>
        <v>ROUEN105</v>
      </c>
      <c r="E106" t="s">
        <v>151</v>
      </c>
      <c r="F106" t="str">
        <f t="shared" si="7"/>
        <v>ROUEN105</v>
      </c>
      <c r="G106" t="s">
        <v>292</v>
      </c>
      <c r="I106" s="16">
        <v>11.39</v>
      </c>
      <c r="J106" s="16">
        <v>6.4</v>
      </c>
      <c r="K106" s="16">
        <v>0</v>
      </c>
      <c r="L106" s="159">
        <f t="shared" si="8"/>
        <v>0.56189640035118527</v>
      </c>
      <c r="M106" s="159">
        <f t="shared" si="8"/>
        <v>0</v>
      </c>
    </row>
    <row r="107" spans="2:13">
      <c r="B107" t="s">
        <v>150</v>
      </c>
      <c r="C107">
        <f t="shared" si="9"/>
        <v>106</v>
      </c>
      <c r="D107" t="str">
        <f t="shared" si="6"/>
        <v>ROUEN106</v>
      </c>
      <c r="E107" t="s">
        <v>151</v>
      </c>
      <c r="F107" t="str">
        <f t="shared" si="7"/>
        <v>ROUEN106</v>
      </c>
      <c r="G107" t="s">
        <v>346</v>
      </c>
      <c r="I107" s="16">
        <v>11.35</v>
      </c>
      <c r="J107" s="16">
        <v>7.87</v>
      </c>
      <c r="K107" s="16">
        <v>3.48</v>
      </c>
      <c r="L107" s="159">
        <f t="shared" si="8"/>
        <v>0.69339207048458151</v>
      </c>
      <c r="M107" s="159">
        <f t="shared" si="8"/>
        <v>0.30660792951541849</v>
      </c>
    </row>
    <row r="108" spans="2:13">
      <c r="B108" t="s">
        <v>150</v>
      </c>
      <c r="C108">
        <f t="shared" si="9"/>
        <v>107</v>
      </c>
      <c r="D108" t="str">
        <f t="shared" si="6"/>
        <v>ROUEN107</v>
      </c>
      <c r="E108" t="s">
        <v>151</v>
      </c>
      <c r="F108" t="str">
        <f t="shared" si="7"/>
        <v>ROUEN107</v>
      </c>
      <c r="G108" t="s">
        <v>415</v>
      </c>
      <c r="I108" s="16">
        <v>10.75</v>
      </c>
      <c r="J108" s="16">
        <v>2.82</v>
      </c>
      <c r="K108" s="16">
        <v>0</v>
      </c>
      <c r="L108" s="159">
        <f t="shared" si="8"/>
        <v>0.26232558139534884</v>
      </c>
      <c r="M108" s="159">
        <f t="shared" si="8"/>
        <v>0</v>
      </c>
    </row>
    <row r="109" spans="2:13">
      <c r="B109" t="s">
        <v>150</v>
      </c>
      <c r="C109">
        <f t="shared" si="9"/>
        <v>108</v>
      </c>
      <c r="D109" t="str">
        <f t="shared" si="6"/>
        <v>ROUEN108</v>
      </c>
      <c r="E109" t="s">
        <v>151</v>
      </c>
      <c r="F109" t="str">
        <f t="shared" si="7"/>
        <v>ROUEN108</v>
      </c>
      <c r="G109" t="s">
        <v>313</v>
      </c>
      <c r="I109" s="16">
        <v>10.52</v>
      </c>
      <c r="J109" s="16">
        <v>4.01</v>
      </c>
      <c r="K109" s="16">
        <v>0</v>
      </c>
      <c r="L109" s="159">
        <f t="shared" si="8"/>
        <v>0.38117870722433461</v>
      </c>
      <c r="M109" s="159">
        <f t="shared" si="8"/>
        <v>0</v>
      </c>
    </row>
    <row r="110" spans="2:13">
      <c r="B110" t="s">
        <v>150</v>
      </c>
      <c r="C110">
        <f t="shared" si="9"/>
        <v>109</v>
      </c>
      <c r="D110" t="str">
        <f t="shared" si="6"/>
        <v>ROUEN109</v>
      </c>
      <c r="E110" t="s">
        <v>151</v>
      </c>
      <c r="F110" t="str">
        <f t="shared" si="7"/>
        <v>ROUEN109</v>
      </c>
      <c r="G110" t="s">
        <v>353</v>
      </c>
      <c r="I110" s="16">
        <v>10.49</v>
      </c>
      <c r="J110" s="16">
        <v>9.2799999999999994</v>
      </c>
      <c r="K110" s="16">
        <v>0</v>
      </c>
      <c r="L110" s="159">
        <f t="shared" si="8"/>
        <v>0.88465204957101995</v>
      </c>
      <c r="M110" s="159">
        <f t="shared" si="8"/>
        <v>0</v>
      </c>
    </row>
    <row r="111" spans="2:13">
      <c r="B111" t="s">
        <v>150</v>
      </c>
      <c r="C111">
        <f t="shared" si="9"/>
        <v>110</v>
      </c>
      <c r="D111" t="str">
        <f t="shared" si="6"/>
        <v>ROUEN110</v>
      </c>
      <c r="E111" t="s">
        <v>151</v>
      </c>
      <c r="F111" t="str">
        <f t="shared" si="7"/>
        <v>ROUEN110</v>
      </c>
      <c r="G111" t="s">
        <v>417</v>
      </c>
      <c r="I111" s="16">
        <v>10.220000000000001</v>
      </c>
      <c r="J111" s="16">
        <v>6.01</v>
      </c>
      <c r="K111" s="16">
        <v>0</v>
      </c>
      <c r="L111" s="159">
        <f t="shared" si="8"/>
        <v>0.58806262230919759</v>
      </c>
      <c r="M111" s="159">
        <f t="shared" si="8"/>
        <v>0</v>
      </c>
    </row>
    <row r="112" spans="2:13">
      <c r="B112" t="s">
        <v>150</v>
      </c>
      <c r="C112">
        <f t="shared" si="9"/>
        <v>111</v>
      </c>
      <c r="D112" t="str">
        <f t="shared" si="6"/>
        <v>ROUEN111</v>
      </c>
      <c r="E112" t="s">
        <v>151</v>
      </c>
      <c r="F112" t="str">
        <f t="shared" si="7"/>
        <v>ROUEN111</v>
      </c>
      <c r="G112" t="s">
        <v>396</v>
      </c>
      <c r="I112" s="16">
        <v>9.93</v>
      </c>
      <c r="J112" s="16">
        <v>0</v>
      </c>
      <c r="K112" s="16">
        <v>0</v>
      </c>
      <c r="L112" s="159">
        <f t="shared" si="8"/>
        <v>0</v>
      </c>
      <c r="M112" s="159">
        <f t="shared" si="8"/>
        <v>0</v>
      </c>
    </row>
    <row r="113" spans="2:13">
      <c r="B113" t="s">
        <v>150</v>
      </c>
      <c r="C113">
        <f t="shared" si="9"/>
        <v>112</v>
      </c>
      <c r="D113" t="str">
        <f t="shared" si="6"/>
        <v>ROUEN112</v>
      </c>
      <c r="E113" t="s">
        <v>151</v>
      </c>
      <c r="F113" t="str">
        <f t="shared" si="7"/>
        <v>ROUEN112</v>
      </c>
      <c r="G113" t="s">
        <v>339</v>
      </c>
      <c r="I113" s="16">
        <v>9.82</v>
      </c>
      <c r="J113" s="16">
        <v>2.58</v>
      </c>
      <c r="K113" s="16">
        <v>7.24</v>
      </c>
      <c r="L113" s="159">
        <f t="shared" si="8"/>
        <v>0.26272912423625255</v>
      </c>
      <c r="M113" s="159">
        <f t="shared" si="8"/>
        <v>0.7372708757637475</v>
      </c>
    </row>
    <row r="114" spans="2:13">
      <c r="B114" t="s">
        <v>150</v>
      </c>
      <c r="C114">
        <f t="shared" si="9"/>
        <v>113</v>
      </c>
      <c r="D114" t="str">
        <f t="shared" si="6"/>
        <v>ROUEN113</v>
      </c>
      <c r="E114" t="s">
        <v>151</v>
      </c>
      <c r="F114" t="str">
        <f t="shared" si="7"/>
        <v>ROUEN113</v>
      </c>
      <c r="G114" t="s">
        <v>302</v>
      </c>
      <c r="I114" s="16">
        <v>9.3699999999999992</v>
      </c>
      <c r="J114" s="16">
        <v>0</v>
      </c>
      <c r="K114" s="16">
        <v>2.95</v>
      </c>
      <c r="L114" s="159">
        <f t="shared" si="8"/>
        <v>0</v>
      </c>
      <c r="M114" s="159">
        <f t="shared" si="8"/>
        <v>0.31483457844183571</v>
      </c>
    </row>
    <row r="115" spans="2:13">
      <c r="B115" t="s">
        <v>150</v>
      </c>
      <c r="C115">
        <f t="shared" si="9"/>
        <v>114</v>
      </c>
      <c r="D115" t="str">
        <f t="shared" si="6"/>
        <v>ROUEN114</v>
      </c>
      <c r="E115" t="s">
        <v>151</v>
      </c>
      <c r="F115" t="str">
        <f t="shared" si="7"/>
        <v>ROUEN114</v>
      </c>
      <c r="G115" t="s">
        <v>411</v>
      </c>
      <c r="I115" s="16">
        <v>8</v>
      </c>
      <c r="J115" s="16">
        <v>0</v>
      </c>
      <c r="K115" s="16">
        <v>0</v>
      </c>
      <c r="L115" s="159">
        <f t="shared" si="8"/>
        <v>0</v>
      </c>
      <c r="M115" s="159">
        <f t="shared" si="8"/>
        <v>0</v>
      </c>
    </row>
    <row r="116" spans="2:13">
      <c r="B116" t="s">
        <v>150</v>
      </c>
      <c r="C116">
        <f t="shared" si="9"/>
        <v>115</v>
      </c>
      <c r="D116" t="str">
        <f t="shared" si="6"/>
        <v>ROUEN115</v>
      </c>
      <c r="E116" t="s">
        <v>151</v>
      </c>
      <c r="F116" t="str">
        <f t="shared" si="7"/>
        <v>ROUEN115</v>
      </c>
      <c r="G116" t="s">
        <v>444</v>
      </c>
      <c r="I116" s="16">
        <v>7.93</v>
      </c>
      <c r="J116" s="16">
        <v>7.93</v>
      </c>
      <c r="K116" s="16">
        <v>7.93</v>
      </c>
      <c r="L116" s="159">
        <f t="shared" si="8"/>
        <v>1</v>
      </c>
      <c r="M116" s="159">
        <f t="shared" si="8"/>
        <v>1</v>
      </c>
    </row>
    <row r="117" spans="2:13">
      <c r="B117" t="s">
        <v>150</v>
      </c>
      <c r="C117">
        <f t="shared" si="9"/>
        <v>115</v>
      </c>
      <c r="D117" t="str">
        <f t="shared" si="6"/>
        <v>ROUEN115</v>
      </c>
      <c r="E117" t="s">
        <v>151</v>
      </c>
      <c r="F117" t="str">
        <f t="shared" si="7"/>
        <v>ROUEN115</v>
      </c>
      <c r="G117" t="s">
        <v>268</v>
      </c>
      <c r="H117" t="s">
        <v>269</v>
      </c>
      <c r="I117" s="16">
        <v>7.93</v>
      </c>
      <c r="J117" s="16">
        <v>0</v>
      </c>
      <c r="K117" s="16">
        <v>0</v>
      </c>
      <c r="L117" s="159">
        <f t="shared" si="8"/>
        <v>0</v>
      </c>
      <c r="M117" s="159">
        <f t="shared" si="8"/>
        <v>0</v>
      </c>
    </row>
    <row r="118" spans="2:13">
      <c r="B118" t="s">
        <v>150</v>
      </c>
      <c r="C118">
        <f t="shared" si="9"/>
        <v>117</v>
      </c>
      <c r="D118" t="str">
        <f t="shared" si="6"/>
        <v>ROUEN117</v>
      </c>
      <c r="E118" t="s">
        <v>151</v>
      </c>
      <c r="F118" t="str">
        <f t="shared" si="7"/>
        <v>ROUEN117</v>
      </c>
      <c r="G118" t="s">
        <v>352</v>
      </c>
      <c r="I118" s="16">
        <v>7.61</v>
      </c>
      <c r="J118" s="16">
        <v>0</v>
      </c>
      <c r="K118" s="16">
        <v>0</v>
      </c>
      <c r="L118" s="159">
        <f t="shared" si="8"/>
        <v>0</v>
      </c>
      <c r="M118" s="159">
        <f t="shared" si="8"/>
        <v>0</v>
      </c>
    </row>
    <row r="119" spans="2:13">
      <c r="B119" t="s">
        <v>150</v>
      </c>
      <c r="C119">
        <f t="shared" si="9"/>
        <v>118</v>
      </c>
      <c r="D119" t="str">
        <f t="shared" si="6"/>
        <v>ROUEN118</v>
      </c>
      <c r="E119" t="s">
        <v>151</v>
      </c>
      <c r="F119" t="str">
        <f t="shared" si="7"/>
        <v>ROUEN118</v>
      </c>
      <c r="G119" t="s">
        <v>316</v>
      </c>
      <c r="H119" t="s">
        <v>317</v>
      </c>
      <c r="I119" s="16">
        <v>7.57</v>
      </c>
      <c r="J119" s="16">
        <v>0</v>
      </c>
      <c r="K119" s="16">
        <v>7.57</v>
      </c>
      <c r="L119" s="159">
        <f t="shared" si="8"/>
        <v>0</v>
      </c>
      <c r="M119" s="159">
        <f t="shared" si="8"/>
        <v>1</v>
      </c>
    </row>
    <row r="120" spans="2:13">
      <c r="B120" t="s">
        <v>150</v>
      </c>
      <c r="C120">
        <f t="shared" si="9"/>
        <v>119</v>
      </c>
      <c r="D120" t="str">
        <f t="shared" si="6"/>
        <v>ROUEN119</v>
      </c>
      <c r="E120" t="s">
        <v>151</v>
      </c>
      <c r="F120" t="str">
        <f t="shared" si="7"/>
        <v>ROUEN119</v>
      </c>
      <c r="G120" t="s">
        <v>344</v>
      </c>
      <c r="I120" s="16">
        <v>7.32</v>
      </c>
      <c r="J120" s="16">
        <v>0</v>
      </c>
      <c r="K120" s="16">
        <v>0</v>
      </c>
      <c r="L120" s="159">
        <f t="shared" si="8"/>
        <v>0</v>
      </c>
      <c r="M120" s="159">
        <f t="shared" si="8"/>
        <v>0</v>
      </c>
    </row>
    <row r="121" spans="2:13">
      <c r="B121" t="s">
        <v>150</v>
      </c>
      <c r="C121">
        <f t="shared" si="9"/>
        <v>120</v>
      </c>
      <c r="D121" t="str">
        <f t="shared" si="6"/>
        <v>ROUEN120</v>
      </c>
      <c r="E121" t="s">
        <v>151</v>
      </c>
      <c r="F121" t="str">
        <f t="shared" si="7"/>
        <v>ROUEN120</v>
      </c>
      <c r="G121" t="s">
        <v>288</v>
      </c>
      <c r="I121" s="16">
        <v>7.24</v>
      </c>
      <c r="J121" s="16">
        <v>0</v>
      </c>
      <c r="K121" s="16">
        <v>0</v>
      </c>
      <c r="L121" s="159">
        <f t="shared" si="8"/>
        <v>0</v>
      </c>
      <c r="M121" s="159">
        <f t="shared" si="8"/>
        <v>0</v>
      </c>
    </row>
    <row r="122" spans="2:13">
      <c r="B122" t="s">
        <v>150</v>
      </c>
      <c r="C122">
        <f t="shared" si="9"/>
        <v>121</v>
      </c>
      <c r="D122" t="str">
        <f t="shared" si="6"/>
        <v>ROUEN121</v>
      </c>
      <c r="E122" t="s">
        <v>151</v>
      </c>
      <c r="F122" t="str">
        <f t="shared" si="7"/>
        <v>ROUEN121</v>
      </c>
      <c r="G122" t="s">
        <v>278</v>
      </c>
      <c r="H122" t="s">
        <v>934</v>
      </c>
      <c r="I122" s="16">
        <v>7.23</v>
      </c>
      <c r="J122" s="16">
        <v>0</v>
      </c>
      <c r="K122" s="16">
        <v>0</v>
      </c>
      <c r="L122" s="159">
        <f t="shared" si="8"/>
        <v>0</v>
      </c>
      <c r="M122" s="159">
        <f t="shared" si="8"/>
        <v>0</v>
      </c>
    </row>
    <row r="123" spans="2:13">
      <c r="B123" t="s">
        <v>150</v>
      </c>
      <c r="C123">
        <f t="shared" si="9"/>
        <v>122</v>
      </c>
      <c r="D123" t="str">
        <f t="shared" si="6"/>
        <v>ROUEN122</v>
      </c>
      <c r="E123" t="s">
        <v>151</v>
      </c>
      <c r="F123" t="str">
        <f t="shared" si="7"/>
        <v>ROUEN122</v>
      </c>
      <c r="G123" t="s">
        <v>398</v>
      </c>
      <c r="I123" s="16">
        <v>6.92</v>
      </c>
      <c r="J123" s="16">
        <v>0</v>
      </c>
      <c r="K123" s="16">
        <v>0</v>
      </c>
      <c r="L123" s="159">
        <f t="shared" si="8"/>
        <v>0</v>
      </c>
      <c r="M123" s="159">
        <f t="shared" si="8"/>
        <v>0</v>
      </c>
    </row>
    <row r="124" spans="2:13">
      <c r="B124" t="s">
        <v>150</v>
      </c>
      <c r="C124">
        <f t="shared" si="9"/>
        <v>123</v>
      </c>
      <c r="D124" t="str">
        <f t="shared" si="6"/>
        <v>ROUEN123</v>
      </c>
      <c r="E124" t="s">
        <v>151</v>
      </c>
      <c r="F124" t="str">
        <f t="shared" si="7"/>
        <v>ROUEN123</v>
      </c>
      <c r="G124" t="s">
        <v>277</v>
      </c>
      <c r="I124" s="16">
        <v>6.86</v>
      </c>
      <c r="J124" s="16">
        <v>0</v>
      </c>
      <c r="K124" s="16">
        <v>0</v>
      </c>
      <c r="L124" s="159">
        <f t="shared" si="8"/>
        <v>0</v>
      </c>
      <c r="M124" s="159">
        <f t="shared" si="8"/>
        <v>0</v>
      </c>
    </row>
    <row r="125" spans="2:13">
      <c r="B125" t="s">
        <v>150</v>
      </c>
      <c r="C125">
        <f t="shared" si="9"/>
        <v>124</v>
      </c>
      <c r="D125" t="str">
        <f t="shared" si="6"/>
        <v>ROUEN124</v>
      </c>
      <c r="E125" t="s">
        <v>151</v>
      </c>
      <c r="F125" t="str">
        <f t="shared" si="7"/>
        <v>ROUEN124</v>
      </c>
      <c r="G125" t="s">
        <v>436</v>
      </c>
      <c r="I125" s="16">
        <v>6.19</v>
      </c>
      <c r="J125" s="16">
        <v>0</v>
      </c>
      <c r="K125" s="16">
        <v>0</v>
      </c>
      <c r="L125" s="159">
        <f t="shared" si="8"/>
        <v>0</v>
      </c>
      <c r="M125" s="159">
        <f t="shared" si="8"/>
        <v>0</v>
      </c>
    </row>
    <row r="126" spans="2:13">
      <c r="B126" t="s">
        <v>150</v>
      </c>
      <c r="C126">
        <f t="shared" si="9"/>
        <v>125</v>
      </c>
      <c r="D126" t="str">
        <f t="shared" si="6"/>
        <v>ROUEN125</v>
      </c>
      <c r="E126" t="s">
        <v>151</v>
      </c>
      <c r="F126" t="str">
        <f t="shared" si="7"/>
        <v>ROUEN125</v>
      </c>
      <c r="G126" t="s">
        <v>441</v>
      </c>
      <c r="I126" s="16">
        <v>5.86</v>
      </c>
      <c r="J126" s="16">
        <v>5.86</v>
      </c>
      <c r="K126" s="16">
        <v>0</v>
      </c>
      <c r="L126" s="159">
        <f t="shared" si="8"/>
        <v>1</v>
      </c>
      <c r="M126" s="159">
        <f t="shared" si="8"/>
        <v>0</v>
      </c>
    </row>
    <row r="127" spans="2:13">
      <c r="B127" t="s">
        <v>150</v>
      </c>
      <c r="C127">
        <f t="shared" si="9"/>
        <v>126</v>
      </c>
      <c r="D127" t="str">
        <f t="shared" si="6"/>
        <v>ROUEN126</v>
      </c>
      <c r="E127" t="s">
        <v>151</v>
      </c>
      <c r="F127" t="str">
        <f t="shared" si="7"/>
        <v>ROUEN126</v>
      </c>
      <c r="G127" t="s">
        <v>279</v>
      </c>
      <c r="I127" s="16">
        <v>5.73</v>
      </c>
      <c r="J127" s="16">
        <v>3.64</v>
      </c>
      <c r="K127" s="16">
        <v>0</v>
      </c>
      <c r="L127" s="159">
        <f t="shared" si="8"/>
        <v>0.63525305410122157</v>
      </c>
      <c r="M127" s="159">
        <f t="shared" si="8"/>
        <v>0</v>
      </c>
    </row>
    <row r="128" spans="2:13">
      <c r="B128" t="s">
        <v>150</v>
      </c>
      <c r="C128">
        <f t="shared" si="9"/>
        <v>127</v>
      </c>
      <c r="D128" t="str">
        <f t="shared" si="6"/>
        <v>ROUEN127</v>
      </c>
      <c r="E128" t="s">
        <v>151</v>
      </c>
      <c r="F128" t="str">
        <f t="shared" si="7"/>
        <v>ROUEN127</v>
      </c>
      <c r="G128" t="s">
        <v>255</v>
      </c>
      <c r="H128" t="s">
        <v>256</v>
      </c>
      <c r="I128" s="16">
        <v>5.63</v>
      </c>
      <c r="J128" s="16">
        <v>5.63</v>
      </c>
      <c r="K128" s="16">
        <v>0</v>
      </c>
      <c r="L128" s="159">
        <f t="shared" si="8"/>
        <v>1</v>
      </c>
      <c r="M128" s="159">
        <f t="shared" si="8"/>
        <v>0</v>
      </c>
    </row>
    <row r="129" spans="2:13">
      <c r="B129" t="s">
        <v>150</v>
      </c>
      <c r="C129">
        <f t="shared" si="9"/>
        <v>128</v>
      </c>
      <c r="D129" t="str">
        <f t="shared" si="6"/>
        <v>ROUEN128</v>
      </c>
      <c r="E129" t="s">
        <v>151</v>
      </c>
      <c r="F129" t="str">
        <f t="shared" si="7"/>
        <v>ROUEN128</v>
      </c>
      <c r="G129" t="s">
        <v>379</v>
      </c>
      <c r="H129" t="s">
        <v>944</v>
      </c>
      <c r="I129" s="16">
        <v>5.38</v>
      </c>
      <c r="J129" s="16">
        <v>3.74</v>
      </c>
      <c r="K129" s="16">
        <v>0</v>
      </c>
      <c r="L129" s="159">
        <f t="shared" si="8"/>
        <v>0.69516728624535318</v>
      </c>
      <c r="M129" s="159">
        <f t="shared" si="8"/>
        <v>0</v>
      </c>
    </row>
    <row r="130" spans="2:13">
      <c r="B130" t="s">
        <v>150</v>
      </c>
      <c r="C130">
        <f t="shared" ref="C130:C153" si="10">RANK(I130,$I$2:$I$153,0)</f>
        <v>129</v>
      </c>
      <c r="D130" t="str">
        <f t="shared" ref="D130:D193" si="11">CONCATENATE(E130,C130)</f>
        <v>ROUEN129</v>
      </c>
      <c r="E130" t="s">
        <v>151</v>
      </c>
      <c r="F130" t="str">
        <f t="shared" si="7"/>
        <v>ROUEN129</v>
      </c>
      <c r="G130" t="s">
        <v>393</v>
      </c>
      <c r="I130" s="16">
        <v>5.28</v>
      </c>
      <c r="J130" s="16">
        <v>2.08</v>
      </c>
      <c r="K130" s="16">
        <v>0</v>
      </c>
      <c r="L130" s="159">
        <f t="shared" si="8"/>
        <v>0.39393939393939392</v>
      </c>
      <c r="M130" s="159">
        <f t="shared" si="8"/>
        <v>0</v>
      </c>
    </row>
    <row r="131" spans="2:13">
      <c r="B131" t="s">
        <v>150</v>
      </c>
      <c r="C131">
        <f t="shared" si="10"/>
        <v>130</v>
      </c>
      <c r="D131" t="str">
        <f t="shared" si="11"/>
        <v>ROUEN130</v>
      </c>
      <c r="E131" t="s">
        <v>151</v>
      </c>
      <c r="F131" t="str">
        <f t="shared" ref="F131:F194" si="12">D131</f>
        <v>ROUEN130</v>
      </c>
      <c r="G131" t="s">
        <v>315</v>
      </c>
      <c r="I131" s="16">
        <v>5.16</v>
      </c>
      <c r="J131" s="16">
        <v>0</v>
      </c>
      <c r="K131" s="16">
        <v>5.16</v>
      </c>
      <c r="L131" s="159">
        <f t="shared" ref="L131:M194" si="13">J131/$I131</f>
        <v>0</v>
      </c>
      <c r="M131" s="159">
        <f t="shared" si="13"/>
        <v>1</v>
      </c>
    </row>
    <row r="132" spans="2:13">
      <c r="B132" t="s">
        <v>150</v>
      </c>
      <c r="C132">
        <f t="shared" si="10"/>
        <v>131</v>
      </c>
      <c r="D132" t="str">
        <f t="shared" si="11"/>
        <v>ROUEN131</v>
      </c>
      <c r="E132" t="s">
        <v>151</v>
      </c>
      <c r="F132" t="str">
        <f t="shared" si="12"/>
        <v>ROUEN131</v>
      </c>
      <c r="G132" t="s">
        <v>388</v>
      </c>
      <c r="I132" s="16">
        <v>4.9800000000000004</v>
      </c>
      <c r="J132" s="16">
        <v>0</v>
      </c>
      <c r="K132" s="16">
        <v>0</v>
      </c>
      <c r="L132" s="159">
        <f t="shared" si="13"/>
        <v>0</v>
      </c>
      <c r="M132" s="159">
        <f t="shared" si="13"/>
        <v>0</v>
      </c>
    </row>
    <row r="133" spans="2:13">
      <c r="B133" t="s">
        <v>150</v>
      </c>
      <c r="C133">
        <f t="shared" si="10"/>
        <v>132</v>
      </c>
      <c r="D133" t="str">
        <f t="shared" si="11"/>
        <v>ROUEN132</v>
      </c>
      <c r="E133" t="s">
        <v>151</v>
      </c>
      <c r="F133" t="str">
        <f t="shared" si="12"/>
        <v>ROUEN132</v>
      </c>
      <c r="G133" t="s">
        <v>423</v>
      </c>
      <c r="I133" s="16">
        <v>4.88</v>
      </c>
      <c r="J133" s="16">
        <v>4.88</v>
      </c>
      <c r="K133" s="16">
        <v>0</v>
      </c>
      <c r="L133" s="159">
        <f t="shared" si="13"/>
        <v>1</v>
      </c>
      <c r="M133" s="159">
        <f t="shared" si="13"/>
        <v>0</v>
      </c>
    </row>
    <row r="134" spans="2:13">
      <c r="B134" t="s">
        <v>150</v>
      </c>
      <c r="C134">
        <f t="shared" si="10"/>
        <v>133</v>
      </c>
      <c r="D134" t="str">
        <f t="shared" si="11"/>
        <v>ROUEN133</v>
      </c>
      <c r="E134" t="s">
        <v>151</v>
      </c>
      <c r="F134" t="str">
        <f t="shared" si="12"/>
        <v>ROUEN133</v>
      </c>
      <c r="G134" t="s">
        <v>365</v>
      </c>
      <c r="I134" s="16">
        <v>4.62</v>
      </c>
      <c r="J134" s="16">
        <v>0</v>
      </c>
      <c r="K134" s="16">
        <v>0</v>
      </c>
      <c r="L134" s="159">
        <f t="shared" si="13"/>
        <v>0</v>
      </c>
      <c r="M134" s="159">
        <f t="shared" si="13"/>
        <v>0</v>
      </c>
    </row>
    <row r="135" spans="2:13">
      <c r="B135" t="s">
        <v>150</v>
      </c>
      <c r="C135">
        <f t="shared" si="10"/>
        <v>134</v>
      </c>
      <c r="D135" t="str">
        <f t="shared" si="11"/>
        <v>ROUEN134</v>
      </c>
      <c r="E135" t="s">
        <v>151</v>
      </c>
      <c r="F135" t="str">
        <f t="shared" si="12"/>
        <v>ROUEN134</v>
      </c>
      <c r="G135" t="s">
        <v>366</v>
      </c>
      <c r="I135" s="16">
        <v>4.46</v>
      </c>
      <c r="J135" s="16">
        <v>0</v>
      </c>
      <c r="K135" s="16">
        <v>0</v>
      </c>
      <c r="L135" s="159">
        <f t="shared" si="13"/>
        <v>0</v>
      </c>
      <c r="M135" s="159">
        <f t="shared" si="13"/>
        <v>0</v>
      </c>
    </row>
    <row r="136" spans="2:13">
      <c r="B136" t="s">
        <v>150</v>
      </c>
      <c r="C136">
        <f t="shared" si="10"/>
        <v>135</v>
      </c>
      <c r="D136" t="str">
        <f t="shared" si="11"/>
        <v>ROUEN135</v>
      </c>
      <c r="E136" t="s">
        <v>151</v>
      </c>
      <c r="F136" t="str">
        <f t="shared" si="12"/>
        <v>ROUEN135</v>
      </c>
      <c r="G136" t="s">
        <v>438</v>
      </c>
      <c r="I136" s="16">
        <v>4.29</v>
      </c>
      <c r="J136" s="16">
        <v>4.29</v>
      </c>
      <c r="K136" s="16">
        <v>0</v>
      </c>
      <c r="L136" s="159">
        <f t="shared" si="13"/>
        <v>1</v>
      </c>
      <c r="M136" s="159">
        <f t="shared" si="13"/>
        <v>0</v>
      </c>
    </row>
    <row r="137" spans="2:13">
      <c r="B137" t="s">
        <v>150</v>
      </c>
      <c r="C137">
        <f t="shared" si="10"/>
        <v>136</v>
      </c>
      <c r="D137" t="str">
        <f t="shared" si="11"/>
        <v>ROUEN136</v>
      </c>
      <c r="E137" t="s">
        <v>151</v>
      </c>
      <c r="F137" t="str">
        <f t="shared" si="12"/>
        <v>ROUEN136</v>
      </c>
      <c r="G137" t="s">
        <v>384</v>
      </c>
      <c r="I137" s="16">
        <v>4.2300000000000004</v>
      </c>
      <c r="J137" s="16">
        <v>4.2300000000000004</v>
      </c>
      <c r="K137" s="16">
        <v>0</v>
      </c>
      <c r="L137" s="159">
        <f t="shared" si="13"/>
        <v>1</v>
      </c>
      <c r="M137" s="159">
        <f t="shared" si="13"/>
        <v>0</v>
      </c>
    </row>
    <row r="138" spans="2:13">
      <c r="B138" t="s">
        <v>150</v>
      </c>
      <c r="C138">
        <f t="shared" si="10"/>
        <v>137</v>
      </c>
      <c r="D138" t="str">
        <f t="shared" si="11"/>
        <v>ROUEN137</v>
      </c>
      <c r="E138" t="s">
        <v>151</v>
      </c>
      <c r="F138" t="str">
        <f t="shared" si="12"/>
        <v>ROUEN137</v>
      </c>
      <c r="G138" t="s">
        <v>314</v>
      </c>
      <c r="I138" s="16">
        <v>4.07</v>
      </c>
      <c r="J138" s="16">
        <v>0</v>
      </c>
      <c r="K138" s="16">
        <v>0</v>
      </c>
      <c r="L138" s="159">
        <f t="shared" si="13"/>
        <v>0</v>
      </c>
      <c r="M138" s="159">
        <f t="shared" si="13"/>
        <v>0</v>
      </c>
    </row>
    <row r="139" spans="2:13">
      <c r="B139" t="s">
        <v>150</v>
      </c>
      <c r="C139">
        <f t="shared" si="10"/>
        <v>138</v>
      </c>
      <c r="D139" t="str">
        <f t="shared" si="11"/>
        <v>ROUEN138</v>
      </c>
      <c r="E139" t="s">
        <v>151</v>
      </c>
      <c r="F139" t="str">
        <f t="shared" si="12"/>
        <v>ROUEN138</v>
      </c>
      <c r="G139" t="s">
        <v>391</v>
      </c>
      <c r="I139" s="16">
        <v>4.01</v>
      </c>
      <c r="J139" s="16">
        <v>2.37</v>
      </c>
      <c r="K139" s="16">
        <v>0</v>
      </c>
      <c r="L139" s="159">
        <f t="shared" si="13"/>
        <v>0.59102244389027436</v>
      </c>
      <c r="M139" s="159">
        <f t="shared" si="13"/>
        <v>0</v>
      </c>
    </row>
    <row r="140" spans="2:13">
      <c r="B140" t="s">
        <v>150</v>
      </c>
      <c r="C140">
        <f t="shared" si="10"/>
        <v>139</v>
      </c>
      <c r="D140" t="str">
        <f t="shared" si="11"/>
        <v>ROUEN139</v>
      </c>
      <c r="E140" t="s">
        <v>151</v>
      </c>
      <c r="F140" t="str">
        <f t="shared" si="12"/>
        <v>ROUEN139</v>
      </c>
      <c r="G140" t="s">
        <v>261</v>
      </c>
      <c r="I140" s="16">
        <v>4</v>
      </c>
      <c r="J140" s="16">
        <v>0</v>
      </c>
      <c r="K140" s="16">
        <v>4</v>
      </c>
      <c r="L140" s="159">
        <f t="shared" si="13"/>
        <v>0</v>
      </c>
      <c r="M140" s="159">
        <f t="shared" si="13"/>
        <v>1</v>
      </c>
    </row>
    <row r="141" spans="2:13">
      <c r="B141" t="s">
        <v>150</v>
      </c>
      <c r="C141">
        <f t="shared" si="10"/>
        <v>140</v>
      </c>
      <c r="D141" t="str">
        <f t="shared" si="11"/>
        <v>ROUEN140</v>
      </c>
      <c r="E141" t="s">
        <v>151</v>
      </c>
      <c r="F141" t="str">
        <f t="shared" si="12"/>
        <v>ROUEN140</v>
      </c>
      <c r="G141" t="s">
        <v>244</v>
      </c>
      <c r="I141" s="16">
        <v>3.97</v>
      </c>
      <c r="J141" s="16">
        <v>0</v>
      </c>
      <c r="K141" s="16">
        <v>0</v>
      </c>
      <c r="L141" s="159">
        <f t="shared" si="13"/>
        <v>0</v>
      </c>
      <c r="M141" s="159">
        <f t="shared" si="13"/>
        <v>0</v>
      </c>
    </row>
    <row r="142" spans="2:13">
      <c r="B142" t="s">
        <v>150</v>
      </c>
      <c r="C142">
        <f t="shared" si="10"/>
        <v>141</v>
      </c>
      <c r="D142" t="str">
        <f t="shared" si="11"/>
        <v>ROUEN141</v>
      </c>
      <c r="E142" t="s">
        <v>151</v>
      </c>
      <c r="F142" t="str">
        <f t="shared" si="12"/>
        <v>ROUEN141</v>
      </c>
      <c r="G142" t="s">
        <v>403</v>
      </c>
      <c r="I142" s="16">
        <v>3.64</v>
      </c>
      <c r="J142" s="16">
        <v>3.64</v>
      </c>
      <c r="K142" s="16">
        <v>0</v>
      </c>
      <c r="L142" s="159">
        <f t="shared" si="13"/>
        <v>1</v>
      </c>
      <c r="M142" s="159">
        <f t="shared" si="13"/>
        <v>0</v>
      </c>
    </row>
    <row r="143" spans="2:13">
      <c r="B143" t="s">
        <v>150</v>
      </c>
      <c r="C143">
        <f t="shared" si="10"/>
        <v>142</v>
      </c>
      <c r="D143" t="str">
        <f t="shared" si="11"/>
        <v>ROUEN142</v>
      </c>
      <c r="E143" t="s">
        <v>151</v>
      </c>
      <c r="F143" t="str">
        <f t="shared" si="12"/>
        <v>ROUEN142</v>
      </c>
      <c r="G143" t="s">
        <v>432</v>
      </c>
      <c r="I143" s="16">
        <v>3.25</v>
      </c>
      <c r="J143" s="16">
        <v>0</v>
      </c>
      <c r="K143" s="16">
        <v>0</v>
      </c>
      <c r="L143" s="159">
        <f t="shared" si="13"/>
        <v>0</v>
      </c>
      <c r="M143" s="159">
        <f t="shared" si="13"/>
        <v>0</v>
      </c>
    </row>
    <row r="144" spans="2:13">
      <c r="B144" t="s">
        <v>150</v>
      </c>
      <c r="C144">
        <f t="shared" si="10"/>
        <v>143</v>
      </c>
      <c r="D144" t="str">
        <f t="shared" si="11"/>
        <v>ROUEN143</v>
      </c>
      <c r="E144" t="s">
        <v>151</v>
      </c>
      <c r="F144" t="str">
        <f t="shared" si="12"/>
        <v>ROUEN143</v>
      </c>
      <c r="G144" t="s">
        <v>367</v>
      </c>
      <c r="I144" s="16">
        <v>3.23</v>
      </c>
      <c r="J144" s="16">
        <v>3.23</v>
      </c>
      <c r="K144" s="16">
        <v>0</v>
      </c>
      <c r="L144" s="159">
        <f t="shared" si="13"/>
        <v>1</v>
      </c>
      <c r="M144" s="159">
        <f t="shared" si="13"/>
        <v>0</v>
      </c>
    </row>
    <row r="145" spans="2:13">
      <c r="B145" t="s">
        <v>150</v>
      </c>
      <c r="C145">
        <f t="shared" si="10"/>
        <v>144</v>
      </c>
      <c r="D145" t="str">
        <f t="shared" si="11"/>
        <v>ROUEN144</v>
      </c>
      <c r="E145" t="s">
        <v>151</v>
      </c>
      <c r="F145" t="str">
        <f t="shared" si="12"/>
        <v>ROUEN144</v>
      </c>
      <c r="G145" t="s">
        <v>425</v>
      </c>
      <c r="I145" s="16">
        <v>3</v>
      </c>
      <c r="J145" s="16">
        <v>3</v>
      </c>
      <c r="K145" s="16">
        <v>0</v>
      </c>
      <c r="L145" s="159">
        <f t="shared" si="13"/>
        <v>1</v>
      </c>
      <c r="M145" s="159">
        <f t="shared" si="13"/>
        <v>0</v>
      </c>
    </row>
    <row r="146" spans="2:13">
      <c r="B146" t="s">
        <v>150</v>
      </c>
      <c r="C146">
        <f t="shared" si="10"/>
        <v>145</v>
      </c>
      <c r="D146" t="str">
        <f t="shared" si="11"/>
        <v>ROUEN145</v>
      </c>
      <c r="E146" t="s">
        <v>151</v>
      </c>
      <c r="F146" t="str">
        <f t="shared" si="12"/>
        <v>ROUEN145</v>
      </c>
      <c r="G146" t="s">
        <v>427</v>
      </c>
      <c r="H146" t="s">
        <v>1797</v>
      </c>
      <c r="I146" s="16">
        <v>2.82</v>
      </c>
      <c r="J146" s="16">
        <v>0</v>
      </c>
      <c r="K146" s="16">
        <v>0</v>
      </c>
      <c r="L146" s="159">
        <f t="shared" si="13"/>
        <v>0</v>
      </c>
      <c r="M146" s="159">
        <f t="shared" si="13"/>
        <v>0</v>
      </c>
    </row>
    <row r="147" spans="2:13">
      <c r="B147" t="s">
        <v>150</v>
      </c>
      <c r="C147">
        <f t="shared" si="10"/>
        <v>145</v>
      </c>
      <c r="D147" t="str">
        <f t="shared" si="11"/>
        <v>ROUEN145</v>
      </c>
      <c r="E147" t="s">
        <v>151</v>
      </c>
      <c r="F147" t="str">
        <f t="shared" si="12"/>
        <v>ROUEN145</v>
      </c>
      <c r="G147" t="s">
        <v>418</v>
      </c>
      <c r="I147" s="16">
        <v>2.82</v>
      </c>
      <c r="J147" s="16">
        <v>0</v>
      </c>
      <c r="K147" s="16">
        <v>0</v>
      </c>
      <c r="L147" s="159">
        <f t="shared" si="13"/>
        <v>0</v>
      </c>
      <c r="M147" s="159">
        <f t="shared" si="13"/>
        <v>0</v>
      </c>
    </row>
    <row r="148" spans="2:13">
      <c r="B148" t="s">
        <v>150</v>
      </c>
      <c r="C148">
        <f t="shared" si="10"/>
        <v>147</v>
      </c>
      <c r="D148" t="str">
        <f t="shared" si="11"/>
        <v>ROUEN147</v>
      </c>
      <c r="E148" t="s">
        <v>151</v>
      </c>
      <c r="F148" t="str">
        <f t="shared" si="12"/>
        <v>ROUEN147</v>
      </c>
      <c r="G148" t="s">
        <v>429</v>
      </c>
      <c r="I148" s="16">
        <v>2.4</v>
      </c>
      <c r="J148" s="16">
        <v>0</v>
      </c>
      <c r="K148" s="16">
        <v>0</v>
      </c>
      <c r="L148" s="159">
        <f t="shared" si="13"/>
        <v>0</v>
      </c>
      <c r="M148" s="159">
        <f t="shared" si="13"/>
        <v>0</v>
      </c>
    </row>
    <row r="149" spans="2:13">
      <c r="B149" t="s">
        <v>150</v>
      </c>
      <c r="C149">
        <f t="shared" si="10"/>
        <v>148</v>
      </c>
      <c r="D149" t="str">
        <f t="shared" si="11"/>
        <v>ROUEN148</v>
      </c>
      <c r="E149" t="s">
        <v>151</v>
      </c>
      <c r="F149" t="str">
        <f t="shared" si="12"/>
        <v>ROUEN148</v>
      </c>
      <c r="G149" t="s">
        <v>217</v>
      </c>
      <c r="I149" s="16">
        <v>2.08</v>
      </c>
      <c r="J149" s="16">
        <v>2.08</v>
      </c>
      <c r="K149" s="16">
        <v>0</v>
      </c>
      <c r="L149" s="159">
        <f t="shared" si="13"/>
        <v>1</v>
      </c>
      <c r="M149" s="159">
        <f t="shared" si="13"/>
        <v>0</v>
      </c>
    </row>
    <row r="150" spans="2:13">
      <c r="B150" t="s">
        <v>150</v>
      </c>
      <c r="C150">
        <f t="shared" si="10"/>
        <v>149</v>
      </c>
      <c r="D150" t="str">
        <f t="shared" si="11"/>
        <v>ROUEN149</v>
      </c>
      <c r="E150" t="s">
        <v>151</v>
      </c>
      <c r="F150" t="str">
        <f t="shared" si="12"/>
        <v>ROUEN149</v>
      </c>
      <c r="G150" t="s">
        <v>457</v>
      </c>
      <c r="I150" s="16">
        <v>2.0499999999999998</v>
      </c>
      <c r="J150" s="16">
        <v>2.0499999999999998</v>
      </c>
      <c r="K150" s="16">
        <v>0</v>
      </c>
      <c r="L150" s="159">
        <f t="shared" si="13"/>
        <v>1</v>
      </c>
      <c r="M150" s="159">
        <f t="shared" si="13"/>
        <v>0</v>
      </c>
    </row>
    <row r="151" spans="2:13">
      <c r="B151" t="s">
        <v>150</v>
      </c>
      <c r="C151">
        <f t="shared" si="10"/>
        <v>150</v>
      </c>
      <c r="D151" t="str">
        <f t="shared" si="11"/>
        <v>ROUEN150</v>
      </c>
      <c r="E151" t="s">
        <v>151</v>
      </c>
      <c r="F151" t="str">
        <f t="shared" si="12"/>
        <v>ROUEN150</v>
      </c>
      <c r="G151" t="s">
        <v>435</v>
      </c>
      <c r="I151" s="16">
        <v>2.0099999999999998</v>
      </c>
      <c r="J151" s="16">
        <v>2.0099999999999998</v>
      </c>
      <c r="K151" s="16">
        <v>0</v>
      </c>
      <c r="L151" s="159">
        <f t="shared" si="13"/>
        <v>1</v>
      </c>
      <c r="M151" s="159">
        <f t="shared" si="13"/>
        <v>0</v>
      </c>
    </row>
    <row r="152" spans="2:13">
      <c r="B152" t="s">
        <v>150</v>
      </c>
      <c r="C152">
        <f t="shared" si="10"/>
        <v>151</v>
      </c>
      <c r="D152" t="str">
        <f t="shared" si="11"/>
        <v>ROUEN151</v>
      </c>
      <c r="E152" t="s">
        <v>151</v>
      </c>
      <c r="F152" t="str">
        <f t="shared" si="12"/>
        <v>ROUEN151</v>
      </c>
      <c r="G152" t="s">
        <v>450</v>
      </c>
      <c r="I152" s="16">
        <v>1.95</v>
      </c>
      <c r="J152" s="16">
        <v>1.95</v>
      </c>
      <c r="K152" s="16">
        <v>0</v>
      </c>
      <c r="L152" s="159">
        <f t="shared" si="13"/>
        <v>1</v>
      </c>
      <c r="M152" s="159">
        <f t="shared" si="13"/>
        <v>0</v>
      </c>
    </row>
    <row r="153" spans="2:13">
      <c r="B153" t="s">
        <v>150</v>
      </c>
      <c r="C153">
        <f t="shared" si="10"/>
        <v>152</v>
      </c>
      <c r="D153" t="str">
        <f t="shared" si="11"/>
        <v>ROUEN152</v>
      </c>
      <c r="E153" t="s">
        <v>151</v>
      </c>
      <c r="F153" t="str">
        <f t="shared" si="12"/>
        <v>ROUEN152</v>
      </c>
      <c r="G153" t="s">
        <v>397</v>
      </c>
      <c r="I153" s="16">
        <v>1.64</v>
      </c>
      <c r="J153" s="16">
        <v>0</v>
      </c>
      <c r="K153" s="16">
        <v>0</v>
      </c>
      <c r="L153" s="159">
        <f t="shared" si="13"/>
        <v>0</v>
      </c>
      <c r="M153" s="159">
        <f t="shared" si="13"/>
        <v>0</v>
      </c>
    </row>
    <row r="154" spans="2:13">
      <c r="B154" t="s">
        <v>154</v>
      </c>
      <c r="C154">
        <f t="shared" ref="C154:C185" si="14">RANK(I154,$I$154:$I$323,0)</f>
        <v>1</v>
      </c>
      <c r="D154" t="str">
        <f t="shared" si="11"/>
        <v>LILLE1</v>
      </c>
      <c r="E154" t="s">
        <v>155</v>
      </c>
      <c r="F154" t="str">
        <f t="shared" si="12"/>
        <v>LILLE1</v>
      </c>
      <c r="G154" t="s">
        <v>225</v>
      </c>
      <c r="H154" t="s">
        <v>1779</v>
      </c>
      <c r="I154" s="16">
        <v>1343.39</v>
      </c>
      <c r="J154" s="16">
        <v>152.74</v>
      </c>
      <c r="K154" s="16">
        <v>24.37</v>
      </c>
      <c r="L154" s="159">
        <f t="shared" si="13"/>
        <v>0.11369743708081793</v>
      </c>
      <c r="M154" s="159">
        <f t="shared" si="13"/>
        <v>1.8140673966606867E-2</v>
      </c>
    </row>
    <row r="155" spans="2:13">
      <c r="B155" t="s">
        <v>154</v>
      </c>
      <c r="C155">
        <f t="shared" si="14"/>
        <v>2</v>
      </c>
      <c r="D155" t="str">
        <f t="shared" si="11"/>
        <v>LILLE2</v>
      </c>
      <c r="E155" t="s">
        <v>155</v>
      </c>
      <c r="F155" t="str">
        <f t="shared" si="12"/>
        <v>LILLE2</v>
      </c>
      <c r="G155" t="s">
        <v>211</v>
      </c>
      <c r="H155" t="s">
        <v>908</v>
      </c>
      <c r="I155" s="16">
        <v>1341.55</v>
      </c>
      <c r="J155" s="16">
        <v>224.9</v>
      </c>
      <c r="K155" s="16">
        <v>914.24</v>
      </c>
      <c r="L155" s="159">
        <f t="shared" si="13"/>
        <v>0.16764190674965526</v>
      </c>
      <c r="M155" s="159">
        <f t="shared" si="13"/>
        <v>0.68148037717565502</v>
      </c>
    </row>
    <row r="156" spans="2:13">
      <c r="B156" t="s">
        <v>154</v>
      </c>
      <c r="C156">
        <f t="shared" si="14"/>
        <v>3</v>
      </c>
      <c r="D156" t="str">
        <f t="shared" si="11"/>
        <v>LILLE3</v>
      </c>
      <c r="E156" t="s">
        <v>155</v>
      </c>
      <c r="F156" t="str">
        <f t="shared" si="12"/>
        <v>LILLE3</v>
      </c>
      <c r="G156" t="s">
        <v>354</v>
      </c>
      <c r="H156" t="s">
        <v>942</v>
      </c>
      <c r="I156" s="16">
        <v>937.63</v>
      </c>
      <c r="J156" s="16">
        <v>695.11</v>
      </c>
      <c r="K156" s="16">
        <v>0</v>
      </c>
      <c r="L156" s="159">
        <f t="shared" si="13"/>
        <v>0.74134786642918848</v>
      </c>
      <c r="M156" s="159">
        <f t="shared" si="13"/>
        <v>0</v>
      </c>
    </row>
    <row r="157" spans="2:13">
      <c r="B157" t="s">
        <v>154</v>
      </c>
      <c r="C157">
        <f t="shared" si="14"/>
        <v>4</v>
      </c>
      <c r="D157" t="str">
        <f t="shared" si="11"/>
        <v>LILLE4</v>
      </c>
      <c r="E157" t="s">
        <v>155</v>
      </c>
      <c r="F157" t="str">
        <f t="shared" si="12"/>
        <v>LILLE4</v>
      </c>
      <c r="G157" t="s">
        <v>208</v>
      </c>
      <c r="H157" t="s">
        <v>907</v>
      </c>
      <c r="I157" s="16">
        <v>702.01</v>
      </c>
      <c r="J157" s="16">
        <v>116.25</v>
      </c>
      <c r="K157" s="16">
        <v>222.81</v>
      </c>
      <c r="L157" s="159">
        <f t="shared" si="13"/>
        <v>0.16559593168188488</v>
      </c>
      <c r="M157" s="159">
        <f t="shared" si="13"/>
        <v>0.31738864118744747</v>
      </c>
    </row>
    <row r="158" spans="2:13">
      <c r="B158" t="s">
        <v>154</v>
      </c>
      <c r="C158">
        <f t="shared" si="14"/>
        <v>5</v>
      </c>
      <c r="D158" t="str">
        <f t="shared" si="11"/>
        <v>LILLE5</v>
      </c>
      <c r="E158" t="s">
        <v>155</v>
      </c>
      <c r="F158" t="str">
        <f t="shared" si="12"/>
        <v>LILLE5</v>
      </c>
      <c r="G158" t="s">
        <v>212</v>
      </c>
      <c r="H158" t="s">
        <v>909</v>
      </c>
      <c r="I158" s="16">
        <v>686.62</v>
      </c>
      <c r="J158" s="16">
        <v>10</v>
      </c>
      <c r="K158" s="16">
        <v>407.43</v>
      </c>
      <c r="L158" s="159">
        <f t="shared" si="13"/>
        <v>1.4564096589088579E-2</v>
      </c>
      <c r="M158" s="159">
        <f t="shared" si="13"/>
        <v>0.59338498732923595</v>
      </c>
    </row>
    <row r="159" spans="2:13">
      <c r="B159" t="s">
        <v>154</v>
      </c>
      <c r="C159">
        <f t="shared" si="14"/>
        <v>6</v>
      </c>
      <c r="D159" t="str">
        <f t="shared" si="11"/>
        <v>LILLE6</v>
      </c>
      <c r="E159" t="s">
        <v>155</v>
      </c>
      <c r="F159" t="str">
        <f t="shared" si="12"/>
        <v>LILLE6</v>
      </c>
      <c r="G159" t="s">
        <v>224</v>
      </c>
      <c r="H159" t="s">
        <v>917</v>
      </c>
      <c r="I159" s="16">
        <v>649.51</v>
      </c>
      <c r="J159" s="16">
        <v>128.61000000000001</v>
      </c>
      <c r="K159" s="16">
        <v>130.29</v>
      </c>
      <c r="L159" s="159">
        <f t="shared" si="13"/>
        <v>0.19801080814768057</v>
      </c>
      <c r="M159" s="159">
        <f t="shared" si="13"/>
        <v>0.20059737340456651</v>
      </c>
    </row>
    <row r="160" spans="2:13">
      <c r="B160" t="s">
        <v>154</v>
      </c>
      <c r="C160">
        <f t="shared" si="14"/>
        <v>7</v>
      </c>
      <c r="D160" t="str">
        <f t="shared" si="11"/>
        <v>LILLE7</v>
      </c>
      <c r="E160" t="s">
        <v>155</v>
      </c>
      <c r="F160" t="str">
        <f t="shared" si="12"/>
        <v>LILLE7</v>
      </c>
      <c r="G160" t="s">
        <v>222</v>
      </c>
      <c r="H160" t="s">
        <v>915</v>
      </c>
      <c r="I160" s="16">
        <v>633.91</v>
      </c>
      <c r="J160" s="16">
        <v>17.350000000000001</v>
      </c>
      <c r="K160" s="16">
        <v>179.59</v>
      </c>
      <c r="L160" s="159">
        <f t="shared" si="13"/>
        <v>2.7369815904465938E-2</v>
      </c>
      <c r="M160" s="159">
        <f t="shared" si="13"/>
        <v>0.28330520105377738</v>
      </c>
    </row>
    <row r="161" spans="2:13">
      <c r="B161" t="s">
        <v>154</v>
      </c>
      <c r="C161">
        <f t="shared" si="14"/>
        <v>8</v>
      </c>
      <c r="D161" t="str">
        <f t="shared" si="11"/>
        <v>LILLE8</v>
      </c>
      <c r="E161" t="s">
        <v>155</v>
      </c>
      <c r="F161" t="str">
        <f t="shared" si="12"/>
        <v>LILLE8</v>
      </c>
      <c r="G161" t="s">
        <v>242</v>
      </c>
      <c r="H161" t="s">
        <v>243</v>
      </c>
      <c r="I161" s="16">
        <v>623.23</v>
      </c>
      <c r="J161" s="16">
        <v>99.37</v>
      </c>
      <c r="K161" s="16">
        <v>206.85</v>
      </c>
      <c r="L161" s="159">
        <f t="shared" si="13"/>
        <v>0.15944354411693917</v>
      </c>
      <c r="M161" s="159">
        <f t="shared" si="13"/>
        <v>0.33189994063186945</v>
      </c>
    </row>
    <row r="162" spans="2:13">
      <c r="B162" t="s">
        <v>154</v>
      </c>
      <c r="C162">
        <f t="shared" si="14"/>
        <v>9</v>
      </c>
      <c r="D162" t="str">
        <f t="shared" si="11"/>
        <v>LILLE9</v>
      </c>
      <c r="E162" t="s">
        <v>155</v>
      </c>
      <c r="F162" t="str">
        <f t="shared" si="12"/>
        <v>LILLE9</v>
      </c>
      <c r="G162" t="s">
        <v>223</v>
      </c>
      <c r="H162" t="s">
        <v>916</v>
      </c>
      <c r="I162" s="16">
        <v>622.41</v>
      </c>
      <c r="J162" s="16">
        <v>152.63</v>
      </c>
      <c r="K162" s="16">
        <v>181.11</v>
      </c>
      <c r="L162" s="159">
        <f t="shared" si="13"/>
        <v>0.24522420912260406</v>
      </c>
      <c r="M162" s="159">
        <f t="shared" si="13"/>
        <v>0.29098182869812506</v>
      </c>
    </row>
    <row r="163" spans="2:13">
      <c r="B163" t="s">
        <v>154</v>
      </c>
      <c r="C163">
        <f t="shared" si="14"/>
        <v>10</v>
      </c>
      <c r="D163" t="str">
        <f t="shared" si="11"/>
        <v>LILLE10</v>
      </c>
      <c r="E163" t="s">
        <v>155</v>
      </c>
      <c r="F163" t="str">
        <f t="shared" si="12"/>
        <v>LILLE10</v>
      </c>
      <c r="G163" t="s">
        <v>216</v>
      </c>
      <c r="H163" t="s">
        <v>910</v>
      </c>
      <c r="I163" s="16">
        <v>589.35</v>
      </c>
      <c r="J163" s="16">
        <v>257.83</v>
      </c>
      <c r="K163" s="16">
        <v>198.45</v>
      </c>
      <c r="L163" s="159">
        <f t="shared" si="13"/>
        <v>0.43748197166369723</v>
      </c>
      <c r="M163" s="159">
        <f t="shared" si="13"/>
        <v>0.33672690251972509</v>
      </c>
    </row>
    <row r="164" spans="2:13">
      <c r="B164" t="s">
        <v>154</v>
      </c>
      <c r="C164">
        <f t="shared" si="14"/>
        <v>11</v>
      </c>
      <c r="D164" t="str">
        <f t="shared" si="11"/>
        <v>LILLE11</v>
      </c>
      <c r="E164" t="s">
        <v>155</v>
      </c>
      <c r="F164" t="str">
        <f t="shared" si="12"/>
        <v>LILLE11</v>
      </c>
      <c r="G164" t="s">
        <v>332</v>
      </c>
      <c r="H164" t="s">
        <v>940</v>
      </c>
      <c r="I164" s="16">
        <v>554.71</v>
      </c>
      <c r="J164" s="16">
        <v>3.41</v>
      </c>
      <c r="K164" s="16">
        <v>35.83</v>
      </c>
      <c r="L164" s="159">
        <f t="shared" si="13"/>
        <v>6.1473562762524563E-3</v>
      </c>
      <c r="M164" s="159">
        <f t="shared" si="13"/>
        <v>6.4592309495051459E-2</v>
      </c>
    </row>
    <row r="165" spans="2:13">
      <c r="B165" t="s">
        <v>154</v>
      </c>
      <c r="C165">
        <f t="shared" si="14"/>
        <v>12</v>
      </c>
      <c r="D165" t="str">
        <f t="shared" si="11"/>
        <v>LILLE12</v>
      </c>
      <c r="E165" t="s">
        <v>155</v>
      </c>
      <c r="F165" t="str">
        <f t="shared" si="12"/>
        <v>LILLE12</v>
      </c>
      <c r="G165" t="s">
        <v>234</v>
      </c>
      <c r="H165" t="s">
        <v>923</v>
      </c>
      <c r="I165" s="16">
        <v>545.20000000000005</v>
      </c>
      <c r="J165" s="16">
        <v>215.97</v>
      </c>
      <c r="K165" s="16">
        <v>23.39</v>
      </c>
      <c r="L165" s="159">
        <f t="shared" si="13"/>
        <v>0.39612986060161404</v>
      </c>
      <c r="M165" s="159">
        <f t="shared" si="13"/>
        <v>4.2901687454145264E-2</v>
      </c>
    </row>
    <row r="166" spans="2:13">
      <c r="B166" t="s">
        <v>154</v>
      </c>
      <c r="C166">
        <f t="shared" si="14"/>
        <v>13</v>
      </c>
      <c r="D166" t="str">
        <f t="shared" si="11"/>
        <v>LILLE13</v>
      </c>
      <c r="E166" t="s">
        <v>155</v>
      </c>
      <c r="F166" t="str">
        <f t="shared" si="12"/>
        <v>LILLE13</v>
      </c>
      <c r="G166" t="s">
        <v>220</v>
      </c>
      <c r="H166" t="s">
        <v>913</v>
      </c>
      <c r="I166" s="16">
        <v>519.22</v>
      </c>
      <c r="J166" s="16">
        <v>71.25</v>
      </c>
      <c r="K166" s="16">
        <v>123.25</v>
      </c>
      <c r="L166" s="159">
        <f t="shared" si="13"/>
        <v>0.13722506837178844</v>
      </c>
      <c r="M166" s="159">
        <f t="shared" si="13"/>
        <v>0.23737529370979546</v>
      </c>
    </row>
    <row r="167" spans="2:13">
      <c r="B167" t="s">
        <v>154</v>
      </c>
      <c r="C167">
        <f t="shared" si="14"/>
        <v>14</v>
      </c>
      <c r="D167" t="str">
        <f t="shared" si="11"/>
        <v>LILLE14</v>
      </c>
      <c r="E167" t="s">
        <v>155</v>
      </c>
      <c r="F167" t="str">
        <f t="shared" si="12"/>
        <v>LILLE14</v>
      </c>
      <c r="G167" t="s">
        <v>221</v>
      </c>
      <c r="H167" t="s">
        <v>914</v>
      </c>
      <c r="I167" s="16">
        <v>511.98</v>
      </c>
      <c r="J167" s="16">
        <v>26.76</v>
      </c>
      <c r="K167" s="16">
        <v>240.02</v>
      </c>
      <c r="L167" s="159">
        <f t="shared" si="13"/>
        <v>5.2267666705730693E-2</v>
      </c>
      <c r="M167" s="159">
        <f t="shared" si="13"/>
        <v>0.46880737528809718</v>
      </c>
    </row>
    <row r="168" spans="2:13">
      <c r="B168" t="s">
        <v>154</v>
      </c>
      <c r="C168">
        <f t="shared" si="14"/>
        <v>15</v>
      </c>
      <c r="D168" t="str">
        <f t="shared" si="11"/>
        <v>LILLE15</v>
      </c>
      <c r="E168" t="s">
        <v>155</v>
      </c>
      <c r="F168" t="str">
        <f t="shared" si="12"/>
        <v>LILLE15</v>
      </c>
      <c r="G168" t="s">
        <v>213</v>
      </c>
      <c r="H168" t="s">
        <v>919</v>
      </c>
      <c r="I168" s="16">
        <v>453.51</v>
      </c>
      <c r="J168" s="16">
        <v>24.87</v>
      </c>
      <c r="K168" s="16">
        <v>215.18</v>
      </c>
      <c r="L168" s="159">
        <f t="shared" si="13"/>
        <v>5.4838923066746051E-2</v>
      </c>
      <c r="M168" s="159">
        <f t="shared" si="13"/>
        <v>0.4744768582831691</v>
      </c>
    </row>
    <row r="169" spans="2:13">
      <c r="B169" t="s">
        <v>154</v>
      </c>
      <c r="C169">
        <f t="shared" si="14"/>
        <v>16</v>
      </c>
      <c r="D169" t="str">
        <f t="shared" si="11"/>
        <v>LILLE16</v>
      </c>
      <c r="E169" t="s">
        <v>155</v>
      </c>
      <c r="F169" t="str">
        <f t="shared" si="12"/>
        <v>LILLE16</v>
      </c>
      <c r="G169" t="s">
        <v>228</v>
      </c>
      <c r="I169" s="16">
        <v>411.6</v>
      </c>
      <c r="J169" s="16">
        <v>198.85</v>
      </c>
      <c r="K169" s="16">
        <v>0</v>
      </c>
      <c r="L169" s="159">
        <f t="shared" si="13"/>
        <v>0.48311467444120504</v>
      </c>
      <c r="M169" s="159">
        <f t="shared" si="13"/>
        <v>0</v>
      </c>
    </row>
    <row r="170" spans="2:13">
      <c r="B170" t="s">
        <v>154</v>
      </c>
      <c r="C170">
        <f t="shared" si="14"/>
        <v>17</v>
      </c>
      <c r="D170" t="str">
        <f t="shared" si="11"/>
        <v>LILLE17</v>
      </c>
      <c r="E170" t="s">
        <v>155</v>
      </c>
      <c r="F170" t="str">
        <f t="shared" si="12"/>
        <v>LILLE17</v>
      </c>
      <c r="G170" t="s">
        <v>207</v>
      </c>
      <c r="H170" t="s">
        <v>906</v>
      </c>
      <c r="I170" s="16">
        <v>407.62</v>
      </c>
      <c r="J170" s="16">
        <v>154.94999999999999</v>
      </c>
      <c r="K170" s="16">
        <v>81.52</v>
      </c>
      <c r="L170" s="159">
        <f t="shared" si="13"/>
        <v>0.38013345763210832</v>
      </c>
      <c r="M170" s="159">
        <f t="shared" si="13"/>
        <v>0.19999018693881554</v>
      </c>
    </row>
    <row r="171" spans="2:13">
      <c r="B171" t="s">
        <v>154</v>
      </c>
      <c r="C171">
        <f t="shared" si="14"/>
        <v>18</v>
      </c>
      <c r="D171" t="str">
        <f t="shared" si="11"/>
        <v>LILLE18</v>
      </c>
      <c r="E171" t="s">
        <v>155</v>
      </c>
      <c r="F171" t="str">
        <f t="shared" si="12"/>
        <v>LILLE18</v>
      </c>
      <c r="G171" t="s">
        <v>232</v>
      </c>
      <c r="H171" t="s">
        <v>922</v>
      </c>
      <c r="I171" s="16">
        <v>392.21</v>
      </c>
      <c r="J171" s="16">
        <v>201.35</v>
      </c>
      <c r="K171" s="16">
        <v>41.69</v>
      </c>
      <c r="L171" s="159">
        <f t="shared" si="13"/>
        <v>0.51337293796690553</v>
      </c>
      <c r="M171" s="159">
        <f t="shared" si="13"/>
        <v>0.10629509701435455</v>
      </c>
    </row>
    <row r="172" spans="2:13">
      <c r="B172" t="s">
        <v>154</v>
      </c>
      <c r="C172">
        <f t="shared" si="14"/>
        <v>19</v>
      </c>
      <c r="D172" t="str">
        <f t="shared" si="11"/>
        <v>LILLE19</v>
      </c>
      <c r="E172" t="s">
        <v>155</v>
      </c>
      <c r="F172" t="str">
        <f t="shared" si="12"/>
        <v>LILLE19</v>
      </c>
      <c r="G172" t="s">
        <v>235</v>
      </c>
      <c r="H172" t="s">
        <v>236</v>
      </c>
      <c r="I172" s="16">
        <v>385.75</v>
      </c>
      <c r="J172" s="16">
        <v>96.53</v>
      </c>
      <c r="K172" s="16">
        <v>228.69</v>
      </c>
      <c r="L172" s="159">
        <f t="shared" si="13"/>
        <v>0.25023979261179519</v>
      </c>
      <c r="M172" s="159">
        <f t="shared" si="13"/>
        <v>0.59284510693454306</v>
      </c>
    </row>
    <row r="173" spans="2:13">
      <c r="B173" t="s">
        <v>154</v>
      </c>
      <c r="C173">
        <f t="shared" si="14"/>
        <v>20</v>
      </c>
      <c r="D173" t="str">
        <f t="shared" si="11"/>
        <v>LILLE20</v>
      </c>
      <c r="E173" t="s">
        <v>155</v>
      </c>
      <c r="F173" t="str">
        <f t="shared" si="12"/>
        <v>LILLE20</v>
      </c>
      <c r="G173" t="s">
        <v>290</v>
      </c>
      <c r="H173" t="s">
        <v>291</v>
      </c>
      <c r="I173" s="16">
        <v>382.84</v>
      </c>
      <c r="J173" s="16">
        <v>40</v>
      </c>
      <c r="K173" s="16">
        <v>0</v>
      </c>
      <c r="L173" s="159">
        <f t="shared" si="13"/>
        <v>0.10448229025180232</v>
      </c>
      <c r="M173" s="159">
        <f t="shared" si="13"/>
        <v>0</v>
      </c>
    </row>
    <row r="174" spans="2:13">
      <c r="B174" t="s">
        <v>154</v>
      </c>
      <c r="C174">
        <f t="shared" si="14"/>
        <v>21</v>
      </c>
      <c r="D174" t="str">
        <f t="shared" si="11"/>
        <v>LILLE21</v>
      </c>
      <c r="E174" t="s">
        <v>155</v>
      </c>
      <c r="F174" t="str">
        <f t="shared" si="12"/>
        <v>LILLE21</v>
      </c>
      <c r="G174" t="s">
        <v>219</v>
      </c>
      <c r="H174" t="s">
        <v>912</v>
      </c>
      <c r="I174" s="16">
        <v>378.02</v>
      </c>
      <c r="J174" s="16">
        <v>5.34</v>
      </c>
      <c r="K174" s="16">
        <v>17.739999999999998</v>
      </c>
      <c r="L174" s="159">
        <f t="shared" si="13"/>
        <v>1.4126236707052537E-2</v>
      </c>
      <c r="M174" s="159">
        <f t="shared" si="13"/>
        <v>4.692873392942172E-2</v>
      </c>
    </row>
    <row r="175" spans="2:13">
      <c r="B175" t="s">
        <v>154</v>
      </c>
      <c r="C175">
        <f t="shared" si="14"/>
        <v>22</v>
      </c>
      <c r="D175" t="str">
        <f t="shared" si="11"/>
        <v>LILLE22</v>
      </c>
      <c r="E175" t="s">
        <v>155</v>
      </c>
      <c r="F175" t="str">
        <f t="shared" si="12"/>
        <v>LILLE22</v>
      </c>
      <c r="G175" t="s">
        <v>229</v>
      </c>
      <c r="H175" t="s">
        <v>921</v>
      </c>
      <c r="I175" s="16">
        <v>369.95</v>
      </c>
      <c r="J175" s="16">
        <v>73.94</v>
      </c>
      <c r="K175" s="16">
        <v>11.76</v>
      </c>
      <c r="L175" s="159">
        <f t="shared" si="13"/>
        <v>0.19986484660089202</v>
      </c>
      <c r="M175" s="159">
        <f t="shared" si="13"/>
        <v>3.1788079470198675E-2</v>
      </c>
    </row>
    <row r="176" spans="2:13">
      <c r="B176" t="s">
        <v>154</v>
      </c>
      <c r="C176">
        <f t="shared" si="14"/>
        <v>23</v>
      </c>
      <c r="D176" t="str">
        <f t="shared" si="11"/>
        <v>LILLE23</v>
      </c>
      <c r="E176" t="s">
        <v>155</v>
      </c>
      <c r="F176" t="str">
        <f t="shared" si="12"/>
        <v>LILLE23</v>
      </c>
      <c r="G176" t="s">
        <v>218</v>
      </c>
      <c r="H176" t="s">
        <v>911</v>
      </c>
      <c r="I176" s="16">
        <v>315.72000000000003</v>
      </c>
      <c r="J176" s="16">
        <v>92.97</v>
      </c>
      <c r="K176" s="16">
        <v>90.16</v>
      </c>
      <c r="L176" s="159">
        <f t="shared" si="13"/>
        <v>0.29446978335233748</v>
      </c>
      <c r="M176" s="159">
        <f t="shared" si="13"/>
        <v>0.28556949195489673</v>
      </c>
    </row>
    <row r="177" spans="2:13">
      <c r="B177" t="s">
        <v>154</v>
      </c>
      <c r="C177">
        <f t="shared" si="14"/>
        <v>24</v>
      </c>
      <c r="D177" t="str">
        <f t="shared" si="11"/>
        <v>LILLE24</v>
      </c>
      <c r="E177" t="s">
        <v>155</v>
      </c>
      <c r="F177" t="str">
        <f t="shared" si="12"/>
        <v>LILLE24</v>
      </c>
      <c r="G177" t="s">
        <v>386</v>
      </c>
      <c r="I177" s="16">
        <v>308.45999999999998</v>
      </c>
      <c r="J177" s="16">
        <v>10.32</v>
      </c>
      <c r="K177" s="16">
        <v>291.76</v>
      </c>
      <c r="L177" s="159">
        <f t="shared" si="13"/>
        <v>3.3456525967710565E-2</v>
      </c>
      <c r="M177" s="159">
        <f t="shared" si="13"/>
        <v>0.94586007910263892</v>
      </c>
    </row>
    <row r="178" spans="2:13">
      <c r="B178" t="s">
        <v>154</v>
      </c>
      <c r="C178">
        <f t="shared" si="14"/>
        <v>25</v>
      </c>
      <c r="D178" t="str">
        <f t="shared" si="11"/>
        <v>LILLE25</v>
      </c>
      <c r="E178" t="s">
        <v>155</v>
      </c>
      <c r="F178" t="str">
        <f t="shared" si="12"/>
        <v>LILLE25</v>
      </c>
      <c r="G178" t="s">
        <v>402</v>
      </c>
      <c r="H178" t="s">
        <v>1790</v>
      </c>
      <c r="I178" s="16">
        <v>299.70999999999998</v>
      </c>
      <c r="J178" s="16">
        <v>204.04</v>
      </c>
      <c r="K178" s="16">
        <v>0</v>
      </c>
      <c r="L178" s="159">
        <f t="shared" si="13"/>
        <v>0.68079143171732681</v>
      </c>
      <c r="M178" s="159">
        <f t="shared" si="13"/>
        <v>0</v>
      </c>
    </row>
    <row r="179" spans="2:13">
      <c r="B179" t="s">
        <v>154</v>
      </c>
      <c r="C179">
        <f t="shared" si="14"/>
        <v>26</v>
      </c>
      <c r="D179" t="str">
        <f t="shared" si="11"/>
        <v>LILLE26</v>
      </c>
      <c r="E179" t="s">
        <v>155</v>
      </c>
      <c r="F179" t="str">
        <f t="shared" si="12"/>
        <v>LILLE26</v>
      </c>
      <c r="G179" t="s">
        <v>325</v>
      </c>
      <c r="H179" t="s">
        <v>938</v>
      </c>
      <c r="I179" s="16">
        <v>265.35000000000002</v>
      </c>
      <c r="J179" s="16">
        <v>8.39</v>
      </c>
      <c r="K179" s="16">
        <v>25</v>
      </c>
      <c r="L179" s="159">
        <f t="shared" si="13"/>
        <v>3.1618616921047671E-2</v>
      </c>
      <c r="M179" s="159">
        <f t="shared" si="13"/>
        <v>9.4215187488223093E-2</v>
      </c>
    </row>
    <row r="180" spans="2:13">
      <c r="B180" t="s">
        <v>154</v>
      </c>
      <c r="C180">
        <f t="shared" si="14"/>
        <v>27</v>
      </c>
      <c r="D180" t="str">
        <f t="shared" si="11"/>
        <v>LILLE27</v>
      </c>
      <c r="E180" t="s">
        <v>155</v>
      </c>
      <c r="F180" t="str">
        <f t="shared" si="12"/>
        <v>LILLE27</v>
      </c>
      <c r="G180" t="s">
        <v>238</v>
      </c>
      <c r="H180" t="s">
        <v>924</v>
      </c>
      <c r="I180" s="16">
        <v>264.94</v>
      </c>
      <c r="J180" s="16">
        <v>110.02</v>
      </c>
      <c r="K180" s="16">
        <v>33.76</v>
      </c>
      <c r="L180" s="159">
        <f t="shared" si="13"/>
        <v>0.41526383332075184</v>
      </c>
      <c r="M180" s="159">
        <f t="shared" si="13"/>
        <v>0.12742507737600967</v>
      </c>
    </row>
    <row r="181" spans="2:13">
      <c r="B181" t="s">
        <v>154</v>
      </c>
      <c r="C181">
        <f t="shared" si="14"/>
        <v>28</v>
      </c>
      <c r="D181" t="str">
        <f t="shared" si="11"/>
        <v>LILLE28</v>
      </c>
      <c r="E181" t="s">
        <v>155</v>
      </c>
      <c r="F181" t="str">
        <f t="shared" si="12"/>
        <v>LILLE28</v>
      </c>
      <c r="G181" t="s">
        <v>241</v>
      </c>
      <c r="H181" t="s">
        <v>927</v>
      </c>
      <c r="I181" s="16">
        <v>255.41</v>
      </c>
      <c r="J181" s="16">
        <v>121.9</v>
      </c>
      <c r="K181" s="16">
        <v>37.14</v>
      </c>
      <c r="L181" s="159">
        <f t="shared" si="13"/>
        <v>0.47727183743784507</v>
      </c>
      <c r="M181" s="159">
        <f t="shared" si="13"/>
        <v>0.14541325711600955</v>
      </c>
    </row>
    <row r="182" spans="2:13">
      <c r="B182" t="s">
        <v>154</v>
      </c>
      <c r="C182">
        <f t="shared" si="14"/>
        <v>29</v>
      </c>
      <c r="D182" t="str">
        <f t="shared" si="11"/>
        <v>LILLE29</v>
      </c>
      <c r="E182" t="s">
        <v>155</v>
      </c>
      <c r="F182" t="str">
        <f t="shared" si="12"/>
        <v>LILLE29</v>
      </c>
      <c r="G182" t="s">
        <v>340</v>
      </c>
      <c r="H182" t="s">
        <v>945</v>
      </c>
      <c r="I182" s="16">
        <v>219.59</v>
      </c>
      <c r="J182" s="16">
        <v>151.74</v>
      </c>
      <c r="K182" s="16">
        <v>18.649999999999999</v>
      </c>
      <c r="L182" s="159">
        <f t="shared" si="13"/>
        <v>0.69101507354615421</v>
      </c>
      <c r="M182" s="159">
        <f t="shared" si="13"/>
        <v>8.4931007787239846E-2</v>
      </c>
    </row>
    <row r="183" spans="2:13">
      <c r="B183" t="s">
        <v>154</v>
      </c>
      <c r="C183">
        <f t="shared" si="14"/>
        <v>30</v>
      </c>
      <c r="D183" t="str">
        <f t="shared" si="11"/>
        <v>LILLE30</v>
      </c>
      <c r="E183" t="s">
        <v>155</v>
      </c>
      <c r="F183" t="str">
        <f t="shared" si="12"/>
        <v>LILLE30</v>
      </c>
      <c r="G183" t="s">
        <v>379</v>
      </c>
      <c r="H183" t="s">
        <v>944</v>
      </c>
      <c r="I183" s="16">
        <v>213.09</v>
      </c>
      <c r="J183" s="16">
        <v>145.93</v>
      </c>
      <c r="K183" s="16">
        <v>0</v>
      </c>
      <c r="L183" s="159">
        <f t="shared" si="13"/>
        <v>0.68482800694542212</v>
      </c>
      <c r="M183" s="159">
        <f t="shared" si="13"/>
        <v>0</v>
      </c>
    </row>
    <row r="184" spans="2:13">
      <c r="B184" t="s">
        <v>154</v>
      </c>
      <c r="C184">
        <f t="shared" si="14"/>
        <v>31</v>
      </c>
      <c r="D184" t="str">
        <f t="shared" si="11"/>
        <v>LILLE31</v>
      </c>
      <c r="E184" t="s">
        <v>155</v>
      </c>
      <c r="F184" t="str">
        <f t="shared" si="12"/>
        <v>LILLE31</v>
      </c>
      <c r="G184" t="s">
        <v>249</v>
      </c>
      <c r="I184" s="16">
        <v>211.43</v>
      </c>
      <c r="J184" s="16">
        <v>18.41</v>
      </c>
      <c r="K184" s="16">
        <v>28.27</v>
      </c>
      <c r="L184" s="159">
        <f t="shared" si="13"/>
        <v>8.7073735988270354E-2</v>
      </c>
      <c r="M184" s="159">
        <f t="shared" si="13"/>
        <v>0.13370855602327011</v>
      </c>
    </row>
    <row r="185" spans="2:13">
      <c r="B185" t="s">
        <v>154</v>
      </c>
      <c r="C185">
        <f t="shared" si="14"/>
        <v>32</v>
      </c>
      <c r="D185" t="str">
        <f t="shared" si="11"/>
        <v>LILLE32</v>
      </c>
      <c r="E185" t="s">
        <v>155</v>
      </c>
      <c r="F185" t="str">
        <f t="shared" si="12"/>
        <v>LILLE32</v>
      </c>
      <c r="G185" t="s">
        <v>341</v>
      </c>
      <c r="I185" s="16">
        <v>200.41</v>
      </c>
      <c r="J185" s="16">
        <v>109.08</v>
      </c>
      <c r="K185" s="16">
        <v>0</v>
      </c>
      <c r="L185" s="159">
        <f t="shared" si="13"/>
        <v>0.54428421735442345</v>
      </c>
      <c r="M185" s="159">
        <f t="shared" si="13"/>
        <v>0</v>
      </c>
    </row>
    <row r="186" spans="2:13">
      <c r="B186" t="s">
        <v>154</v>
      </c>
      <c r="C186">
        <f t="shared" ref="C186:C217" si="15">RANK(I186,$I$154:$I$323,0)</f>
        <v>33</v>
      </c>
      <c r="D186" t="str">
        <f t="shared" si="11"/>
        <v>LILLE33</v>
      </c>
      <c r="E186" t="s">
        <v>155</v>
      </c>
      <c r="F186" t="str">
        <f t="shared" si="12"/>
        <v>LILLE33</v>
      </c>
      <c r="G186" t="s">
        <v>303</v>
      </c>
      <c r="H186" t="s">
        <v>936</v>
      </c>
      <c r="I186" s="16">
        <v>200.05</v>
      </c>
      <c r="J186" s="16">
        <v>89.05</v>
      </c>
      <c r="K186" s="16">
        <v>0</v>
      </c>
      <c r="L186" s="159">
        <f t="shared" si="13"/>
        <v>0.44513871532116966</v>
      </c>
      <c r="M186" s="159">
        <f t="shared" si="13"/>
        <v>0</v>
      </c>
    </row>
    <row r="187" spans="2:13">
      <c r="B187" t="s">
        <v>154</v>
      </c>
      <c r="C187">
        <f t="shared" si="15"/>
        <v>34</v>
      </c>
      <c r="D187" t="str">
        <f t="shared" si="11"/>
        <v>LILLE34</v>
      </c>
      <c r="E187" t="s">
        <v>155</v>
      </c>
      <c r="F187" t="str">
        <f t="shared" si="12"/>
        <v>LILLE34</v>
      </c>
      <c r="G187" t="s">
        <v>287</v>
      </c>
      <c r="I187" s="16">
        <v>196.83</v>
      </c>
      <c r="J187" s="16">
        <v>38.71</v>
      </c>
      <c r="K187" s="16">
        <v>35.28</v>
      </c>
      <c r="L187" s="159">
        <f t="shared" si="13"/>
        <v>0.19666717471930092</v>
      </c>
      <c r="M187" s="159">
        <f t="shared" si="13"/>
        <v>0.17924096936442616</v>
      </c>
    </row>
    <row r="188" spans="2:13">
      <c r="B188" t="s">
        <v>154</v>
      </c>
      <c r="C188">
        <f t="shared" si="15"/>
        <v>35</v>
      </c>
      <c r="D188" t="str">
        <f t="shared" si="11"/>
        <v>LILLE35</v>
      </c>
      <c r="E188" t="s">
        <v>155</v>
      </c>
      <c r="F188" t="str">
        <f t="shared" si="12"/>
        <v>LILLE35</v>
      </c>
      <c r="G188" t="s">
        <v>230</v>
      </c>
      <c r="H188" t="s">
        <v>231</v>
      </c>
      <c r="I188" s="16">
        <v>191.12</v>
      </c>
      <c r="J188" s="16">
        <v>118.29</v>
      </c>
      <c r="K188" s="16">
        <v>81</v>
      </c>
      <c r="L188" s="159">
        <f t="shared" si="13"/>
        <v>0.61893051485977402</v>
      </c>
      <c r="M188" s="159">
        <f t="shared" si="13"/>
        <v>0.4238174968606111</v>
      </c>
    </row>
    <row r="189" spans="2:13">
      <c r="B189" t="s">
        <v>154</v>
      </c>
      <c r="C189">
        <f t="shared" si="15"/>
        <v>36</v>
      </c>
      <c r="D189" t="str">
        <f t="shared" si="11"/>
        <v>LILLE36</v>
      </c>
      <c r="E189" t="s">
        <v>155</v>
      </c>
      <c r="F189" t="str">
        <f t="shared" si="12"/>
        <v>LILLE36</v>
      </c>
      <c r="G189" t="s">
        <v>239</v>
      </c>
      <c r="H189" t="s">
        <v>925</v>
      </c>
      <c r="I189" s="16">
        <v>189.73</v>
      </c>
      <c r="J189" s="16">
        <v>26.96</v>
      </c>
      <c r="K189" s="16">
        <v>90.07</v>
      </c>
      <c r="L189" s="159">
        <f t="shared" si="13"/>
        <v>0.14209666367996629</v>
      </c>
      <c r="M189" s="159">
        <f t="shared" si="13"/>
        <v>0.47472724397828492</v>
      </c>
    </row>
    <row r="190" spans="2:13">
      <c r="B190" t="s">
        <v>154</v>
      </c>
      <c r="C190">
        <f t="shared" si="15"/>
        <v>37</v>
      </c>
      <c r="D190" t="str">
        <f t="shared" si="11"/>
        <v>LILLE37</v>
      </c>
      <c r="E190" t="s">
        <v>155</v>
      </c>
      <c r="F190" t="str">
        <f t="shared" si="12"/>
        <v>LILLE37</v>
      </c>
      <c r="G190" t="s">
        <v>251</v>
      </c>
      <c r="H190" t="s">
        <v>929</v>
      </c>
      <c r="I190" s="16">
        <v>189.18</v>
      </c>
      <c r="J190" s="16">
        <v>73.599999999999994</v>
      </c>
      <c r="K190" s="16">
        <v>76.599999999999994</v>
      </c>
      <c r="L190" s="159">
        <f t="shared" si="13"/>
        <v>0.38904746801987522</v>
      </c>
      <c r="M190" s="159">
        <f t="shared" si="13"/>
        <v>0.40490538111851143</v>
      </c>
    </row>
    <row r="191" spans="2:13">
      <c r="B191" t="s">
        <v>154</v>
      </c>
      <c r="C191">
        <f t="shared" si="15"/>
        <v>38</v>
      </c>
      <c r="D191" t="str">
        <f t="shared" si="11"/>
        <v>LILLE38</v>
      </c>
      <c r="E191" t="s">
        <v>155</v>
      </c>
      <c r="F191" t="str">
        <f t="shared" si="12"/>
        <v>LILLE38</v>
      </c>
      <c r="G191" t="s">
        <v>282</v>
      </c>
      <c r="H191" t="s">
        <v>920</v>
      </c>
      <c r="I191" s="16">
        <v>186.84</v>
      </c>
      <c r="J191" s="16">
        <v>37.82</v>
      </c>
      <c r="K191" s="16">
        <v>5.74</v>
      </c>
      <c r="L191" s="159">
        <f t="shared" si="13"/>
        <v>0.20241918218796831</v>
      </c>
      <c r="M191" s="159">
        <f t="shared" si="13"/>
        <v>3.072147291800471E-2</v>
      </c>
    </row>
    <row r="192" spans="2:13">
      <c r="B192" t="s">
        <v>154</v>
      </c>
      <c r="C192">
        <f t="shared" si="15"/>
        <v>39</v>
      </c>
      <c r="D192" t="str">
        <f t="shared" si="11"/>
        <v>LILLE39</v>
      </c>
      <c r="E192" t="s">
        <v>155</v>
      </c>
      <c r="F192" t="str">
        <f t="shared" si="12"/>
        <v>LILLE39</v>
      </c>
      <c r="G192" t="s">
        <v>302</v>
      </c>
      <c r="I192" s="16">
        <v>178.46</v>
      </c>
      <c r="J192" s="16">
        <v>53.13</v>
      </c>
      <c r="K192" s="16">
        <v>0</v>
      </c>
      <c r="L192" s="159">
        <f t="shared" si="13"/>
        <v>0.29771377339459826</v>
      </c>
      <c r="M192" s="159">
        <f t="shared" si="13"/>
        <v>0</v>
      </c>
    </row>
    <row r="193" spans="2:13">
      <c r="B193" t="s">
        <v>154</v>
      </c>
      <c r="C193">
        <f t="shared" si="15"/>
        <v>40</v>
      </c>
      <c r="D193" t="str">
        <f t="shared" si="11"/>
        <v>LILLE40</v>
      </c>
      <c r="E193" t="s">
        <v>155</v>
      </c>
      <c r="F193" t="str">
        <f t="shared" si="12"/>
        <v>LILLE40</v>
      </c>
      <c r="G193" t="s">
        <v>289</v>
      </c>
      <c r="H193" t="s">
        <v>935</v>
      </c>
      <c r="I193" s="16">
        <v>169.11</v>
      </c>
      <c r="J193" s="16">
        <v>37.64</v>
      </c>
      <c r="K193" s="16">
        <v>0</v>
      </c>
      <c r="L193" s="159">
        <f t="shared" si="13"/>
        <v>0.22257702087398734</v>
      </c>
      <c r="M193" s="159">
        <f t="shared" si="13"/>
        <v>0</v>
      </c>
    </row>
    <row r="194" spans="2:13">
      <c r="B194" t="s">
        <v>154</v>
      </c>
      <c r="C194">
        <f t="shared" si="15"/>
        <v>41</v>
      </c>
      <c r="D194" t="str">
        <f t="shared" ref="D194:D257" si="16">CONCATENATE(E194,C194)</f>
        <v>LILLE41</v>
      </c>
      <c r="E194" t="s">
        <v>155</v>
      </c>
      <c r="F194" t="str">
        <f t="shared" si="12"/>
        <v>LILLE41</v>
      </c>
      <c r="G194" t="s">
        <v>246</v>
      </c>
      <c r="H194" t="s">
        <v>928</v>
      </c>
      <c r="I194" s="16">
        <v>165.51</v>
      </c>
      <c r="J194" s="16">
        <v>69.88</v>
      </c>
      <c r="K194" s="16">
        <v>12.73</v>
      </c>
      <c r="L194" s="159">
        <f t="shared" si="13"/>
        <v>0.42221013836021992</v>
      </c>
      <c r="M194" s="159">
        <f t="shared" si="13"/>
        <v>7.6913781644613627E-2</v>
      </c>
    </row>
    <row r="195" spans="2:13">
      <c r="B195" t="s">
        <v>154</v>
      </c>
      <c r="C195">
        <f t="shared" si="15"/>
        <v>42</v>
      </c>
      <c r="D195" t="str">
        <f t="shared" si="16"/>
        <v>LILLE42</v>
      </c>
      <c r="E195" t="s">
        <v>155</v>
      </c>
      <c r="F195" t="str">
        <f t="shared" ref="F195:F258" si="17">D195</f>
        <v>LILLE42</v>
      </c>
      <c r="G195" t="s">
        <v>270</v>
      </c>
      <c r="I195" s="16">
        <v>162.61000000000001</v>
      </c>
      <c r="J195" s="16">
        <v>89.88</v>
      </c>
      <c r="K195" s="16">
        <v>0</v>
      </c>
      <c r="L195" s="159">
        <f t="shared" ref="L195:M258" si="18">J195/$I195</f>
        <v>0.55273353422298743</v>
      </c>
      <c r="M195" s="159">
        <f t="shared" si="18"/>
        <v>0</v>
      </c>
    </row>
    <row r="196" spans="2:13">
      <c r="B196" t="s">
        <v>154</v>
      </c>
      <c r="C196">
        <f t="shared" si="15"/>
        <v>43</v>
      </c>
      <c r="D196" t="str">
        <f t="shared" si="16"/>
        <v>LILLE43</v>
      </c>
      <c r="E196" t="s">
        <v>155</v>
      </c>
      <c r="F196" t="str">
        <f t="shared" si="17"/>
        <v>LILLE43</v>
      </c>
      <c r="G196" t="s">
        <v>265</v>
      </c>
      <c r="I196" s="16">
        <v>159.22999999999999</v>
      </c>
      <c r="J196" s="16">
        <v>75.5</v>
      </c>
      <c r="K196" s="16">
        <v>16.71</v>
      </c>
      <c r="L196" s="159">
        <f t="shared" si="18"/>
        <v>0.4741568799849275</v>
      </c>
      <c r="M196" s="159">
        <f t="shared" si="18"/>
        <v>0.10494253595427998</v>
      </c>
    </row>
    <row r="197" spans="2:13">
      <c r="B197" t="s">
        <v>154</v>
      </c>
      <c r="C197">
        <f t="shared" si="15"/>
        <v>44</v>
      </c>
      <c r="D197" t="str">
        <f t="shared" si="16"/>
        <v>LILLE44</v>
      </c>
      <c r="E197" t="s">
        <v>155</v>
      </c>
      <c r="F197" t="str">
        <f t="shared" si="17"/>
        <v>LILLE44</v>
      </c>
      <c r="G197" t="s">
        <v>260</v>
      </c>
      <c r="H197" t="s">
        <v>932</v>
      </c>
      <c r="I197" s="16">
        <v>158.69999999999999</v>
      </c>
      <c r="J197" s="16">
        <v>106.58</v>
      </c>
      <c r="K197" s="16">
        <v>29.29</v>
      </c>
      <c r="L197" s="159">
        <f t="shared" si="18"/>
        <v>0.67158160050409577</v>
      </c>
      <c r="M197" s="159">
        <f t="shared" si="18"/>
        <v>0.18456206679269063</v>
      </c>
    </row>
    <row r="198" spans="2:13">
      <c r="B198" t="s">
        <v>154</v>
      </c>
      <c r="C198">
        <f t="shared" si="15"/>
        <v>45</v>
      </c>
      <c r="D198" t="str">
        <f t="shared" si="16"/>
        <v>LILLE45</v>
      </c>
      <c r="E198" t="s">
        <v>155</v>
      </c>
      <c r="F198" t="str">
        <f t="shared" si="17"/>
        <v>LILLE45</v>
      </c>
      <c r="G198" t="s">
        <v>284</v>
      </c>
      <c r="I198" s="16">
        <v>158.68</v>
      </c>
      <c r="J198" s="16">
        <v>53.71</v>
      </c>
      <c r="K198" s="16">
        <v>14</v>
      </c>
      <c r="L198" s="159">
        <f t="shared" si="18"/>
        <v>0.33847995966725486</v>
      </c>
      <c r="M198" s="159">
        <f t="shared" si="18"/>
        <v>8.8227880010083179E-2</v>
      </c>
    </row>
    <row r="199" spans="2:13">
      <c r="B199" t="s">
        <v>154</v>
      </c>
      <c r="C199">
        <f t="shared" si="15"/>
        <v>46</v>
      </c>
      <c r="D199" t="str">
        <f t="shared" si="16"/>
        <v>LILLE46</v>
      </c>
      <c r="E199" t="s">
        <v>155</v>
      </c>
      <c r="F199" t="str">
        <f t="shared" si="17"/>
        <v>LILLE46</v>
      </c>
      <c r="G199" t="s">
        <v>214</v>
      </c>
      <c r="H199" t="s">
        <v>215</v>
      </c>
      <c r="I199" s="16">
        <v>154.71</v>
      </c>
      <c r="J199" s="16">
        <v>82.63</v>
      </c>
      <c r="K199" s="16">
        <v>21.87</v>
      </c>
      <c r="L199" s="159">
        <f t="shared" si="18"/>
        <v>0.53409605067545729</v>
      </c>
      <c r="M199" s="159">
        <f t="shared" si="18"/>
        <v>0.14136125654450263</v>
      </c>
    </row>
    <row r="200" spans="2:13">
      <c r="B200" t="s">
        <v>154</v>
      </c>
      <c r="C200">
        <f t="shared" si="15"/>
        <v>47</v>
      </c>
      <c r="D200" t="str">
        <f t="shared" si="16"/>
        <v>LILLE47</v>
      </c>
      <c r="E200" t="s">
        <v>155</v>
      </c>
      <c r="F200" t="str">
        <f t="shared" si="17"/>
        <v>LILLE47</v>
      </c>
      <c r="G200" t="s">
        <v>247</v>
      </c>
      <c r="H200" t="s">
        <v>248</v>
      </c>
      <c r="I200" s="16">
        <v>154.31</v>
      </c>
      <c r="J200" s="16">
        <v>51.05</v>
      </c>
      <c r="K200" s="16">
        <v>16.21</v>
      </c>
      <c r="L200" s="159">
        <f t="shared" si="18"/>
        <v>0.33082755492191041</v>
      </c>
      <c r="M200" s="159">
        <f t="shared" si="18"/>
        <v>0.10504827943749595</v>
      </c>
    </row>
    <row r="201" spans="2:13">
      <c r="B201" t="s">
        <v>154</v>
      </c>
      <c r="C201">
        <f t="shared" si="15"/>
        <v>48</v>
      </c>
      <c r="D201" t="str">
        <f t="shared" si="16"/>
        <v>LILLE48</v>
      </c>
      <c r="E201" t="s">
        <v>155</v>
      </c>
      <c r="F201" t="str">
        <f t="shared" si="17"/>
        <v>LILLE48</v>
      </c>
      <c r="G201" t="s">
        <v>244</v>
      </c>
      <c r="I201" s="16">
        <v>152.37</v>
      </c>
      <c r="J201" s="16">
        <v>50.09</v>
      </c>
      <c r="K201" s="16">
        <v>19.34</v>
      </c>
      <c r="L201" s="159">
        <f t="shared" si="18"/>
        <v>0.32873925313381902</v>
      </c>
      <c r="M201" s="159">
        <f t="shared" si="18"/>
        <v>0.12692787294086763</v>
      </c>
    </row>
    <row r="202" spans="2:13">
      <c r="B202" t="s">
        <v>154</v>
      </c>
      <c r="C202">
        <f t="shared" si="15"/>
        <v>49</v>
      </c>
      <c r="D202" t="str">
        <f t="shared" si="16"/>
        <v>LILLE49</v>
      </c>
      <c r="E202" t="s">
        <v>155</v>
      </c>
      <c r="F202" t="str">
        <f t="shared" si="17"/>
        <v>LILLE49</v>
      </c>
      <c r="G202" t="s">
        <v>266</v>
      </c>
      <c r="H202" t="s">
        <v>267</v>
      </c>
      <c r="I202" s="16">
        <v>149.18</v>
      </c>
      <c r="J202" s="16">
        <v>51.58</v>
      </c>
      <c r="K202" s="16">
        <v>11.21</v>
      </c>
      <c r="L202" s="159">
        <f t="shared" si="18"/>
        <v>0.34575680386110735</v>
      </c>
      <c r="M202" s="159">
        <f t="shared" si="18"/>
        <v>7.5144121195870758E-2</v>
      </c>
    </row>
    <row r="203" spans="2:13">
      <c r="B203" t="s">
        <v>154</v>
      </c>
      <c r="C203">
        <f t="shared" si="15"/>
        <v>50</v>
      </c>
      <c r="D203" t="str">
        <f t="shared" si="16"/>
        <v>LILLE50</v>
      </c>
      <c r="E203" t="s">
        <v>155</v>
      </c>
      <c r="F203" t="str">
        <f t="shared" si="17"/>
        <v>LILLE50</v>
      </c>
      <c r="G203" t="s">
        <v>252</v>
      </c>
      <c r="H203" t="s">
        <v>930</v>
      </c>
      <c r="I203" s="16">
        <v>141.78</v>
      </c>
      <c r="J203" s="16">
        <v>84.52</v>
      </c>
      <c r="K203" s="16">
        <v>17.600000000000001</v>
      </c>
      <c r="L203" s="159">
        <f t="shared" si="18"/>
        <v>0.596134856820426</v>
      </c>
      <c r="M203" s="159">
        <f t="shared" si="18"/>
        <v>0.12413598532938357</v>
      </c>
    </row>
    <row r="204" spans="2:13">
      <c r="B204" t="s">
        <v>154</v>
      </c>
      <c r="C204">
        <f t="shared" si="15"/>
        <v>51</v>
      </c>
      <c r="D204" t="str">
        <f t="shared" si="16"/>
        <v>LILLE51</v>
      </c>
      <c r="E204" t="s">
        <v>155</v>
      </c>
      <c r="F204" t="str">
        <f t="shared" si="17"/>
        <v>LILLE51</v>
      </c>
      <c r="G204" t="s">
        <v>245</v>
      </c>
      <c r="I204" s="16">
        <v>128.37</v>
      </c>
      <c r="J204" s="16">
        <v>14.8</v>
      </c>
      <c r="K204" s="16">
        <v>100</v>
      </c>
      <c r="L204" s="159">
        <f t="shared" si="18"/>
        <v>0.1152917348290099</v>
      </c>
      <c r="M204" s="159">
        <f t="shared" si="18"/>
        <v>0.77899820830412092</v>
      </c>
    </row>
    <row r="205" spans="2:13">
      <c r="B205" t="s">
        <v>154</v>
      </c>
      <c r="C205">
        <f t="shared" si="15"/>
        <v>52</v>
      </c>
      <c r="D205" t="str">
        <f t="shared" si="16"/>
        <v>LILLE52</v>
      </c>
      <c r="E205" t="s">
        <v>155</v>
      </c>
      <c r="F205" t="str">
        <f t="shared" si="17"/>
        <v>LILLE52</v>
      </c>
      <c r="G205" t="s">
        <v>312</v>
      </c>
      <c r="I205" s="16">
        <v>127.17</v>
      </c>
      <c r="J205" s="16">
        <v>26.6</v>
      </c>
      <c r="K205" s="16">
        <v>14.29</v>
      </c>
      <c r="L205" s="159">
        <f t="shared" si="18"/>
        <v>0.20916882912636628</v>
      </c>
      <c r="M205" s="159">
        <f t="shared" si="18"/>
        <v>0.11236926948179601</v>
      </c>
    </row>
    <row r="206" spans="2:13">
      <c r="B206" t="s">
        <v>154</v>
      </c>
      <c r="C206">
        <f t="shared" si="15"/>
        <v>53</v>
      </c>
      <c r="D206" t="str">
        <f t="shared" si="16"/>
        <v>LILLE53</v>
      </c>
      <c r="E206" t="s">
        <v>155</v>
      </c>
      <c r="F206" t="str">
        <f t="shared" si="17"/>
        <v>LILLE53</v>
      </c>
      <c r="G206" t="s">
        <v>279</v>
      </c>
      <c r="I206" s="16">
        <v>114.3</v>
      </c>
      <c r="J206" s="16">
        <v>30.2</v>
      </c>
      <c r="K206" s="16">
        <v>12.84</v>
      </c>
      <c r="L206" s="159">
        <f t="shared" si="18"/>
        <v>0.26421697287839019</v>
      </c>
      <c r="M206" s="159">
        <f t="shared" si="18"/>
        <v>0.11233595800524934</v>
      </c>
    </row>
    <row r="207" spans="2:13">
      <c r="B207" t="s">
        <v>154</v>
      </c>
      <c r="C207">
        <f t="shared" si="15"/>
        <v>54</v>
      </c>
      <c r="D207" t="str">
        <f t="shared" si="16"/>
        <v>LILLE54</v>
      </c>
      <c r="E207" t="s">
        <v>155</v>
      </c>
      <c r="F207" t="str">
        <f t="shared" si="17"/>
        <v>LILLE54</v>
      </c>
      <c r="G207" t="s">
        <v>263</v>
      </c>
      <c r="I207" s="16">
        <v>109.71</v>
      </c>
      <c r="J207" s="16">
        <v>16.53</v>
      </c>
      <c r="K207" s="16">
        <v>4</v>
      </c>
      <c r="L207" s="159">
        <f t="shared" si="18"/>
        <v>0.15066994804484551</v>
      </c>
      <c r="M207" s="159">
        <f t="shared" si="18"/>
        <v>3.6459757542612346E-2</v>
      </c>
    </row>
    <row r="208" spans="2:13">
      <c r="B208" t="s">
        <v>154</v>
      </c>
      <c r="C208">
        <f t="shared" si="15"/>
        <v>55</v>
      </c>
      <c r="D208" t="str">
        <f t="shared" si="16"/>
        <v>LILLE55</v>
      </c>
      <c r="E208" t="s">
        <v>155</v>
      </c>
      <c r="F208" t="str">
        <f t="shared" si="17"/>
        <v>LILLE55</v>
      </c>
      <c r="G208" t="s">
        <v>360</v>
      </c>
      <c r="I208" s="16">
        <v>100.33</v>
      </c>
      <c r="J208" s="16">
        <v>64.87</v>
      </c>
      <c r="K208" s="16">
        <v>11.18</v>
      </c>
      <c r="L208" s="159">
        <f t="shared" si="18"/>
        <v>0.64656633110734585</v>
      </c>
      <c r="M208" s="159">
        <f t="shared" si="18"/>
        <v>0.11143227349745839</v>
      </c>
    </row>
    <row r="209" spans="2:13">
      <c r="B209" t="s">
        <v>154</v>
      </c>
      <c r="C209">
        <f t="shared" si="15"/>
        <v>56</v>
      </c>
      <c r="D209" t="str">
        <f t="shared" si="16"/>
        <v>LILLE56</v>
      </c>
      <c r="E209" t="s">
        <v>155</v>
      </c>
      <c r="F209" t="str">
        <f t="shared" si="17"/>
        <v>LILLE56</v>
      </c>
      <c r="G209" t="s">
        <v>259</v>
      </c>
      <c r="I209" s="16">
        <v>100.11</v>
      </c>
      <c r="J209" s="16">
        <v>0</v>
      </c>
      <c r="K209" s="16">
        <v>70.95</v>
      </c>
      <c r="L209" s="159">
        <f t="shared" si="18"/>
        <v>0</v>
      </c>
      <c r="M209" s="159">
        <f t="shared" si="18"/>
        <v>0.70872040755169319</v>
      </c>
    </row>
    <row r="210" spans="2:13">
      <c r="B210" t="s">
        <v>154</v>
      </c>
      <c r="C210">
        <f t="shared" si="15"/>
        <v>57</v>
      </c>
      <c r="D210" t="str">
        <f t="shared" si="16"/>
        <v>LILLE57</v>
      </c>
      <c r="E210" t="s">
        <v>155</v>
      </c>
      <c r="F210" t="str">
        <f t="shared" si="17"/>
        <v>LILLE57</v>
      </c>
      <c r="G210" t="s">
        <v>363</v>
      </c>
      <c r="I210" s="16">
        <v>87.72</v>
      </c>
      <c r="J210" s="16">
        <v>14.96</v>
      </c>
      <c r="K210" s="16">
        <v>6.53</v>
      </c>
      <c r="L210" s="159">
        <f t="shared" si="18"/>
        <v>0.17054263565891475</v>
      </c>
      <c r="M210" s="159">
        <f t="shared" si="18"/>
        <v>7.4441404468764252E-2</v>
      </c>
    </row>
    <row r="211" spans="2:13">
      <c r="B211" t="s">
        <v>154</v>
      </c>
      <c r="C211">
        <f t="shared" si="15"/>
        <v>58</v>
      </c>
      <c r="D211" t="str">
        <f t="shared" si="16"/>
        <v>LILLE58</v>
      </c>
      <c r="E211" t="s">
        <v>155</v>
      </c>
      <c r="F211" t="str">
        <f t="shared" si="17"/>
        <v>LILLE58</v>
      </c>
      <c r="G211" t="s">
        <v>345</v>
      </c>
      <c r="I211" s="16">
        <v>85.45</v>
      </c>
      <c r="J211" s="16">
        <v>35.99</v>
      </c>
      <c r="K211" s="16">
        <v>11.15</v>
      </c>
      <c r="L211" s="159">
        <f t="shared" si="18"/>
        <v>0.42118197776477473</v>
      </c>
      <c r="M211" s="159">
        <f t="shared" si="18"/>
        <v>0.13048566413107079</v>
      </c>
    </row>
    <row r="212" spans="2:13">
      <c r="B212" t="s">
        <v>154</v>
      </c>
      <c r="C212">
        <f t="shared" si="15"/>
        <v>59</v>
      </c>
      <c r="D212" t="str">
        <f t="shared" si="16"/>
        <v>LILLE59</v>
      </c>
      <c r="E212" t="s">
        <v>155</v>
      </c>
      <c r="F212" t="str">
        <f t="shared" si="17"/>
        <v>LILLE59</v>
      </c>
      <c r="G212" t="s">
        <v>308</v>
      </c>
      <c r="I212" s="16">
        <v>85.39</v>
      </c>
      <c r="J212" s="16">
        <v>77.16</v>
      </c>
      <c r="K212" s="16">
        <v>0</v>
      </c>
      <c r="L212" s="159">
        <f t="shared" si="18"/>
        <v>0.90361869071319822</v>
      </c>
      <c r="M212" s="159">
        <f t="shared" si="18"/>
        <v>0</v>
      </c>
    </row>
    <row r="213" spans="2:13">
      <c r="B213" t="s">
        <v>154</v>
      </c>
      <c r="C213">
        <f t="shared" si="15"/>
        <v>60</v>
      </c>
      <c r="D213" t="str">
        <f t="shared" si="16"/>
        <v>LILLE60</v>
      </c>
      <c r="E213" t="s">
        <v>155</v>
      </c>
      <c r="F213" t="str">
        <f t="shared" si="17"/>
        <v>LILLE60</v>
      </c>
      <c r="G213" t="s">
        <v>305</v>
      </c>
      <c r="H213" t="s">
        <v>937</v>
      </c>
      <c r="I213" s="16">
        <v>84.28</v>
      </c>
      <c r="J213" s="16">
        <v>19.649999999999999</v>
      </c>
      <c r="K213" s="16">
        <v>0</v>
      </c>
      <c r="L213" s="159">
        <f t="shared" si="18"/>
        <v>0.23315140009492166</v>
      </c>
      <c r="M213" s="159">
        <f t="shared" si="18"/>
        <v>0</v>
      </c>
    </row>
    <row r="214" spans="2:13">
      <c r="B214" t="s">
        <v>154</v>
      </c>
      <c r="C214">
        <f t="shared" si="15"/>
        <v>61</v>
      </c>
      <c r="D214" t="str">
        <f t="shared" si="16"/>
        <v>LILLE61</v>
      </c>
      <c r="E214" t="s">
        <v>155</v>
      </c>
      <c r="F214" t="str">
        <f t="shared" si="17"/>
        <v>LILLE61</v>
      </c>
      <c r="G214" t="s">
        <v>313</v>
      </c>
      <c r="I214" s="16">
        <v>83.06</v>
      </c>
      <c r="J214" s="16">
        <v>38.299999999999997</v>
      </c>
      <c r="K214" s="16">
        <v>0</v>
      </c>
      <c r="L214" s="159">
        <f t="shared" si="18"/>
        <v>0.46111244883216945</v>
      </c>
      <c r="M214" s="159">
        <f t="shared" si="18"/>
        <v>0</v>
      </c>
    </row>
    <row r="215" spans="2:13">
      <c r="B215" t="s">
        <v>154</v>
      </c>
      <c r="C215">
        <f t="shared" si="15"/>
        <v>62</v>
      </c>
      <c r="D215" t="str">
        <f t="shared" si="16"/>
        <v>LILLE62</v>
      </c>
      <c r="E215" t="s">
        <v>155</v>
      </c>
      <c r="F215" t="str">
        <f t="shared" si="17"/>
        <v>LILLE62</v>
      </c>
      <c r="G215" t="s">
        <v>257</v>
      </c>
      <c r="I215" s="16">
        <v>78.67</v>
      </c>
      <c r="J215" s="16">
        <v>12.42</v>
      </c>
      <c r="K215" s="16">
        <v>3.56</v>
      </c>
      <c r="L215" s="159">
        <f t="shared" si="18"/>
        <v>0.15787466632769798</v>
      </c>
      <c r="M215" s="159">
        <f t="shared" si="18"/>
        <v>4.5252319816956911E-2</v>
      </c>
    </row>
    <row r="216" spans="2:13">
      <c r="B216" t="s">
        <v>154</v>
      </c>
      <c r="C216">
        <f t="shared" si="15"/>
        <v>63</v>
      </c>
      <c r="D216" t="str">
        <f t="shared" si="16"/>
        <v>LILLE63</v>
      </c>
      <c r="E216" t="s">
        <v>155</v>
      </c>
      <c r="F216" t="str">
        <f t="shared" si="17"/>
        <v>LILLE63</v>
      </c>
      <c r="G216" t="s">
        <v>318</v>
      </c>
      <c r="I216" s="16">
        <v>78.53</v>
      </c>
      <c r="J216" s="16">
        <v>64.180000000000007</v>
      </c>
      <c r="K216" s="16">
        <v>3.95</v>
      </c>
      <c r="L216" s="159">
        <f t="shared" si="18"/>
        <v>0.81726728638736801</v>
      </c>
      <c r="M216" s="159">
        <f t="shared" si="18"/>
        <v>5.0299248694766333E-2</v>
      </c>
    </row>
    <row r="217" spans="2:13">
      <c r="B217" t="s">
        <v>154</v>
      </c>
      <c r="C217">
        <f t="shared" si="15"/>
        <v>64</v>
      </c>
      <c r="D217" t="str">
        <f t="shared" si="16"/>
        <v>LILLE64</v>
      </c>
      <c r="E217" t="s">
        <v>155</v>
      </c>
      <c r="F217" t="str">
        <f t="shared" si="17"/>
        <v>LILLE64</v>
      </c>
      <c r="G217" t="s">
        <v>328</v>
      </c>
      <c r="H217" t="s">
        <v>939</v>
      </c>
      <c r="I217" s="16">
        <v>76.650000000000006</v>
      </c>
      <c r="J217" s="16">
        <v>17.02</v>
      </c>
      <c r="K217" s="16">
        <v>0</v>
      </c>
      <c r="L217" s="159">
        <f t="shared" si="18"/>
        <v>0.22204827136333982</v>
      </c>
      <c r="M217" s="159">
        <f t="shared" si="18"/>
        <v>0</v>
      </c>
    </row>
    <row r="218" spans="2:13">
      <c r="B218" t="s">
        <v>154</v>
      </c>
      <c r="C218">
        <f t="shared" ref="C218:C249" si="19">RANK(I218,$I$154:$I$323,0)</f>
        <v>65</v>
      </c>
      <c r="D218" t="str">
        <f t="shared" si="16"/>
        <v>LILLE65</v>
      </c>
      <c r="E218" t="s">
        <v>155</v>
      </c>
      <c r="F218" t="str">
        <f t="shared" si="17"/>
        <v>LILLE65</v>
      </c>
      <c r="G218" t="s">
        <v>254</v>
      </c>
      <c r="H218" t="s">
        <v>931</v>
      </c>
      <c r="I218" s="16">
        <v>75.78</v>
      </c>
      <c r="J218" s="16">
        <v>7.6</v>
      </c>
      <c r="K218" s="16">
        <v>19.260000000000002</v>
      </c>
      <c r="L218" s="159">
        <f t="shared" si="18"/>
        <v>0.10029031406703615</v>
      </c>
      <c r="M218" s="159">
        <f t="shared" si="18"/>
        <v>0.25415676959619954</v>
      </c>
    </row>
    <row r="219" spans="2:13">
      <c r="B219" t="s">
        <v>154</v>
      </c>
      <c r="C219">
        <f t="shared" si="19"/>
        <v>66</v>
      </c>
      <c r="D219" t="str">
        <f t="shared" si="16"/>
        <v>LILLE66</v>
      </c>
      <c r="E219" t="s">
        <v>155</v>
      </c>
      <c r="F219" t="str">
        <f t="shared" si="17"/>
        <v>LILLE66</v>
      </c>
      <c r="G219" t="s">
        <v>389</v>
      </c>
      <c r="I219" s="16">
        <v>75.39</v>
      </c>
      <c r="J219" s="16">
        <v>66.38</v>
      </c>
      <c r="K219" s="16">
        <v>0</v>
      </c>
      <c r="L219" s="159">
        <f t="shared" si="18"/>
        <v>0.88048812839899182</v>
      </c>
      <c r="M219" s="159">
        <f t="shared" si="18"/>
        <v>0</v>
      </c>
    </row>
    <row r="220" spans="2:13">
      <c r="B220" t="s">
        <v>154</v>
      </c>
      <c r="C220">
        <f t="shared" si="19"/>
        <v>67</v>
      </c>
      <c r="D220" t="str">
        <f t="shared" si="16"/>
        <v>LILLE67</v>
      </c>
      <c r="E220" t="s">
        <v>155</v>
      </c>
      <c r="F220" t="str">
        <f t="shared" si="17"/>
        <v>LILLE67</v>
      </c>
      <c r="G220" t="s">
        <v>274</v>
      </c>
      <c r="H220" t="s">
        <v>275</v>
      </c>
      <c r="I220" s="16">
        <v>75.37</v>
      </c>
      <c r="J220" s="16">
        <v>22.82</v>
      </c>
      <c r="K220" s="16">
        <v>39.21</v>
      </c>
      <c r="L220" s="159">
        <f t="shared" si="18"/>
        <v>0.30277298659944274</v>
      </c>
      <c r="M220" s="159">
        <f t="shared" si="18"/>
        <v>0.52023351466100565</v>
      </c>
    </row>
    <row r="221" spans="2:13">
      <c r="B221" t="s">
        <v>154</v>
      </c>
      <c r="C221">
        <f t="shared" si="19"/>
        <v>68</v>
      </c>
      <c r="D221" t="str">
        <f t="shared" si="16"/>
        <v>LILLE68</v>
      </c>
      <c r="E221" t="s">
        <v>155</v>
      </c>
      <c r="F221" t="str">
        <f t="shared" si="17"/>
        <v>LILLE68</v>
      </c>
      <c r="G221" t="s">
        <v>209</v>
      </c>
      <c r="H221" t="s">
        <v>210</v>
      </c>
      <c r="I221" s="16">
        <v>74.13</v>
      </c>
      <c r="J221" s="16">
        <v>0</v>
      </c>
      <c r="K221" s="16">
        <v>4.3</v>
      </c>
      <c r="L221" s="159">
        <f t="shared" si="18"/>
        <v>0</v>
      </c>
      <c r="M221" s="159">
        <f t="shared" si="18"/>
        <v>5.8006205314987187E-2</v>
      </c>
    </row>
    <row r="222" spans="2:13">
      <c r="B222" t="s">
        <v>154</v>
      </c>
      <c r="C222">
        <f t="shared" si="19"/>
        <v>69</v>
      </c>
      <c r="D222" t="str">
        <f t="shared" si="16"/>
        <v>LILLE69</v>
      </c>
      <c r="E222" t="s">
        <v>155</v>
      </c>
      <c r="F222" t="str">
        <f t="shared" si="17"/>
        <v>LILLE69</v>
      </c>
      <c r="G222" t="s">
        <v>304</v>
      </c>
      <c r="I222" s="16">
        <v>73.06</v>
      </c>
      <c r="J222" s="16">
        <v>29.05</v>
      </c>
      <c r="K222" s="16">
        <v>0</v>
      </c>
      <c r="L222" s="159">
        <f t="shared" si="18"/>
        <v>0.39761839583903641</v>
      </c>
      <c r="M222" s="159">
        <f t="shared" si="18"/>
        <v>0</v>
      </c>
    </row>
    <row r="223" spans="2:13">
      <c r="B223" t="s">
        <v>154</v>
      </c>
      <c r="C223">
        <f t="shared" si="19"/>
        <v>70</v>
      </c>
      <c r="D223" t="str">
        <f t="shared" si="16"/>
        <v>LILLE70</v>
      </c>
      <c r="E223" t="s">
        <v>155</v>
      </c>
      <c r="F223" t="str">
        <f t="shared" si="17"/>
        <v>LILLE70</v>
      </c>
      <c r="G223" t="s">
        <v>226</v>
      </c>
      <c r="H223" t="s">
        <v>227</v>
      </c>
      <c r="I223" s="16">
        <v>71.11</v>
      </c>
      <c r="J223" s="16">
        <v>41.27</v>
      </c>
      <c r="K223" s="16">
        <v>5</v>
      </c>
      <c r="L223" s="159">
        <f t="shared" si="18"/>
        <v>0.58036844325692594</v>
      </c>
      <c r="M223" s="159">
        <f t="shared" si="18"/>
        <v>7.0313598649978909E-2</v>
      </c>
    </row>
    <row r="224" spans="2:13">
      <c r="B224" t="s">
        <v>154</v>
      </c>
      <c r="C224">
        <f t="shared" si="19"/>
        <v>71</v>
      </c>
      <c r="D224" t="str">
        <f t="shared" si="16"/>
        <v>LILLE71</v>
      </c>
      <c r="E224" t="s">
        <v>155</v>
      </c>
      <c r="F224" t="str">
        <f t="shared" si="17"/>
        <v>LILLE71</v>
      </c>
      <c r="G224" t="s">
        <v>278</v>
      </c>
      <c r="H224" t="s">
        <v>934</v>
      </c>
      <c r="I224" s="16">
        <v>70.84</v>
      </c>
      <c r="J224" s="16">
        <v>30.25</v>
      </c>
      <c r="K224" s="16">
        <v>0</v>
      </c>
      <c r="L224" s="159">
        <f t="shared" si="18"/>
        <v>0.42701863354037267</v>
      </c>
      <c r="M224" s="159">
        <f t="shared" si="18"/>
        <v>0</v>
      </c>
    </row>
    <row r="225" spans="2:13">
      <c r="B225" t="s">
        <v>154</v>
      </c>
      <c r="C225">
        <f t="shared" si="19"/>
        <v>72</v>
      </c>
      <c r="D225" t="str">
        <f t="shared" si="16"/>
        <v>LILLE72</v>
      </c>
      <c r="E225" t="s">
        <v>155</v>
      </c>
      <c r="F225" t="str">
        <f t="shared" si="17"/>
        <v>LILLE72</v>
      </c>
      <c r="G225" t="s">
        <v>320</v>
      </c>
      <c r="I225" s="16">
        <v>68.75</v>
      </c>
      <c r="J225" s="16">
        <v>48.16</v>
      </c>
      <c r="K225" s="16">
        <v>4.13</v>
      </c>
      <c r="L225" s="159">
        <f t="shared" si="18"/>
        <v>0.70050909090909086</v>
      </c>
      <c r="M225" s="159">
        <f t="shared" si="18"/>
        <v>6.0072727272727271E-2</v>
      </c>
    </row>
    <row r="226" spans="2:13">
      <c r="B226" t="s">
        <v>154</v>
      </c>
      <c r="C226">
        <f t="shared" si="19"/>
        <v>73</v>
      </c>
      <c r="D226" t="str">
        <f t="shared" si="16"/>
        <v>LILLE73</v>
      </c>
      <c r="E226" t="s">
        <v>155</v>
      </c>
      <c r="F226" t="str">
        <f t="shared" si="17"/>
        <v>LILLE73</v>
      </c>
      <c r="G226" t="s">
        <v>316</v>
      </c>
      <c r="H226" t="s">
        <v>317</v>
      </c>
      <c r="I226" s="16">
        <v>68.37</v>
      </c>
      <c r="J226" s="16">
        <v>15.89</v>
      </c>
      <c r="K226" s="16">
        <v>45.4</v>
      </c>
      <c r="L226" s="159">
        <f t="shared" si="18"/>
        <v>0.23241187655404416</v>
      </c>
      <c r="M226" s="159">
        <f t="shared" si="18"/>
        <v>0.66403393301155467</v>
      </c>
    </row>
    <row r="227" spans="2:13">
      <c r="B227" t="s">
        <v>154</v>
      </c>
      <c r="C227">
        <f t="shared" si="19"/>
        <v>74</v>
      </c>
      <c r="D227" t="str">
        <f t="shared" si="16"/>
        <v>LILLE74</v>
      </c>
      <c r="E227" t="s">
        <v>155</v>
      </c>
      <c r="F227" t="str">
        <f t="shared" si="17"/>
        <v>LILLE74</v>
      </c>
      <c r="G227" t="s">
        <v>233</v>
      </c>
      <c r="I227" s="16">
        <v>68.33</v>
      </c>
      <c r="J227" s="16">
        <v>21.3</v>
      </c>
      <c r="K227" s="16">
        <v>31.25</v>
      </c>
      <c r="L227" s="159">
        <f t="shared" si="18"/>
        <v>0.31172252304990489</v>
      </c>
      <c r="M227" s="159">
        <f t="shared" si="18"/>
        <v>0.45733938240889799</v>
      </c>
    </row>
    <row r="228" spans="2:13">
      <c r="B228" t="s">
        <v>154</v>
      </c>
      <c r="C228">
        <f t="shared" si="19"/>
        <v>75</v>
      </c>
      <c r="D228" t="str">
        <f t="shared" si="16"/>
        <v>LILLE75</v>
      </c>
      <c r="E228" t="s">
        <v>155</v>
      </c>
      <c r="F228" t="str">
        <f t="shared" si="17"/>
        <v>LILLE75</v>
      </c>
      <c r="G228" t="s">
        <v>298</v>
      </c>
      <c r="I228" s="16">
        <v>67.81</v>
      </c>
      <c r="J228" s="16">
        <v>45.04</v>
      </c>
      <c r="K228" s="16">
        <v>0</v>
      </c>
      <c r="L228" s="159">
        <f t="shared" si="18"/>
        <v>0.66420881875829518</v>
      </c>
      <c r="M228" s="159">
        <f t="shared" si="18"/>
        <v>0</v>
      </c>
    </row>
    <row r="229" spans="2:13">
      <c r="B229" t="s">
        <v>154</v>
      </c>
      <c r="C229">
        <f t="shared" si="19"/>
        <v>76</v>
      </c>
      <c r="D229" t="str">
        <f t="shared" si="16"/>
        <v>LILLE76</v>
      </c>
      <c r="E229" t="s">
        <v>155</v>
      </c>
      <c r="F229" t="str">
        <f t="shared" si="17"/>
        <v>LILLE76</v>
      </c>
      <c r="G229" t="s">
        <v>321</v>
      </c>
      <c r="I229" s="16">
        <v>66.63</v>
      </c>
      <c r="J229" s="16">
        <v>21.77</v>
      </c>
      <c r="K229" s="16">
        <v>0</v>
      </c>
      <c r="L229" s="159">
        <f t="shared" si="18"/>
        <v>0.32672970133573465</v>
      </c>
      <c r="M229" s="159">
        <f t="shared" si="18"/>
        <v>0</v>
      </c>
    </row>
    <row r="230" spans="2:13">
      <c r="B230" t="s">
        <v>154</v>
      </c>
      <c r="C230">
        <f t="shared" si="19"/>
        <v>77</v>
      </c>
      <c r="D230" t="str">
        <f t="shared" si="16"/>
        <v>LILLE77</v>
      </c>
      <c r="E230" t="s">
        <v>155</v>
      </c>
      <c r="F230" t="str">
        <f t="shared" si="17"/>
        <v>LILLE77</v>
      </c>
      <c r="G230" t="s">
        <v>381</v>
      </c>
      <c r="I230" s="16">
        <v>59.65</v>
      </c>
      <c r="J230" s="16">
        <v>44.4</v>
      </c>
      <c r="K230" s="16">
        <v>0</v>
      </c>
      <c r="L230" s="159">
        <f t="shared" si="18"/>
        <v>0.74434199497066222</v>
      </c>
      <c r="M230" s="159">
        <f t="shared" si="18"/>
        <v>0</v>
      </c>
    </row>
    <row r="231" spans="2:13">
      <c r="B231" t="s">
        <v>154</v>
      </c>
      <c r="C231">
        <f t="shared" si="19"/>
        <v>78</v>
      </c>
      <c r="D231" t="str">
        <f t="shared" si="16"/>
        <v>LILLE78</v>
      </c>
      <c r="E231" t="s">
        <v>155</v>
      </c>
      <c r="F231" t="str">
        <f t="shared" si="17"/>
        <v>LILLE78</v>
      </c>
      <c r="G231" t="s">
        <v>393</v>
      </c>
      <c r="I231" s="16">
        <v>58.3</v>
      </c>
      <c r="J231" s="16">
        <v>37.950000000000003</v>
      </c>
      <c r="K231" s="16">
        <v>0</v>
      </c>
      <c r="L231" s="159">
        <f t="shared" si="18"/>
        <v>0.65094339622641517</v>
      </c>
      <c r="M231" s="159">
        <f t="shared" si="18"/>
        <v>0</v>
      </c>
    </row>
    <row r="232" spans="2:13">
      <c r="B232" t="s">
        <v>154</v>
      </c>
      <c r="C232">
        <f t="shared" si="19"/>
        <v>79</v>
      </c>
      <c r="D232" t="str">
        <f t="shared" si="16"/>
        <v>LILLE79</v>
      </c>
      <c r="E232" t="s">
        <v>155</v>
      </c>
      <c r="F232" t="str">
        <f t="shared" si="17"/>
        <v>LILLE79</v>
      </c>
      <c r="G232" t="s">
        <v>253</v>
      </c>
      <c r="I232" s="16">
        <v>58.26</v>
      </c>
      <c r="J232" s="16">
        <v>24.2</v>
      </c>
      <c r="K232" s="16">
        <v>0</v>
      </c>
      <c r="L232" s="159">
        <f t="shared" si="18"/>
        <v>0.41537933401991073</v>
      </c>
      <c r="M232" s="159">
        <f t="shared" si="18"/>
        <v>0</v>
      </c>
    </row>
    <row r="233" spans="2:13">
      <c r="B233" t="s">
        <v>154</v>
      </c>
      <c r="C233">
        <f t="shared" si="19"/>
        <v>80</v>
      </c>
      <c r="D233" t="str">
        <f t="shared" si="16"/>
        <v>LILLE80</v>
      </c>
      <c r="E233" t="s">
        <v>155</v>
      </c>
      <c r="F233" t="str">
        <f t="shared" si="17"/>
        <v>LILLE80</v>
      </c>
      <c r="G233" t="s">
        <v>326</v>
      </c>
      <c r="I233" s="16">
        <v>58.07</v>
      </c>
      <c r="J233" s="16">
        <v>47.32</v>
      </c>
      <c r="K233" s="16">
        <v>8.84</v>
      </c>
      <c r="L233" s="159">
        <f t="shared" si="18"/>
        <v>0.81487859479938007</v>
      </c>
      <c r="M233" s="159">
        <f t="shared" si="18"/>
        <v>0.15223006716032375</v>
      </c>
    </row>
    <row r="234" spans="2:13">
      <c r="B234" t="s">
        <v>154</v>
      </c>
      <c r="C234">
        <f t="shared" si="19"/>
        <v>81</v>
      </c>
      <c r="D234" t="str">
        <f t="shared" si="16"/>
        <v>LILLE81</v>
      </c>
      <c r="E234" t="s">
        <v>155</v>
      </c>
      <c r="F234" t="str">
        <f t="shared" si="17"/>
        <v>LILLE81</v>
      </c>
      <c r="G234" t="s">
        <v>412</v>
      </c>
      <c r="I234" s="16">
        <v>56.19</v>
      </c>
      <c r="J234" s="16">
        <v>21.16</v>
      </c>
      <c r="K234" s="16">
        <v>3.95</v>
      </c>
      <c r="L234" s="159">
        <f t="shared" si="18"/>
        <v>0.37657946253781815</v>
      </c>
      <c r="M234" s="159">
        <f t="shared" si="18"/>
        <v>7.029720590852466E-2</v>
      </c>
    </row>
    <row r="235" spans="2:13">
      <c r="B235" t="s">
        <v>154</v>
      </c>
      <c r="C235">
        <f t="shared" si="19"/>
        <v>82</v>
      </c>
      <c r="D235" t="str">
        <f t="shared" si="16"/>
        <v>LILLE82</v>
      </c>
      <c r="E235" t="s">
        <v>155</v>
      </c>
      <c r="F235" t="str">
        <f t="shared" si="17"/>
        <v>LILLE82</v>
      </c>
      <c r="G235" t="s">
        <v>293</v>
      </c>
      <c r="I235" s="16">
        <v>54.82</v>
      </c>
      <c r="J235" s="16">
        <v>41.13</v>
      </c>
      <c r="K235" s="16">
        <v>0</v>
      </c>
      <c r="L235" s="159">
        <f t="shared" si="18"/>
        <v>0.75027362276541409</v>
      </c>
      <c r="M235" s="159">
        <f t="shared" si="18"/>
        <v>0</v>
      </c>
    </row>
    <row r="236" spans="2:13">
      <c r="B236" t="s">
        <v>154</v>
      </c>
      <c r="C236">
        <f t="shared" si="19"/>
        <v>83</v>
      </c>
      <c r="D236" t="str">
        <f t="shared" si="16"/>
        <v>LILLE83</v>
      </c>
      <c r="E236" t="s">
        <v>155</v>
      </c>
      <c r="F236" t="str">
        <f t="shared" si="17"/>
        <v>LILLE83</v>
      </c>
      <c r="G236" t="s">
        <v>349</v>
      </c>
      <c r="I236" s="16">
        <v>53.17</v>
      </c>
      <c r="J236" s="16">
        <v>21.74</v>
      </c>
      <c r="K236" s="16">
        <v>5.74</v>
      </c>
      <c r="L236" s="159">
        <f t="shared" si="18"/>
        <v>0.40887718638329879</v>
      </c>
      <c r="M236" s="159">
        <f t="shared" si="18"/>
        <v>0.1079556140680835</v>
      </c>
    </row>
    <row r="237" spans="2:13">
      <c r="B237" t="s">
        <v>154</v>
      </c>
      <c r="C237">
        <f t="shared" si="19"/>
        <v>84</v>
      </c>
      <c r="D237" t="str">
        <f t="shared" si="16"/>
        <v>LILLE84</v>
      </c>
      <c r="E237" t="s">
        <v>155</v>
      </c>
      <c r="F237" t="str">
        <f t="shared" si="17"/>
        <v>LILLE84</v>
      </c>
      <c r="G237" t="s">
        <v>362</v>
      </c>
      <c r="H237" t="s">
        <v>943</v>
      </c>
      <c r="I237" s="16">
        <v>47.16</v>
      </c>
      <c r="J237" s="16">
        <v>22.18</v>
      </c>
      <c r="K237" s="16">
        <v>0</v>
      </c>
      <c r="L237" s="159">
        <f t="shared" si="18"/>
        <v>0.47031382527565735</v>
      </c>
      <c r="M237" s="159">
        <f t="shared" si="18"/>
        <v>0</v>
      </c>
    </row>
    <row r="238" spans="2:13">
      <c r="B238" t="s">
        <v>154</v>
      </c>
      <c r="C238">
        <f t="shared" si="19"/>
        <v>85</v>
      </c>
      <c r="D238" t="str">
        <f t="shared" si="16"/>
        <v>LILLE85</v>
      </c>
      <c r="E238" t="s">
        <v>155</v>
      </c>
      <c r="F238" t="str">
        <f t="shared" si="17"/>
        <v>LILLE85</v>
      </c>
      <c r="G238" t="s">
        <v>255</v>
      </c>
      <c r="H238" t="s">
        <v>256</v>
      </c>
      <c r="I238" s="16">
        <v>46.55</v>
      </c>
      <c r="J238" s="16">
        <v>18.010000000000002</v>
      </c>
      <c r="K238" s="16">
        <v>17.350000000000001</v>
      </c>
      <c r="L238" s="159">
        <f t="shared" si="18"/>
        <v>0.38689581095596137</v>
      </c>
      <c r="M238" s="159">
        <f t="shared" si="18"/>
        <v>0.37271750805585396</v>
      </c>
    </row>
    <row r="239" spans="2:13">
      <c r="B239" t="s">
        <v>154</v>
      </c>
      <c r="C239">
        <f t="shared" si="19"/>
        <v>86</v>
      </c>
      <c r="D239" t="str">
        <f t="shared" si="16"/>
        <v>LILLE86</v>
      </c>
      <c r="E239" t="s">
        <v>155</v>
      </c>
      <c r="F239" t="str">
        <f t="shared" si="17"/>
        <v>LILLE86</v>
      </c>
      <c r="G239" t="s">
        <v>268</v>
      </c>
      <c r="H239" t="s">
        <v>269</v>
      </c>
      <c r="I239" s="16">
        <v>45.79</v>
      </c>
      <c r="J239" s="16">
        <v>17.760000000000002</v>
      </c>
      <c r="K239" s="16">
        <v>27.64</v>
      </c>
      <c r="L239" s="159">
        <f t="shared" si="18"/>
        <v>0.38785761083205944</v>
      </c>
      <c r="M239" s="159">
        <f t="shared" si="18"/>
        <v>0.60362524568683118</v>
      </c>
    </row>
    <row r="240" spans="2:13">
      <c r="B240" t="s">
        <v>154</v>
      </c>
      <c r="C240">
        <f t="shared" si="19"/>
        <v>87</v>
      </c>
      <c r="D240" t="str">
        <f t="shared" si="16"/>
        <v>LILLE87</v>
      </c>
      <c r="E240" t="s">
        <v>155</v>
      </c>
      <c r="F240" t="str">
        <f t="shared" si="17"/>
        <v>LILLE87</v>
      </c>
      <c r="G240" t="s">
        <v>401</v>
      </c>
      <c r="I240" s="16">
        <v>44.6</v>
      </c>
      <c r="J240" s="16">
        <v>2.1800000000000002</v>
      </c>
      <c r="K240" s="16">
        <v>0</v>
      </c>
      <c r="L240" s="159">
        <f t="shared" si="18"/>
        <v>4.8878923766816143E-2</v>
      </c>
      <c r="M240" s="159">
        <f t="shared" si="18"/>
        <v>0</v>
      </c>
    </row>
    <row r="241" spans="2:13">
      <c r="B241" t="s">
        <v>154</v>
      </c>
      <c r="C241">
        <f t="shared" si="19"/>
        <v>88</v>
      </c>
      <c r="D241" t="str">
        <f t="shared" si="16"/>
        <v>LILLE88</v>
      </c>
      <c r="E241" t="s">
        <v>155</v>
      </c>
      <c r="F241" t="str">
        <f t="shared" si="17"/>
        <v>LILLE88</v>
      </c>
      <c r="G241" t="s">
        <v>334</v>
      </c>
      <c r="H241" t="s">
        <v>946</v>
      </c>
      <c r="I241" s="16">
        <v>42.75</v>
      </c>
      <c r="J241" s="16">
        <v>9.84</v>
      </c>
      <c r="K241" s="16">
        <v>42.75</v>
      </c>
      <c r="L241" s="159">
        <f t="shared" si="18"/>
        <v>0.23017543859649123</v>
      </c>
      <c r="M241" s="159">
        <f t="shared" si="18"/>
        <v>1</v>
      </c>
    </row>
    <row r="242" spans="2:13">
      <c r="B242" t="s">
        <v>154</v>
      </c>
      <c r="C242">
        <f t="shared" si="19"/>
        <v>89</v>
      </c>
      <c r="D242" t="str">
        <f t="shared" si="16"/>
        <v>LILLE89</v>
      </c>
      <c r="E242" t="s">
        <v>155</v>
      </c>
      <c r="F242" t="str">
        <f t="shared" si="17"/>
        <v>LILLE89</v>
      </c>
      <c r="G242" t="s">
        <v>323</v>
      </c>
      <c r="I242" s="16">
        <v>42.56</v>
      </c>
      <c r="J242" s="16">
        <v>0</v>
      </c>
      <c r="K242" s="16">
        <v>15.79</v>
      </c>
      <c r="L242" s="159">
        <f t="shared" si="18"/>
        <v>0</v>
      </c>
      <c r="M242" s="159">
        <f t="shared" si="18"/>
        <v>0.37100563909774431</v>
      </c>
    </row>
    <row r="243" spans="2:13">
      <c r="B243" t="s">
        <v>154</v>
      </c>
      <c r="C243">
        <f t="shared" si="19"/>
        <v>90</v>
      </c>
      <c r="D243" t="str">
        <f t="shared" si="16"/>
        <v>LILLE90</v>
      </c>
      <c r="E243" t="s">
        <v>155</v>
      </c>
      <c r="F243" t="str">
        <f t="shared" si="17"/>
        <v>LILLE90</v>
      </c>
      <c r="G243" t="s">
        <v>407</v>
      </c>
      <c r="I243" s="16">
        <v>41.69</v>
      </c>
      <c r="J243" s="16">
        <v>19.829999999999998</v>
      </c>
      <c r="K243" s="16">
        <v>8.16</v>
      </c>
      <c r="L243" s="159">
        <f t="shared" si="18"/>
        <v>0.47565363396497962</v>
      </c>
      <c r="M243" s="159">
        <f t="shared" si="18"/>
        <v>0.19573039098105063</v>
      </c>
    </row>
    <row r="244" spans="2:13">
      <c r="B244" t="s">
        <v>154</v>
      </c>
      <c r="C244">
        <f t="shared" si="19"/>
        <v>91</v>
      </c>
      <c r="D244" t="str">
        <f t="shared" si="16"/>
        <v>LILLE91</v>
      </c>
      <c r="E244" t="s">
        <v>155</v>
      </c>
      <c r="F244" t="str">
        <f t="shared" si="17"/>
        <v>LILLE91</v>
      </c>
      <c r="G244" t="s">
        <v>310</v>
      </c>
      <c r="I244" s="16">
        <v>40.79</v>
      </c>
      <c r="J244" s="16">
        <v>0</v>
      </c>
      <c r="K244" s="16">
        <v>0</v>
      </c>
      <c r="L244" s="159">
        <f t="shared" si="18"/>
        <v>0</v>
      </c>
      <c r="M244" s="159">
        <f t="shared" si="18"/>
        <v>0</v>
      </c>
    </row>
    <row r="245" spans="2:13">
      <c r="B245" t="s">
        <v>154</v>
      </c>
      <c r="C245">
        <f t="shared" si="19"/>
        <v>92</v>
      </c>
      <c r="D245" t="str">
        <f t="shared" si="16"/>
        <v>LILLE92</v>
      </c>
      <c r="E245" t="s">
        <v>155</v>
      </c>
      <c r="F245" t="str">
        <f t="shared" si="17"/>
        <v>LILLE92</v>
      </c>
      <c r="G245" t="s">
        <v>280</v>
      </c>
      <c r="I245" s="16">
        <v>40.020000000000003</v>
      </c>
      <c r="J245" s="16">
        <v>19.29</v>
      </c>
      <c r="K245" s="16">
        <v>0</v>
      </c>
      <c r="L245" s="159">
        <f t="shared" si="18"/>
        <v>0.48200899550224879</v>
      </c>
      <c r="M245" s="159">
        <f t="shared" si="18"/>
        <v>0</v>
      </c>
    </row>
    <row r="246" spans="2:13">
      <c r="B246" t="s">
        <v>154</v>
      </c>
      <c r="C246">
        <f t="shared" si="19"/>
        <v>93</v>
      </c>
      <c r="D246" t="str">
        <f t="shared" si="16"/>
        <v>LILLE93</v>
      </c>
      <c r="E246" t="s">
        <v>155</v>
      </c>
      <c r="F246" t="str">
        <f t="shared" si="17"/>
        <v>LILLE93</v>
      </c>
      <c r="G246" t="s">
        <v>297</v>
      </c>
      <c r="I246" s="16">
        <v>38.380000000000003</v>
      </c>
      <c r="J246" s="16">
        <v>0</v>
      </c>
      <c r="K246" s="16">
        <v>34.69</v>
      </c>
      <c r="L246" s="159">
        <f t="shared" si="18"/>
        <v>0</v>
      </c>
      <c r="M246" s="159">
        <f t="shared" si="18"/>
        <v>0.9038561750911932</v>
      </c>
    </row>
    <row r="247" spans="2:13">
      <c r="B247" t="s">
        <v>154</v>
      </c>
      <c r="C247">
        <f t="shared" si="19"/>
        <v>94</v>
      </c>
      <c r="D247" t="str">
        <f t="shared" si="16"/>
        <v>LILLE94</v>
      </c>
      <c r="E247" t="s">
        <v>155</v>
      </c>
      <c r="F247" t="str">
        <f t="shared" si="17"/>
        <v>LILLE94</v>
      </c>
      <c r="G247" t="s">
        <v>347</v>
      </c>
      <c r="I247" s="16">
        <v>38.200000000000003</v>
      </c>
      <c r="J247" s="16">
        <v>31.62</v>
      </c>
      <c r="K247" s="16">
        <v>0</v>
      </c>
      <c r="L247" s="159">
        <f t="shared" si="18"/>
        <v>0.82774869109947635</v>
      </c>
      <c r="M247" s="159">
        <f t="shared" si="18"/>
        <v>0</v>
      </c>
    </row>
    <row r="248" spans="2:13">
      <c r="B248" t="s">
        <v>154</v>
      </c>
      <c r="C248">
        <f t="shared" si="19"/>
        <v>95</v>
      </c>
      <c r="D248" t="str">
        <f t="shared" si="16"/>
        <v>LILLE95</v>
      </c>
      <c r="E248" t="s">
        <v>155</v>
      </c>
      <c r="F248" t="str">
        <f t="shared" si="17"/>
        <v>LILLE95</v>
      </c>
      <c r="G248" t="s">
        <v>343</v>
      </c>
      <c r="I248" s="16">
        <v>36.270000000000003</v>
      </c>
      <c r="J248" s="16">
        <v>28.3</v>
      </c>
      <c r="K248" s="16">
        <v>0</v>
      </c>
      <c r="L248" s="159">
        <f t="shared" si="18"/>
        <v>0.78025916735594147</v>
      </c>
      <c r="M248" s="159">
        <f t="shared" si="18"/>
        <v>0</v>
      </c>
    </row>
    <row r="249" spans="2:13">
      <c r="B249" t="s">
        <v>154</v>
      </c>
      <c r="C249">
        <f t="shared" si="19"/>
        <v>96</v>
      </c>
      <c r="D249" t="str">
        <f t="shared" si="16"/>
        <v>LILLE96</v>
      </c>
      <c r="E249" t="s">
        <v>155</v>
      </c>
      <c r="F249" t="str">
        <f t="shared" si="17"/>
        <v>LILLE96</v>
      </c>
      <c r="G249" t="s">
        <v>262</v>
      </c>
      <c r="I249" s="16">
        <v>34.35</v>
      </c>
      <c r="J249" s="16">
        <v>10.54</v>
      </c>
      <c r="K249" s="16">
        <v>0</v>
      </c>
      <c r="L249" s="159">
        <f t="shared" si="18"/>
        <v>0.30684133915574963</v>
      </c>
      <c r="M249" s="159">
        <f t="shared" si="18"/>
        <v>0</v>
      </c>
    </row>
    <row r="250" spans="2:13">
      <c r="B250" t="s">
        <v>154</v>
      </c>
      <c r="C250">
        <f t="shared" ref="C250:C281" si="20">RANK(I250,$I$154:$I$323,0)</f>
        <v>97</v>
      </c>
      <c r="D250" t="str">
        <f t="shared" si="16"/>
        <v>LILLE97</v>
      </c>
      <c r="E250" t="s">
        <v>155</v>
      </c>
      <c r="F250" t="str">
        <f t="shared" si="17"/>
        <v>LILLE97</v>
      </c>
      <c r="G250" t="s">
        <v>272</v>
      </c>
      <c r="I250" s="16">
        <v>33.630000000000003</v>
      </c>
      <c r="J250" s="16">
        <v>28.09</v>
      </c>
      <c r="K250" s="16">
        <v>28.09</v>
      </c>
      <c r="L250" s="159">
        <f t="shared" si="18"/>
        <v>0.83526613143027051</v>
      </c>
      <c r="M250" s="159">
        <f t="shared" si="18"/>
        <v>0.83526613143027051</v>
      </c>
    </row>
    <row r="251" spans="2:13">
      <c r="B251" t="s">
        <v>154</v>
      </c>
      <c r="C251">
        <f t="shared" si="20"/>
        <v>98</v>
      </c>
      <c r="D251" t="str">
        <f t="shared" si="16"/>
        <v>LILLE98</v>
      </c>
      <c r="E251" t="s">
        <v>155</v>
      </c>
      <c r="F251" t="str">
        <f t="shared" si="17"/>
        <v>LILLE98</v>
      </c>
      <c r="G251" t="s">
        <v>306</v>
      </c>
      <c r="H251" t="s">
        <v>307</v>
      </c>
      <c r="I251" s="16">
        <v>33.32</v>
      </c>
      <c r="J251" s="16">
        <v>0</v>
      </c>
      <c r="K251" s="16">
        <v>0</v>
      </c>
      <c r="L251" s="159">
        <f t="shared" si="18"/>
        <v>0</v>
      </c>
      <c r="M251" s="159">
        <f t="shared" si="18"/>
        <v>0</v>
      </c>
    </row>
    <row r="252" spans="2:13">
      <c r="B252" t="s">
        <v>154</v>
      </c>
      <c r="C252">
        <f t="shared" si="20"/>
        <v>99</v>
      </c>
      <c r="D252" t="str">
        <f t="shared" si="16"/>
        <v>LILLE99</v>
      </c>
      <c r="E252" t="s">
        <v>155</v>
      </c>
      <c r="F252" t="str">
        <f t="shared" si="17"/>
        <v>LILLE99</v>
      </c>
      <c r="G252" t="s">
        <v>409</v>
      </c>
      <c r="I252" s="16">
        <v>31.67</v>
      </c>
      <c r="J252" s="16">
        <v>4.24</v>
      </c>
      <c r="K252" s="16">
        <v>0</v>
      </c>
      <c r="L252" s="159">
        <f t="shared" si="18"/>
        <v>0.13388064414272183</v>
      </c>
      <c r="M252" s="159">
        <f t="shared" si="18"/>
        <v>0</v>
      </c>
    </row>
    <row r="253" spans="2:13">
      <c r="B253" t="s">
        <v>154</v>
      </c>
      <c r="C253">
        <f t="shared" si="20"/>
        <v>100</v>
      </c>
      <c r="D253" t="str">
        <f t="shared" si="16"/>
        <v>LILLE100</v>
      </c>
      <c r="E253" t="s">
        <v>155</v>
      </c>
      <c r="F253" t="str">
        <f t="shared" si="17"/>
        <v>LILLE100</v>
      </c>
      <c r="G253" t="s">
        <v>415</v>
      </c>
      <c r="I253" s="16">
        <v>31.51</v>
      </c>
      <c r="J253" s="16">
        <v>4.71</v>
      </c>
      <c r="K253" s="16">
        <v>0</v>
      </c>
      <c r="L253" s="159">
        <f t="shared" si="18"/>
        <v>0.14947635671215487</v>
      </c>
      <c r="M253" s="159">
        <f t="shared" si="18"/>
        <v>0</v>
      </c>
    </row>
    <row r="254" spans="2:13">
      <c r="B254" t="s">
        <v>154</v>
      </c>
      <c r="C254">
        <f t="shared" si="20"/>
        <v>101</v>
      </c>
      <c r="D254" t="str">
        <f t="shared" si="16"/>
        <v>LILLE101</v>
      </c>
      <c r="E254" t="s">
        <v>155</v>
      </c>
      <c r="F254" t="str">
        <f t="shared" si="17"/>
        <v>LILLE101</v>
      </c>
      <c r="G254" t="s">
        <v>353</v>
      </c>
      <c r="I254" s="16">
        <v>30.28</v>
      </c>
      <c r="J254" s="16">
        <v>23.71</v>
      </c>
      <c r="K254" s="16">
        <v>0</v>
      </c>
      <c r="L254" s="159">
        <f t="shared" si="18"/>
        <v>0.78302509907529727</v>
      </c>
      <c r="M254" s="159">
        <f t="shared" si="18"/>
        <v>0</v>
      </c>
    </row>
    <row r="255" spans="2:13">
      <c r="B255" t="s">
        <v>154</v>
      </c>
      <c r="C255">
        <f t="shared" si="20"/>
        <v>102</v>
      </c>
      <c r="D255" t="str">
        <f t="shared" si="16"/>
        <v>LILLE102</v>
      </c>
      <c r="E255" t="s">
        <v>155</v>
      </c>
      <c r="F255" t="str">
        <f t="shared" si="17"/>
        <v>LILLE102</v>
      </c>
      <c r="G255" t="s">
        <v>355</v>
      </c>
      <c r="I255" s="16">
        <v>29.34</v>
      </c>
      <c r="J255" s="16">
        <v>10.36</v>
      </c>
      <c r="K255" s="16">
        <v>0</v>
      </c>
      <c r="L255" s="159">
        <f t="shared" si="18"/>
        <v>0.35310156782549418</v>
      </c>
      <c r="M255" s="159">
        <f t="shared" si="18"/>
        <v>0</v>
      </c>
    </row>
    <row r="256" spans="2:13">
      <c r="B256" t="s">
        <v>154</v>
      </c>
      <c r="C256">
        <f t="shared" si="20"/>
        <v>103</v>
      </c>
      <c r="D256" t="str">
        <f t="shared" si="16"/>
        <v>LILLE103</v>
      </c>
      <c r="E256" t="s">
        <v>155</v>
      </c>
      <c r="F256" t="str">
        <f t="shared" si="17"/>
        <v>LILLE103</v>
      </c>
      <c r="G256" t="s">
        <v>374</v>
      </c>
      <c r="I256" s="16">
        <v>27.13</v>
      </c>
      <c r="J256" s="16">
        <v>16.760000000000002</v>
      </c>
      <c r="K256" s="16">
        <v>9.36</v>
      </c>
      <c r="L256" s="159">
        <f t="shared" si="18"/>
        <v>0.61776631035753782</v>
      </c>
      <c r="M256" s="159">
        <f t="shared" si="18"/>
        <v>0.34500552893475855</v>
      </c>
    </row>
    <row r="257" spans="2:13">
      <c r="B257" t="s">
        <v>154</v>
      </c>
      <c r="C257">
        <f t="shared" si="20"/>
        <v>104</v>
      </c>
      <c r="D257" t="str">
        <f t="shared" si="16"/>
        <v>LILLE104</v>
      </c>
      <c r="E257" t="s">
        <v>155</v>
      </c>
      <c r="F257" t="str">
        <f t="shared" si="17"/>
        <v>LILLE104</v>
      </c>
      <c r="G257" t="s">
        <v>429</v>
      </c>
      <c r="I257" s="16">
        <v>26.9</v>
      </c>
      <c r="J257" s="16">
        <v>19.420000000000002</v>
      </c>
      <c r="K257" s="16">
        <v>20.43</v>
      </c>
      <c r="L257" s="159">
        <f t="shared" si="18"/>
        <v>0.72193308550185886</v>
      </c>
      <c r="M257" s="159">
        <f t="shared" si="18"/>
        <v>0.75947955390334576</v>
      </c>
    </row>
    <row r="258" spans="2:13">
      <c r="B258" t="s">
        <v>154</v>
      </c>
      <c r="C258">
        <f t="shared" si="20"/>
        <v>105</v>
      </c>
      <c r="D258" t="str">
        <f t="shared" ref="D258:D321" si="21">CONCATENATE(E258,C258)</f>
        <v>LILLE105</v>
      </c>
      <c r="E258" t="s">
        <v>155</v>
      </c>
      <c r="F258" t="str">
        <f t="shared" si="17"/>
        <v>LILLE105</v>
      </c>
      <c r="G258" t="s">
        <v>418</v>
      </c>
      <c r="I258" s="16">
        <v>26.52</v>
      </c>
      <c r="J258" s="16">
        <v>15.42</v>
      </c>
      <c r="K258" s="16">
        <v>0</v>
      </c>
      <c r="L258" s="159">
        <f t="shared" si="18"/>
        <v>0.58144796380090502</v>
      </c>
      <c r="M258" s="159">
        <f t="shared" si="18"/>
        <v>0</v>
      </c>
    </row>
    <row r="259" spans="2:13">
      <c r="B259" t="s">
        <v>154</v>
      </c>
      <c r="C259">
        <f t="shared" si="20"/>
        <v>106</v>
      </c>
      <c r="D259" t="str">
        <f t="shared" si="21"/>
        <v>LILLE106</v>
      </c>
      <c r="E259" t="s">
        <v>155</v>
      </c>
      <c r="F259" t="str">
        <f t="shared" ref="F259:F322" si="22">D259</f>
        <v>LILLE106</v>
      </c>
      <c r="G259" t="s">
        <v>352</v>
      </c>
      <c r="I259" s="16">
        <v>24.73</v>
      </c>
      <c r="J259" s="16">
        <v>0</v>
      </c>
      <c r="K259" s="16">
        <v>0</v>
      </c>
      <c r="L259" s="159">
        <f t="shared" ref="L259:M322" si="23">J259/$I259</f>
        <v>0</v>
      </c>
      <c r="M259" s="159">
        <f t="shared" si="23"/>
        <v>0</v>
      </c>
    </row>
    <row r="260" spans="2:13">
      <c r="B260" t="s">
        <v>154</v>
      </c>
      <c r="C260">
        <f t="shared" si="20"/>
        <v>107</v>
      </c>
      <c r="D260" t="str">
        <f t="shared" si="21"/>
        <v>LILLE107</v>
      </c>
      <c r="E260" t="s">
        <v>155</v>
      </c>
      <c r="F260" t="str">
        <f t="shared" si="22"/>
        <v>LILLE107</v>
      </c>
      <c r="G260" t="s">
        <v>301</v>
      </c>
      <c r="H260" t="s">
        <v>918</v>
      </c>
      <c r="I260" s="16">
        <v>23.66</v>
      </c>
      <c r="J260" s="16">
        <v>12.41</v>
      </c>
      <c r="K260" s="16">
        <v>0</v>
      </c>
      <c r="L260" s="159">
        <f t="shared" si="23"/>
        <v>0.52451394759087067</v>
      </c>
      <c r="M260" s="159">
        <f t="shared" si="23"/>
        <v>0</v>
      </c>
    </row>
    <row r="261" spans="2:13">
      <c r="B261" t="s">
        <v>154</v>
      </c>
      <c r="C261">
        <f t="shared" si="20"/>
        <v>108</v>
      </c>
      <c r="D261" t="str">
        <f t="shared" si="21"/>
        <v>LILLE108</v>
      </c>
      <c r="E261" t="s">
        <v>155</v>
      </c>
      <c r="F261" t="str">
        <f t="shared" si="22"/>
        <v>LILLE108</v>
      </c>
      <c r="G261" t="s">
        <v>346</v>
      </c>
      <c r="I261" s="16">
        <v>22.79</v>
      </c>
      <c r="J261" s="16">
        <v>8.5299999999999994</v>
      </c>
      <c r="K261" s="16">
        <v>1</v>
      </c>
      <c r="L261" s="159">
        <f t="shared" si="23"/>
        <v>0.37428696796840716</v>
      </c>
      <c r="M261" s="159">
        <f t="shared" si="23"/>
        <v>4.3878894251864857E-2</v>
      </c>
    </row>
    <row r="262" spans="2:13">
      <c r="B262" t="s">
        <v>154</v>
      </c>
      <c r="C262">
        <f t="shared" si="20"/>
        <v>109</v>
      </c>
      <c r="D262" t="str">
        <f t="shared" si="21"/>
        <v>LILLE109</v>
      </c>
      <c r="E262" t="s">
        <v>155</v>
      </c>
      <c r="F262" t="str">
        <f t="shared" si="22"/>
        <v>LILLE109</v>
      </c>
      <c r="G262" t="s">
        <v>419</v>
      </c>
      <c r="I262" s="16">
        <v>22.65</v>
      </c>
      <c r="J262" s="16">
        <v>19.59</v>
      </c>
      <c r="K262" s="16">
        <v>13.06</v>
      </c>
      <c r="L262" s="159">
        <f t="shared" si="23"/>
        <v>0.86490066225165563</v>
      </c>
      <c r="M262" s="159">
        <f t="shared" si="23"/>
        <v>0.57660044150110379</v>
      </c>
    </row>
    <row r="263" spans="2:13">
      <c r="B263" t="s">
        <v>154</v>
      </c>
      <c r="C263">
        <f t="shared" si="20"/>
        <v>110</v>
      </c>
      <c r="D263" t="str">
        <f t="shared" si="21"/>
        <v>LILLE110</v>
      </c>
      <c r="E263" t="s">
        <v>155</v>
      </c>
      <c r="F263" t="str">
        <f t="shared" si="22"/>
        <v>LILLE110</v>
      </c>
      <c r="G263" t="s">
        <v>439</v>
      </c>
      <c r="H263" t="s">
        <v>440</v>
      </c>
      <c r="I263" s="16">
        <v>21.94</v>
      </c>
      <c r="J263" s="16">
        <v>0</v>
      </c>
      <c r="K263" s="16">
        <v>10.97</v>
      </c>
      <c r="L263" s="159">
        <f t="shared" si="23"/>
        <v>0</v>
      </c>
      <c r="M263" s="159">
        <f t="shared" si="23"/>
        <v>0.5</v>
      </c>
    </row>
    <row r="264" spans="2:13">
      <c r="B264" t="s">
        <v>154</v>
      </c>
      <c r="C264">
        <f t="shared" si="20"/>
        <v>111</v>
      </c>
      <c r="D264" t="str">
        <f t="shared" si="21"/>
        <v>LILLE111</v>
      </c>
      <c r="E264" t="s">
        <v>155</v>
      </c>
      <c r="F264" t="str">
        <f t="shared" si="22"/>
        <v>LILLE111</v>
      </c>
      <c r="G264" t="s">
        <v>373</v>
      </c>
      <c r="I264" s="16">
        <v>21.54</v>
      </c>
      <c r="J264" s="16">
        <v>0</v>
      </c>
      <c r="K264" s="16">
        <v>15</v>
      </c>
      <c r="L264" s="159">
        <f t="shared" si="23"/>
        <v>0</v>
      </c>
      <c r="M264" s="159">
        <f t="shared" si="23"/>
        <v>0.69637883008356549</v>
      </c>
    </row>
    <row r="265" spans="2:13">
      <c r="B265" t="s">
        <v>154</v>
      </c>
      <c r="C265">
        <f t="shared" si="20"/>
        <v>112</v>
      </c>
      <c r="D265" t="str">
        <f t="shared" si="21"/>
        <v>LILLE112</v>
      </c>
      <c r="E265" t="s">
        <v>155</v>
      </c>
      <c r="F265" t="str">
        <f t="shared" si="22"/>
        <v>LILLE112</v>
      </c>
      <c r="G265" t="s">
        <v>420</v>
      </c>
      <c r="I265" s="16">
        <v>21.24</v>
      </c>
      <c r="J265" s="16">
        <v>8.52</v>
      </c>
      <c r="K265" s="16">
        <v>0</v>
      </c>
      <c r="L265" s="159">
        <f t="shared" si="23"/>
        <v>0.40112994350282488</v>
      </c>
      <c r="M265" s="159">
        <f t="shared" si="23"/>
        <v>0</v>
      </c>
    </row>
    <row r="266" spans="2:13">
      <c r="B266" t="s">
        <v>154</v>
      </c>
      <c r="C266">
        <f t="shared" si="20"/>
        <v>113</v>
      </c>
      <c r="D266" t="str">
        <f t="shared" si="21"/>
        <v>LILLE113</v>
      </c>
      <c r="E266" t="s">
        <v>155</v>
      </c>
      <c r="F266" t="str">
        <f t="shared" si="22"/>
        <v>LILLE113</v>
      </c>
      <c r="G266" t="s">
        <v>421</v>
      </c>
      <c r="I266" s="16">
        <v>18.75</v>
      </c>
      <c r="J266" s="16">
        <v>11.1</v>
      </c>
      <c r="K266" s="16">
        <v>0</v>
      </c>
      <c r="L266" s="159">
        <f t="shared" si="23"/>
        <v>0.59199999999999997</v>
      </c>
      <c r="M266" s="159">
        <f t="shared" si="23"/>
        <v>0</v>
      </c>
    </row>
    <row r="267" spans="2:13">
      <c r="B267" t="s">
        <v>154</v>
      </c>
      <c r="C267">
        <f t="shared" si="20"/>
        <v>114</v>
      </c>
      <c r="D267" t="str">
        <f t="shared" si="21"/>
        <v>LILLE114</v>
      </c>
      <c r="E267" t="s">
        <v>155</v>
      </c>
      <c r="F267" t="str">
        <f t="shared" si="22"/>
        <v>LILLE114</v>
      </c>
      <c r="G267" t="s">
        <v>375</v>
      </c>
      <c r="I267" s="16">
        <v>18.02</v>
      </c>
      <c r="J267" s="16">
        <v>0</v>
      </c>
      <c r="K267" s="16">
        <v>0</v>
      </c>
      <c r="L267" s="159">
        <f t="shared" si="23"/>
        <v>0</v>
      </c>
      <c r="M267" s="159">
        <f t="shared" si="23"/>
        <v>0</v>
      </c>
    </row>
    <row r="268" spans="2:13">
      <c r="B268" t="s">
        <v>154</v>
      </c>
      <c r="C268">
        <f t="shared" si="20"/>
        <v>115</v>
      </c>
      <c r="D268" t="str">
        <f t="shared" si="21"/>
        <v>LILLE115</v>
      </c>
      <c r="E268" t="s">
        <v>155</v>
      </c>
      <c r="F268" t="str">
        <f t="shared" si="22"/>
        <v>LILLE115</v>
      </c>
      <c r="G268" t="s">
        <v>283</v>
      </c>
      <c r="I268" s="16">
        <v>17.61</v>
      </c>
      <c r="J268" s="16">
        <v>3.18</v>
      </c>
      <c r="K268" s="16">
        <v>0</v>
      </c>
      <c r="L268" s="159">
        <f t="shared" si="23"/>
        <v>0.18057921635434412</v>
      </c>
      <c r="M268" s="159">
        <f t="shared" si="23"/>
        <v>0</v>
      </c>
    </row>
    <row r="269" spans="2:13">
      <c r="B269" t="s">
        <v>154</v>
      </c>
      <c r="C269">
        <f t="shared" si="20"/>
        <v>116</v>
      </c>
      <c r="D269" t="str">
        <f t="shared" si="21"/>
        <v>LILLE116</v>
      </c>
      <c r="E269" t="s">
        <v>155</v>
      </c>
      <c r="F269" t="str">
        <f t="shared" si="22"/>
        <v>LILLE116</v>
      </c>
      <c r="G269" t="s">
        <v>357</v>
      </c>
      <c r="I269" s="16">
        <v>17.37</v>
      </c>
      <c r="J269" s="16">
        <v>0</v>
      </c>
      <c r="K269" s="16">
        <v>5</v>
      </c>
      <c r="L269" s="159">
        <f t="shared" si="23"/>
        <v>0</v>
      </c>
      <c r="M269" s="159">
        <f t="shared" si="23"/>
        <v>0.28785261945883706</v>
      </c>
    </row>
    <row r="270" spans="2:13">
      <c r="B270" t="s">
        <v>154</v>
      </c>
      <c r="C270">
        <f t="shared" si="20"/>
        <v>117</v>
      </c>
      <c r="D270" t="str">
        <f t="shared" si="21"/>
        <v>LILLE117</v>
      </c>
      <c r="E270" t="s">
        <v>155</v>
      </c>
      <c r="F270" t="str">
        <f t="shared" si="22"/>
        <v>LILLE117</v>
      </c>
      <c r="G270" t="s">
        <v>240</v>
      </c>
      <c r="H270" t="s">
        <v>926</v>
      </c>
      <c r="I270" s="16">
        <v>16.690000000000001</v>
      </c>
      <c r="J270" s="16">
        <v>0</v>
      </c>
      <c r="K270" s="16">
        <v>0</v>
      </c>
      <c r="L270" s="159">
        <f t="shared" si="23"/>
        <v>0</v>
      </c>
      <c r="M270" s="159">
        <f t="shared" si="23"/>
        <v>0</v>
      </c>
    </row>
    <row r="271" spans="2:13">
      <c r="B271" t="s">
        <v>154</v>
      </c>
      <c r="C271">
        <f t="shared" si="20"/>
        <v>118</v>
      </c>
      <c r="D271" t="str">
        <f t="shared" si="21"/>
        <v>LILLE118</v>
      </c>
      <c r="E271" t="s">
        <v>155</v>
      </c>
      <c r="F271" t="str">
        <f t="shared" si="22"/>
        <v>LILLE118</v>
      </c>
      <c r="G271" t="s">
        <v>425</v>
      </c>
      <c r="I271" s="16">
        <v>16.39</v>
      </c>
      <c r="J271" s="16">
        <v>7.89</v>
      </c>
      <c r="K271" s="16">
        <v>0</v>
      </c>
      <c r="L271" s="159">
        <f t="shared" si="23"/>
        <v>0.48139109212934711</v>
      </c>
      <c r="M271" s="159">
        <f t="shared" si="23"/>
        <v>0</v>
      </c>
    </row>
    <row r="272" spans="2:13">
      <c r="B272" t="s">
        <v>154</v>
      </c>
      <c r="C272">
        <f t="shared" si="20"/>
        <v>119</v>
      </c>
      <c r="D272" t="str">
        <f t="shared" si="21"/>
        <v>LILLE119</v>
      </c>
      <c r="E272" t="s">
        <v>155</v>
      </c>
      <c r="F272" t="str">
        <f t="shared" si="22"/>
        <v>LILLE119</v>
      </c>
      <c r="G272" t="s">
        <v>292</v>
      </c>
      <c r="I272" s="16">
        <v>16.36</v>
      </c>
      <c r="J272" s="16">
        <v>6.61</v>
      </c>
      <c r="K272" s="16">
        <v>0</v>
      </c>
      <c r="L272" s="159">
        <f t="shared" si="23"/>
        <v>0.4040342298288509</v>
      </c>
      <c r="M272" s="159">
        <f t="shared" si="23"/>
        <v>0</v>
      </c>
    </row>
    <row r="273" spans="2:13">
      <c r="B273" t="s">
        <v>154</v>
      </c>
      <c r="C273">
        <f t="shared" si="20"/>
        <v>120</v>
      </c>
      <c r="D273" t="str">
        <f t="shared" si="21"/>
        <v>LILLE120</v>
      </c>
      <c r="E273" t="s">
        <v>155</v>
      </c>
      <c r="F273" t="str">
        <f t="shared" si="22"/>
        <v>LILLE120</v>
      </c>
      <c r="G273" t="s">
        <v>371</v>
      </c>
      <c r="I273" s="16">
        <v>15.89</v>
      </c>
      <c r="J273" s="16">
        <v>0</v>
      </c>
      <c r="K273" s="16">
        <v>0</v>
      </c>
      <c r="L273" s="159">
        <f t="shared" si="23"/>
        <v>0</v>
      </c>
      <c r="M273" s="159">
        <f t="shared" si="23"/>
        <v>0</v>
      </c>
    </row>
    <row r="274" spans="2:13">
      <c r="B274" t="s">
        <v>154</v>
      </c>
      <c r="C274">
        <f t="shared" si="20"/>
        <v>120</v>
      </c>
      <c r="D274" t="str">
        <f t="shared" si="21"/>
        <v>LILLE120</v>
      </c>
      <c r="E274" t="s">
        <v>155</v>
      </c>
      <c r="F274" t="str">
        <f t="shared" si="22"/>
        <v>LILLE120</v>
      </c>
      <c r="G274" t="s">
        <v>433</v>
      </c>
      <c r="I274" s="16">
        <v>15.89</v>
      </c>
      <c r="J274" s="16">
        <v>6.86</v>
      </c>
      <c r="K274" s="16">
        <v>0</v>
      </c>
      <c r="L274" s="159">
        <f t="shared" si="23"/>
        <v>0.43171806167400884</v>
      </c>
      <c r="M274" s="159">
        <f t="shared" si="23"/>
        <v>0</v>
      </c>
    </row>
    <row r="275" spans="2:13">
      <c r="B275" t="s">
        <v>154</v>
      </c>
      <c r="C275">
        <f t="shared" si="20"/>
        <v>122</v>
      </c>
      <c r="D275" t="str">
        <f t="shared" si="21"/>
        <v>LILLE122</v>
      </c>
      <c r="E275" t="s">
        <v>155</v>
      </c>
      <c r="F275" t="str">
        <f t="shared" si="22"/>
        <v>LILLE122</v>
      </c>
      <c r="G275" t="s">
        <v>423</v>
      </c>
      <c r="I275" s="16">
        <v>15.29</v>
      </c>
      <c r="J275" s="16">
        <v>0</v>
      </c>
      <c r="K275" s="16">
        <v>0</v>
      </c>
      <c r="L275" s="159">
        <f t="shared" si="23"/>
        <v>0</v>
      </c>
      <c r="M275" s="159">
        <f t="shared" si="23"/>
        <v>0</v>
      </c>
    </row>
    <row r="276" spans="2:13">
      <c r="B276" t="s">
        <v>154</v>
      </c>
      <c r="C276">
        <f t="shared" si="20"/>
        <v>123</v>
      </c>
      <c r="D276" t="str">
        <f t="shared" si="21"/>
        <v>LILLE123</v>
      </c>
      <c r="E276" t="s">
        <v>155</v>
      </c>
      <c r="F276" t="str">
        <f t="shared" si="22"/>
        <v>LILLE123</v>
      </c>
      <c r="G276" t="s">
        <v>448</v>
      </c>
      <c r="I276" s="16">
        <v>15.1</v>
      </c>
      <c r="J276" s="16">
        <v>0</v>
      </c>
      <c r="K276" s="16">
        <v>3.96</v>
      </c>
      <c r="L276" s="159">
        <f t="shared" si="23"/>
        <v>0</v>
      </c>
      <c r="M276" s="159">
        <f t="shared" si="23"/>
        <v>0.2622516556291391</v>
      </c>
    </row>
    <row r="277" spans="2:13">
      <c r="B277" t="s">
        <v>154</v>
      </c>
      <c r="C277">
        <f t="shared" si="20"/>
        <v>124</v>
      </c>
      <c r="D277" t="str">
        <f t="shared" si="21"/>
        <v>LILLE124</v>
      </c>
      <c r="E277" t="s">
        <v>155</v>
      </c>
      <c r="F277" t="str">
        <f t="shared" si="22"/>
        <v>LILLE124</v>
      </c>
      <c r="G277" t="s">
        <v>372</v>
      </c>
      <c r="I277" s="16">
        <v>15.03</v>
      </c>
      <c r="J277" s="16">
        <v>0</v>
      </c>
      <c r="K277" s="16">
        <v>0</v>
      </c>
      <c r="L277" s="159">
        <f t="shared" si="23"/>
        <v>0</v>
      </c>
      <c r="M277" s="159">
        <f t="shared" si="23"/>
        <v>0</v>
      </c>
    </row>
    <row r="278" spans="2:13">
      <c r="B278" t="s">
        <v>154</v>
      </c>
      <c r="C278">
        <f t="shared" si="20"/>
        <v>125</v>
      </c>
      <c r="D278" t="str">
        <f t="shared" si="21"/>
        <v>LILLE125</v>
      </c>
      <c r="E278" t="s">
        <v>155</v>
      </c>
      <c r="F278" t="str">
        <f t="shared" si="22"/>
        <v>LILLE125</v>
      </c>
      <c r="G278" t="s">
        <v>398</v>
      </c>
      <c r="I278" s="16">
        <v>14.54</v>
      </c>
      <c r="J278" s="16">
        <v>3.95</v>
      </c>
      <c r="K278" s="16">
        <v>2.87</v>
      </c>
      <c r="L278" s="159">
        <f t="shared" si="23"/>
        <v>0.27166437414030264</v>
      </c>
      <c r="M278" s="159">
        <f t="shared" si="23"/>
        <v>0.19738651994497938</v>
      </c>
    </row>
    <row r="279" spans="2:13">
      <c r="B279" t="s">
        <v>154</v>
      </c>
      <c r="C279">
        <f t="shared" si="20"/>
        <v>126</v>
      </c>
      <c r="D279" t="str">
        <f t="shared" si="21"/>
        <v>LILLE126</v>
      </c>
      <c r="E279" t="s">
        <v>155</v>
      </c>
      <c r="F279" t="str">
        <f t="shared" si="22"/>
        <v>LILLE126</v>
      </c>
      <c r="G279" t="s">
        <v>276</v>
      </c>
      <c r="H279" t="s">
        <v>933</v>
      </c>
      <c r="I279" s="16">
        <v>14.2</v>
      </c>
      <c r="J279" s="16">
        <v>0</v>
      </c>
      <c r="K279" s="16">
        <v>7.6</v>
      </c>
      <c r="L279" s="159">
        <f t="shared" si="23"/>
        <v>0</v>
      </c>
      <c r="M279" s="159">
        <f t="shared" si="23"/>
        <v>0.53521126760563376</v>
      </c>
    </row>
    <row r="280" spans="2:13">
      <c r="B280" t="s">
        <v>154</v>
      </c>
      <c r="C280">
        <f t="shared" si="20"/>
        <v>127</v>
      </c>
      <c r="D280" t="str">
        <f t="shared" si="21"/>
        <v>LILLE127</v>
      </c>
      <c r="E280" t="s">
        <v>155</v>
      </c>
      <c r="F280" t="str">
        <f t="shared" si="22"/>
        <v>LILLE127</v>
      </c>
      <c r="G280" t="s">
        <v>370</v>
      </c>
      <c r="I280" s="16">
        <v>14.18</v>
      </c>
      <c r="J280" s="16">
        <v>14.18</v>
      </c>
      <c r="K280" s="16">
        <v>0</v>
      </c>
      <c r="L280" s="159">
        <f t="shared" si="23"/>
        <v>1</v>
      </c>
      <c r="M280" s="159">
        <f t="shared" si="23"/>
        <v>0</v>
      </c>
    </row>
    <row r="281" spans="2:13">
      <c r="B281" t="s">
        <v>154</v>
      </c>
      <c r="C281">
        <f t="shared" si="20"/>
        <v>128</v>
      </c>
      <c r="D281" t="str">
        <f t="shared" si="21"/>
        <v>LILLE128</v>
      </c>
      <c r="E281" t="s">
        <v>155</v>
      </c>
      <c r="F281" t="str">
        <f t="shared" si="22"/>
        <v>LILLE128</v>
      </c>
      <c r="G281" t="s">
        <v>330</v>
      </c>
      <c r="I281" s="16">
        <v>13.71</v>
      </c>
      <c r="J281" s="16">
        <v>0</v>
      </c>
      <c r="K281" s="16">
        <v>0</v>
      </c>
      <c r="L281" s="159">
        <f t="shared" si="23"/>
        <v>0</v>
      </c>
      <c r="M281" s="159">
        <f t="shared" si="23"/>
        <v>0</v>
      </c>
    </row>
    <row r="282" spans="2:13">
      <c r="B282" t="s">
        <v>154</v>
      </c>
      <c r="C282">
        <f t="shared" ref="C282:C313" si="24">RANK(I282,$I$154:$I$323,0)</f>
        <v>129</v>
      </c>
      <c r="D282" t="str">
        <f t="shared" si="21"/>
        <v>LILLE129</v>
      </c>
      <c r="E282" t="s">
        <v>155</v>
      </c>
      <c r="F282" t="str">
        <f t="shared" si="22"/>
        <v>LILLE129</v>
      </c>
      <c r="G282" t="s">
        <v>383</v>
      </c>
      <c r="I282" s="16">
        <v>12.63</v>
      </c>
      <c r="J282" s="16">
        <v>3</v>
      </c>
      <c r="K282" s="16">
        <v>0</v>
      </c>
      <c r="L282" s="159">
        <f t="shared" si="23"/>
        <v>0.23752969121140141</v>
      </c>
      <c r="M282" s="159">
        <f t="shared" si="23"/>
        <v>0</v>
      </c>
    </row>
    <row r="283" spans="2:13">
      <c r="B283" t="s">
        <v>154</v>
      </c>
      <c r="C283">
        <f t="shared" si="24"/>
        <v>130</v>
      </c>
      <c r="D283" t="str">
        <f t="shared" si="21"/>
        <v>LILLE130</v>
      </c>
      <c r="E283" t="s">
        <v>155</v>
      </c>
      <c r="F283" t="str">
        <f t="shared" si="22"/>
        <v>LILLE130</v>
      </c>
      <c r="G283" t="s">
        <v>445</v>
      </c>
      <c r="I283" s="16">
        <v>12.44</v>
      </c>
      <c r="J283" s="16">
        <v>6.98</v>
      </c>
      <c r="K283" s="16">
        <v>0</v>
      </c>
      <c r="L283" s="159">
        <f t="shared" si="23"/>
        <v>0.56109324758842449</v>
      </c>
      <c r="M283" s="159">
        <f t="shared" si="23"/>
        <v>0</v>
      </c>
    </row>
    <row r="284" spans="2:13">
      <c r="B284" t="s">
        <v>154</v>
      </c>
      <c r="C284">
        <f t="shared" si="24"/>
        <v>131</v>
      </c>
      <c r="D284" t="str">
        <f t="shared" si="21"/>
        <v>LILLE131</v>
      </c>
      <c r="E284" t="s">
        <v>155</v>
      </c>
      <c r="F284" t="str">
        <f t="shared" si="22"/>
        <v>LILLE131</v>
      </c>
      <c r="G284" t="s">
        <v>365</v>
      </c>
      <c r="I284" s="16">
        <v>11.87</v>
      </c>
      <c r="J284" s="16">
        <v>0</v>
      </c>
      <c r="K284" s="16">
        <v>0</v>
      </c>
      <c r="L284" s="159">
        <f t="shared" si="23"/>
        <v>0</v>
      </c>
      <c r="M284" s="159">
        <f t="shared" si="23"/>
        <v>0</v>
      </c>
    </row>
    <row r="285" spans="2:13">
      <c r="B285" t="s">
        <v>154</v>
      </c>
      <c r="C285">
        <f t="shared" si="24"/>
        <v>131</v>
      </c>
      <c r="D285" t="str">
        <f t="shared" si="21"/>
        <v>LILLE131</v>
      </c>
      <c r="E285" t="s">
        <v>155</v>
      </c>
      <c r="F285" t="str">
        <f t="shared" si="22"/>
        <v>LILLE131</v>
      </c>
      <c r="G285" t="s">
        <v>378</v>
      </c>
      <c r="I285" s="16">
        <v>11.87</v>
      </c>
      <c r="J285" s="16">
        <v>0</v>
      </c>
      <c r="K285" s="16">
        <v>0</v>
      </c>
      <c r="L285" s="159">
        <f t="shared" si="23"/>
        <v>0</v>
      </c>
      <c r="M285" s="159">
        <f t="shared" si="23"/>
        <v>0</v>
      </c>
    </row>
    <row r="286" spans="2:13">
      <c r="B286" t="s">
        <v>154</v>
      </c>
      <c r="C286">
        <f t="shared" si="24"/>
        <v>133</v>
      </c>
      <c r="D286" t="str">
        <f t="shared" si="21"/>
        <v>LILLE133</v>
      </c>
      <c r="E286" t="s">
        <v>155</v>
      </c>
      <c r="F286" t="str">
        <f t="shared" si="22"/>
        <v>LILLE133</v>
      </c>
      <c r="G286" t="s">
        <v>444</v>
      </c>
      <c r="I286" s="16">
        <v>11.72</v>
      </c>
      <c r="J286" s="16">
        <v>11.72</v>
      </c>
      <c r="K286" s="16">
        <v>0</v>
      </c>
      <c r="L286" s="159">
        <f t="shared" si="23"/>
        <v>1</v>
      </c>
      <c r="M286" s="159">
        <f t="shared" si="23"/>
        <v>0</v>
      </c>
    </row>
    <row r="287" spans="2:13">
      <c r="B287" t="s">
        <v>154</v>
      </c>
      <c r="C287">
        <f t="shared" si="24"/>
        <v>134</v>
      </c>
      <c r="D287" t="str">
        <f t="shared" si="21"/>
        <v>LILLE134</v>
      </c>
      <c r="E287" t="s">
        <v>155</v>
      </c>
      <c r="F287" t="str">
        <f t="shared" si="22"/>
        <v>LILLE134</v>
      </c>
      <c r="G287" t="s">
        <v>336</v>
      </c>
      <c r="H287" t="s">
        <v>941</v>
      </c>
      <c r="I287" s="16">
        <v>11.35</v>
      </c>
      <c r="J287" s="16">
        <v>3.18</v>
      </c>
      <c r="K287" s="16">
        <v>0</v>
      </c>
      <c r="L287" s="159">
        <f t="shared" si="23"/>
        <v>0.28017621145374449</v>
      </c>
      <c r="M287" s="159">
        <f t="shared" si="23"/>
        <v>0</v>
      </c>
    </row>
    <row r="288" spans="2:13">
      <c r="B288" t="s">
        <v>154</v>
      </c>
      <c r="C288">
        <f t="shared" si="24"/>
        <v>135</v>
      </c>
      <c r="D288" t="str">
        <f t="shared" si="21"/>
        <v>LILLE135</v>
      </c>
      <c r="E288" t="s">
        <v>155</v>
      </c>
      <c r="F288" t="str">
        <f t="shared" si="22"/>
        <v>LILLE135</v>
      </c>
      <c r="G288" t="s">
        <v>454</v>
      </c>
      <c r="I288" s="16">
        <v>11.18</v>
      </c>
      <c r="J288" s="16">
        <v>11.18</v>
      </c>
      <c r="K288" s="16">
        <v>0</v>
      </c>
      <c r="L288" s="159">
        <f t="shared" si="23"/>
        <v>1</v>
      </c>
      <c r="M288" s="159">
        <f t="shared" si="23"/>
        <v>0</v>
      </c>
    </row>
    <row r="289" spans="2:13">
      <c r="B289" t="s">
        <v>154</v>
      </c>
      <c r="C289">
        <f t="shared" si="24"/>
        <v>136</v>
      </c>
      <c r="D289" t="str">
        <f t="shared" si="21"/>
        <v>LILLE136</v>
      </c>
      <c r="E289" t="s">
        <v>155</v>
      </c>
      <c r="F289" t="str">
        <f t="shared" si="22"/>
        <v>LILLE136</v>
      </c>
      <c r="G289" t="s">
        <v>285</v>
      </c>
      <c r="H289" t="s">
        <v>286</v>
      </c>
      <c r="I289" s="16">
        <v>10.97</v>
      </c>
      <c r="J289" s="16">
        <v>10.97</v>
      </c>
      <c r="K289" s="16">
        <v>0</v>
      </c>
      <c r="L289" s="159">
        <f t="shared" si="23"/>
        <v>1</v>
      </c>
      <c r="M289" s="159">
        <f t="shared" si="23"/>
        <v>0</v>
      </c>
    </row>
    <row r="290" spans="2:13">
      <c r="B290" t="s">
        <v>154</v>
      </c>
      <c r="C290">
        <f t="shared" si="24"/>
        <v>137</v>
      </c>
      <c r="D290" t="str">
        <f t="shared" si="21"/>
        <v>LILLE137</v>
      </c>
      <c r="E290" t="s">
        <v>155</v>
      </c>
      <c r="F290" t="str">
        <f t="shared" si="22"/>
        <v>LILLE137</v>
      </c>
      <c r="G290" t="s">
        <v>368</v>
      </c>
      <c r="I290" s="16">
        <v>10.69</v>
      </c>
      <c r="J290" s="16">
        <v>0</v>
      </c>
      <c r="K290" s="16">
        <v>0</v>
      </c>
      <c r="L290" s="159">
        <f t="shared" si="23"/>
        <v>0</v>
      </c>
      <c r="M290" s="159">
        <f t="shared" si="23"/>
        <v>0</v>
      </c>
    </row>
    <row r="291" spans="2:13">
      <c r="B291" t="s">
        <v>154</v>
      </c>
      <c r="C291">
        <f t="shared" si="24"/>
        <v>138</v>
      </c>
      <c r="D291" t="str">
        <f t="shared" si="21"/>
        <v>LILLE138</v>
      </c>
      <c r="E291" t="s">
        <v>155</v>
      </c>
      <c r="F291" t="str">
        <f t="shared" si="22"/>
        <v>LILLE138</v>
      </c>
      <c r="G291" t="s">
        <v>411</v>
      </c>
      <c r="I291" s="16">
        <v>10</v>
      </c>
      <c r="J291" s="16">
        <v>0</v>
      </c>
      <c r="K291" s="16">
        <v>0</v>
      </c>
      <c r="L291" s="159">
        <f t="shared" si="23"/>
        <v>0</v>
      </c>
      <c r="M291" s="159">
        <f t="shared" si="23"/>
        <v>0</v>
      </c>
    </row>
    <row r="292" spans="2:13">
      <c r="B292" t="s">
        <v>154</v>
      </c>
      <c r="C292">
        <f t="shared" si="24"/>
        <v>139</v>
      </c>
      <c r="D292" t="str">
        <f t="shared" si="21"/>
        <v>LILLE139</v>
      </c>
      <c r="E292" t="s">
        <v>155</v>
      </c>
      <c r="F292" t="str">
        <f t="shared" si="22"/>
        <v>LILLE139</v>
      </c>
      <c r="G292" t="s">
        <v>388</v>
      </c>
      <c r="I292" s="16">
        <v>9.7100000000000009</v>
      </c>
      <c r="J292" s="16">
        <v>3.7</v>
      </c>
      <c r="K292" s="16">
        <v>0</v>
      </c>
      <c r="L292" s="159">
        <f t="shared" si="23"/>
        <v>0.3810504634397528</v>
      </c>
      <c r="M292" s="159">
        <f t="shared" si="23"/>
        <v>0</v>
      </c>
    </row>
    <row r="293" spans="2:13">
      <c r="B293" t="s">
        <v>154</v>
      </c>
      <c r="C293">
        <f t="shared" si="24"/>
        <v>140</v>
      </c>
      <c r="D293" t="str">
        <f t="shared" si="21"/>
        <v>LILLE140</v>
      </c>
      <c r="E293" t="s">
        <v>155</v>
      </c>
      <c r="F293" t="str">
        <f t="shared" si="22"/>
        <v>LILLE140</v>
      </c>
      <c r="G293" t="s">
        <v>428</v>
      </c>
      <c r="I293" s="16">
        <v>9.4600000000000009</v>
      </c>
      <c r="J293" s="16">
        <v>9.4600000000000009</v>
      </c>
      <c r="K293" s="16">
        <v>0</v>
      </c>
      <c r="L293" s="159">
        <f t="shared" si="23"/>
        <v>1</v>
      </c>
      <c r="M293" s="159">
        <f t="shared" si="23"/>
        <v>0</v>
      </c>
    </row>
    <row r="294" spans="2:13">
      <c r="B294" t="s">
        <v>154</v>
      </c>
      <c r="C294">
        <f t="shared" si="24"/>
        <v>140</v>
      </c>
      <c r="D294" t="str">
        <f t="shared" si="21"/>
        <v>LILLE140</v>
      </c>
      <c r="E294" t="s">
        <v>155</v>
      </c>
      <c r="F294" t="str">
        <f t="shared" si="22"/>
        <v>LILLE140</v>
      </c>
      <c r="G294" t="s">
        <v>314</v>
      </c>
      <c r="I294" s="16">
        <v>9.4600000000000009</v>
      </c>
      <c r="J294" s="16">
        <v>9.4600000000000009</v>
      </c>
      <c r="K294" s="16">
        <v>0</v>
      </c>
      <c r="L294" s="159">
        <f t="shared" si="23"/>
        <v>1</v>
      </c>
      <c r="M294" s="159">
        <f t="shared" si="23"/>
        <v>0</v>
      </c>
    </row>
    <row r="295" spans="2:13">
      <c r="B295" t="s">
        <v>154</v>
      </c>
      <c r="C295">
        <f t="shared" si="24"/>
        <v>142</v>
      </c>
      <c r="D295" t="str">
        <f t="shared" si="21"/>
        <v>LILLE142</v>
      </c>
      <c r="E295" t="s">
        <v>155</v>
      </c>
      <c r="F295" t="str">
        <f t="shared" si="22"/>
        <v>LILLE142</v>
      </c>
      <c r="G295" t="s">
        <v>288</v>
      </c>
      <c r="I295" s="16">
        <v>8.84</v>
      </c>
      <c r="J295" s="16">
        <v>0</v>
      </c>
      <c r="K295" s="16">
        <v>0</v>
      </c>
      <c r="L295" s="159">
        <f t="shared" si="23"/>
        <v>0</v>
      </c>
      <c r="M295" s="159">
        <f t="shared" si="23"/>
        <v>0</v>
      </c>
    </row>
    <row r="296" spans="2:13">
      <c r="B296" t="s">
        <v>154</v>
      </c>
      <c r="C296">
        <f t="shared" si="24"/>
        <v>143</v>
      </c>
      <c r="D296" t="str">
        <f t="shared" si="21"/>
        <v>LILLE143</v>
      </c>
      <c r="E296" t="s">
        <v>155</v>
      </c>
      <c r="F296" t="str">
        <f t="shared" si="22"/>
        <v>LILLE143</v>
      </c>
      <c r="G296" t="s">
        <v>417</v>
      </c>
      <c r="I296" s="16">
        <v>8.17</v>
      </c>
      <c r="J296" s="16">
        <v>5.37</v>
      </c>
      <c r="K296" s="16">
        <v>0</v>
      </c>
      <c r="L296" s="159">
        <f t="shared" si="23"/>
        <v>0.65728274173806611</v>
      </c>
      <c r="M296" s="159">
        <f t="shared" si="23"/>
        <v>0</v>
      </c>
    </row>
    <row r="297" spans="2:13">
      <c r="B297" t="s">
        <v>154</v>
      </c>
      <c r="C297">
        <f t="shared" si="24"/>
        <v>144</v>
      </c>
      <c r="D297" t="str">
        <f t="shared" si="21"/>
        <v>LILLE144</v>
      </c>
      <c r="E297" t="s">
        <v>155</v>
      </c>
      <c r="F297" t="str">
        <f t="shared" si="22"/>
        <v>LILLE144</v>
      </c>
      <c r="G297" t="s">
        <v>447</v>
      </c>
      <c r="I297" s="16">
        <v>7.4</v>
      </c>
      <c r="J297" s="16">
        <v>0</v>
      </c>
      <c r="K297" s="16">
        <v>0</v>
      </c>
      <c r="L297" s="159">
        <f t="shared" si="23"/>
        <v>0</v>
      </c>
      <c r="M297" s="159">
        <f t="shared" si="23"/>
        <v>0</v>
      </c>
    </row>
    <row r="298" spans="2:13">
      <c r="B298" t="s">
        <v>154</v>
      </c>
      <c r="C298">
        <f t="shared" si="24"/>
        <v>145</v>
      </c>
      <c r="D298" t="str">
        <f t="shared" si="21"/>
        <v>LILLE145</v>
      </c>
      <c r="E298" t="s">
        <v>155</v>
      </c>
      <c r="F298" t="str">
        <f t="shared" si="22"/>
        <v>LILLE145</v>
      </c>
      <c r="G298" t="s">
        <v>400</v>
      </c>
      <c r="I298" s="16">
        <v>7.35</v>
      </c>
      <c r="J298" s="16">
        <v>0</v>
      </c>
      <c r="K298" s="16">
        <v>7.35</v>
      </c>
      <c r="L298" s="159">
        <f t="shared" si="23"/>
        <v>0</v>
      </c>
      <c r="M298" s="159">
        <f t="shared" si="23"/>
        <v>1</v>
      </c>
    </row>
    <row r="299" spans="2:13">
      <c r="B299" t="s">
        <v>154</v>
      </c>
      <c r="C299">
        <f t="shared" si="24"/>
        <v>146</v>
      </c>
      <c r="D299" t="str">
        <f t="shared" si="21"/>
        <v>LILLE146</v>
      </c>
      <c r="E299" t="s">
        <v>155</v>
      </c>
      <c r="F299" t="str">
        <f t="shared" si="22"/>
        <v>LILLE146</v>
      </c>
      <c r="G299" t="s">
        <v>277</v>
      </c>
      <c r="I299" s="16">
        <v>7.31</v>
      </c>
      <c r="J299" s="16">
        <v>0</v>
      </c>
      <c r="K299" s="16">
        <v>0</v>
      </c>
      <c r="L299" s="159">
        <f t="shared" si="23"/>
        <v>0</v>
      </c>
      <c r="M299" s="159">
        <f t="shared" si="23"/>
        <v>0</v>
      </c>
    </row>
    <row r="300" spans="2:13">
      <c r="B300" t="s">
        <v>154</v>
      </c>
      <c r="C300">
        <f t="shared" si="24"/>
        <v>147</v>
      </c>
      <c r="D300" t="str">
        <f t="shared" si="21"/>
        <v>LILLE147</v>
      </c>
      <c r="E300" t="s">
        <v>155</v>
      </c>
      <c r="F300" t="str">
        <f t="shared" si="22"/>
        <v>LILLE147</v>
      </c>
      <c r="G300" t="s">
        <v>438</v>
      </c>
      <c r="I300" s="16">
        <v>7.12</v>
      </c>
      <c r="J300" s="16">
        <v>7.12</v>
      </c>
      <c r="K300" s="16">
        <v>0</v>
      </c>
      <c r="L300" s="159">
        <f t="shared" si="23"/>
        <v>1</v>
      </c>
      <c r="M300" s="159">
        <f t="shared" si="23"/>
        <v>0</v>
      </c>
    </row>
    <row r="301" spans="2:13">
      <c r="B301" t="s">
        <v>154</v>
      </c>
      <c r="C301">
        <f t="shared" si="24"/>
        <v>148</v>
      </c>
      <c r="D301" t="str">
        <f t="shared" si="21"/>
        <v>LILLE148</v>
      </c>
      <c r="E301" t="s">
        <v>155</v>
      </c>
      <c r="F301" t="str">
        <f t="shared" si="22"/>
        <v>LILLE148</v>
      </c>
      <c r="G301" t="s">
        <v>396</v>
      </c>
      <c r="I301" s="16">
        <v>6.84</v>
      </c>
      <c r="J301" s="16">
        <v>5.14</v>
      </c>
      <c r="K301" s="16">
        <v>0</v>
      </c>
      <c r="L301" s="159">
        <f t="shared" si="23"/>
        <v>0.7514619883040935</v>
      </c>
      <c r="M301" s="159">
        <f t="shared" si="23"/>
        <v>0</v>
      </c>
    </row>
    <row r="302" spans="2:13">
      <c r="B302" t="s">
        <v>154</v>
      </c>
      <c r="C302">
        <f t="shared" si="24"/>
        <v>149</v>
      </c>
      <c r="D302" t="str">
        <f t="shared" si="21"/>
        <v>LILLE149</v>
      </c>
      <c r="E302" t="s">
        <v>155</v>
      </c>
      <c r="F302" t="str">
        <f t="shared" si="22"/>
        <v>LILLE149</v>
      </c>
      <c r="G302" t="s">
        <v>366</v>
      </c>
      <c r="I302" s="16">
        <v>6.65</v>
      </c>
      <c r="J302" s="16">
        <v>3.24</v>
      </c>
      <c r="K302" s="16">
        <v>0</v>
      </c>
      <c r="L302" s="159">
        <f t="shared" si="23"/>
        <v>0.48721804511278194</v>
      </c>
      <c r="M302" s="159">
        <f t="shared" si="23"/>
        <v>0</v>
      </c>
    </row>
    <row r="303" spans="2:13">
      <c r="B303" t="s">
        <v>154</v>
      </c>
      <c r="C303">
        <f t="shared" si="24"/>
        <v>150</v>
      </c>
      <c r="D303" t="str">
        <f t="shared" si="21"/>
        <v>LILLE150</v>
      </c>
      <c r="E303" t="s">
        <v>155</v>
      </c>
      <c r="F303" t="str">
        <f t="shared" si="22"/>
        <v>LILLE150</v>
      </c>
      <c r="G303" t="s">
        <v>315</v>
      </c>
      <c r="I303" s="16">
        <v>6.63</v>
      </c>
      <c r="J303" s="16">
        <v>6.63</v>
      </c>
      <c r="K303" s="16">
        <v>0</v>
      </c>
      <c r="L303" s="159">
        <f t="shared" si="23"/>
        <v>1</v>
      </c>
      <c r="M303" s="159">
        <f t="shared" si="23"/>
        <v>0</v>
      </c>
    </row>
    <row r="304" spans="2:13">
      <c r="B304" t="s">
        <v>154</v>
      </c>
      <c r="C304">
        <f t="shared" si="24"/>
        <v>151</v>
      </c>
      <c r="D304" t="str">
        <f t="shared" si="21"/>
        <v>LILLE151</v>
      </c>
      <c r="E304" t="s">
        <v>155</v>
      </c>
      <c r="F304" t="str">
        <f t="shared" si="22"/>
        <v>LILLE151</v>
      </c>
      <c r="G304" t="s">
        <v>431</v>
      </c>
      <c r="I304" s="16">
        <v>6.53</v>
      </c>
      <c r="J304" s="16">
        <v>0</v>
      </c>
      <c r="K304" s="16">
        <v>6.53</v>
      </c>
      <c r="L304" s="159">
        <f t="shared" si="23"/>
        <v>0</v>
      </c>
      <c r="M304" s="159">
        <f t="shared" si="23"/>
        <v>1</v>
      </c>
    </row>
    <row r="305" spans="2:13">
      <c r="B305" t="s">
        <v>154</v>
      </c>
      <c r="C305">
        <f t="shared" si="24"/>
        <v>152</v>
      </c>
      <c r="D305" t="str">
        <f t="shared" si="21"/>
        <v>LILLE152</v>
      </c>
      <c r="E305" t="s">
        <v>155</v>
      </c>
      <c r="F305" t="str">
        <f t="shared" si="22"/>
        <v>LILLE152</v>
      </c>
      <c r="G305" t="s">
        <v>443</v>
      </c>
      <c r="I305" s="16">
        <v>6.46</v>
      </c>
      <c r="J305" s="16">
        <v>6.46</v>
      </c>
      <c r="K305" s="16">
        <v>0</v>
      </c>
      <c r="L305" s="159">
        <f t="shared" si="23"/>
        <v>1</v>
      </c>
      <c r="M305" s="159">
        <f t="shared" si="23"/>
        <v>0</v>
      </c>
    </row>
    <row r="306" spans="2:13">
      <c r="B306" t="s">
        <v>154</v>
      </c>
      <c r="C306">
        <f t="shared" si="24"/>
        <v>153</v>
      </c>
      <c r="D306" t="str">
        <f t="shared" si="21"/>
        <v>LILLE153</v>
      </c>
      <c r="E306" t="s">
        <v>155</v>
      </c>
      <c r="F306" t="str">
        <f t="shared" si="22"/>
        <v>LILLE153</v>
      </c>
      <c r="G306" t="s">
        <v>261</v>
      </c>
      <c r="I306" s="16">
        <v>5.97</v>
      </c>
      <c r="J306" s="16">
        <v>0</v>
      </c>
      <c r="K306" s="16">
        <v>0</v>
      </c>
      <c r="L306" s="159">
        <f t="shared" si="23"/>
        <v>0</v>
      </c>
      <c r="M306" s="159">
        <f t="shared" si="23"/>
        <v>0</v>
      </c>
    </row>
    <row r="307" spans="2:13">
      <c r="B307" t="s">
        <v>154</v>
      </c>
      <c r="C307">
        <f t="shared" si="24"/>
        <v>154</v>
      </c>
      <c r="D307" t="str">
        <f t="shared" si="21"/>
        <v>LILLE154</v>
      </c>
      <c r="E307" t="s">
        <v>155</v>
      </c>
      <c r="F307" t="str">
        <f t="shared" si="22"/>
        <v>LILLE154</v>
      </c>
      <c r="G307" t="s">
        <v>329</v>
      </c>
      <c r="I307" s="16">
        <v>5.92</v>
      </c>
      <c r="J307" s="16">
        <v>0</v>
      </c>
      <c r="K307" s="16">
        <v>0</v>
      </c>
      <c r="L307" s="159">
        <f t="shared" si="23"/>
        <v>0</v>
      </c>
      <c r="M307" s="159">
        <f t="shared" si="23"/>
        <v>0</v>
      </c>
    </row>
    <row r="308" spans="2:13">
      <c r="B308" t="s">
        <v>154</v>
      </c>
      <c r="C308">
        <f t="shared" si="24"/>
        <v>155</v>
      </c>
      <c r="D308" t="str">
        <f t="shared" si="21"/>
        <v>LILLE155</v>
      </c>
      <c r="E308" t="s">
        <v>155</v>
      </c>
      <c r="F308" t="str">
        <f t="shared" si="22"/>
        <v>LILLE155</v>
      </c>
      <c r="G308" t="s">
        <v>391</v>
      </c>
      <c r="I308" s="16">
        <v>5.69</v>
      </c>
      <c r="J308" s="16">
        <v>1.71</v>
      </c>
      <c r="K308" s="16">
        <v>0</v>
      </c>
      <c r="L308" s="159">
        <f t="shared" si="23"/>
        <v>0.30052724077328646</v>
      </c>
      <c r="M308" s="159">
        <f t="shared" si="23"/>
        <v>0</v>
      </c>
    </row>
    <row r="309" spans="2:13">
      <c r="B309" t="s">
        <v>154</v>
      </c>
      <c r="C309">
        <f t="shared" si="24"/>
        <v>156</v>
      </c>
      <c r="D309" t="str">
        <f t="shared" si="21"/>
        <v>LILLE156</v>
      </c>
      <c r="E309" t="s">
        <v>155</v>
      </c>
      <c r="F309" t="str">
        <f t="shared" si="22"/>
        <v>LILLE156</v>
      </c>
      <c r="G309" t="s">
        <v>432</v>
      </c>
      <c r="I309" s="16">
        <v>5.47</v>
      </c>
      <c r="J309" s="16">
        <v>0</v>
      </c>
      <c r="K309" s="16">
        <v>5.47</v>
      </c>
      <c r="L309" s="159">
        <f t="shared" si="23"/>
        <v>0</v>
      </c>
      <c r="M309" s="159">
        <f t="shared" si="23"/>
        <v>1</v>
      </c>
    </row>
    <row r="310" spans="2:13">
      <c r="B310" t="s">
        <v>154</v>
      </c>
      <c r="C310">
        <f t="shared" si="24"/>
        <v>157</v>
      </c>
      <c r="D310" t="str">
        <f t="shared" si="21"/>
        <v>LILLE157</v>
      </c>
      <c r="E310" t="s">
        <v>155</v>
      </c>
      <c r="F310" t="str">
        <f t="shared" si="22"/>
        <v>LILLE157</v>
      </c>
      <c r="G310" t="s">
        <v>385</v>
      </c>
      <c r="I310" s="16">
        <v>5.37</v>
      </c>
      <c r="J310" s="16">
        <v>0</v>
      </c>
      <c r="K310" s="16">
        <v>0</v>
      </c>
      <c r="L310" s="159">
        <f t="shared" si="23"/>
        <v>0</v>
      </c>
      <c r="M310" s="159">
        <f t="shared" si="23"/>
        <v>0</v>
      </c>
    </row>
    <row r="311" spans="2:13">
      <c r="B311" t="s">
        <v>154</v>
      </c>
      <c r="C311">
        <f t="shared" si="24"/>
        <v>158</v>
      </c>
      <c r="D311" t="str">
        <f t="shared" si="21"/>
        <v>LILLE158</v>
      </c>
      <c r="E311" t="s">
        <v>155</v>
      </c>
      <c r="F311" t="str">
        <f t="shared" si="22"/>
        <v>LILLE158</v>
      </c>
      <c r="G311" t="s">
        <v>452</v>
      </c>
      <c r="H311" t="s">
        <v>453</v>
      </c>
      <c r="I311" s="16">
        <v>4.68</v>
      </c>
      <c r="J311" s="16">
        <v>0</v>
      </c>
      <c r="K311" s="16">
        <v>0</v>
      </c>
      <c r="L311" s="159">
        <f t="shared" si="23"/>
        <v>0</v>
      </c>
      <c r="M311" s="159">
        <f t="shared" si="23"/>
        <v>0</v>
      </c>
    </row>
    <row r="312" spans="2:13">
      <c r="B312" t="s">
        <v>154</v>
      </c>
      <c r="C312">
        <f t="shared" si="24"/>
        <v>159</v>
      </c>
      <c r="D312" t="str">
        <f t="shared" si="21"/>
        <v>LILLE159</v>
      </c>
      <c r="E312" t="s">
        <v>155</v>
      </c>
      <c r="F312" t="str">
        <f t="shared" si="22"/>
        <v>LILLE159</v>
      </c>
      <c r="G312" t="s">
        <v>403</v>
      </c>
      <c r="I312" s="16">
        <v>3.95</v>
      </c>
      <c r="J312" s="16">
        <v>0</v>
      </c>
      <c r="K312" s="16">
        <v>0</v>
      </c>
      <c r="L312" s="159">
        <f t="shared" si="23"/>
        <v>0</v>
      </c>
      <c r="M312" s="159">
        <f t="shared" si="23"/>
        <v>0</v>
      </c>
    </row>
    <row r="313" spans="2:13">
      <c r="B313" t="s">
        <v>154</v>
      </c>
      <c r="C313">
        <f t="shared" si="24"/>
        <v>160</v>
      </c>
      <c r="D313" t="str">
        <f t="shared" si="21"/>
        <v>LILLE160</v>
      </c>
      <c r="E313" t="s">
        <v>155</v>
      </c>
      <c r="F313" t="str">
        <f t="shared" si="22"/>
        <v>LILLE160</v>
      </c>
      <c r="G313" t="s">
        <v>380</v>
      </c>
      <c r="I313" s="16">
        <v>3.74</v>
      </c>
      <c r="J313" s="16">
        <v>3.74</v>
      </c>
      <c r="K313" s="16">
        <v>0</v>
      </c>
      <c r="L313" s="159">
        <f t="shared" si="23"/>
        <v>1</v>
      </c>
      <c r="M313" s="159">
        <f t="shared" si="23"/>
        <v>0</v>
      </c>
    </row>
    <row r="314" spans="2:13">
      <c r="B314" t="s">
        <v>154</v>
      </c>
      <c r="C314">
        <f t="shared" ref="C314:C323" si="25">RANK(I314,$I$154:$I$323,0)</f>
        <v>160</v>
      </c>
      <c r="D314" t="str">
        <f t="shared" si="21"/>
        <v>LILLE160</v>
      </c>
      <c r="E314" t="s">
        <v>155</v>
      </c>
      <c r="F314" t="str">
        <f t="shared" si="22"/>
        <v>LILLE160</v>
      </c>
      <c r="G314" t="s">
        <v>404</v>
      </c>
      <c r="I314" s="16">
        <v>3.74</v>
      </c>
      <c r="J314" s="16">
        <v>3.74</v>
      </c>
      <c r="K314" s="16">
        <v>0</v>
      </c>
      <c r="L314" s="159">
        <f t="shared" si="23"/>
        <v>1</v>
      </c>
      <c r="M314" s="159">
        <f t="shared" si="23"/>
        <v>0</v>
      </c>
    </row>
    <row r="315" spans="2:13">
      <c r="B315" t="s">
        <v>154</v>
      </c>
      <c r="C315">
        <f t="shared" si="25"/>
        <v>160</v>
      </c>
      <c r="D315" t="str">
        <f t="shared" si="21"/>
        <v>LILLE160</v>
      </c>
      <c r="E315" t="s">
        <v>155</v>
      </c>
      <c r="F315" t="str">
        <f t="shared" si="22"/>
        <v>LILLE160</v>
      </c>
      <c r="G315" t="s">
        <v>441</v>
      </c>
      <c r="I315" s="16">
        <v>3.74</v>
      </c>
      <c r="J315" s="16">
        <v>3.74</v>
      </c>
      <c r="K315" s="16">
        <v>0</v>
      </c>
      <c r="L315" s="159">
        <f t="shared" si="23"/>
        <v>1</v>
      </c>
      <c r="M315" s="159">
        <f t="shared" si="23"/>
        <v>0</v>
      </c>
    </row>
    <row r="316" spans="2:13">
      <c r="B316" t="s">
        <v>154</v>
      </c>
      <c r="C316">
        <f t="shared" si="25"/>
        <v>163</v>
      </c>
      <c r="D316" t="str">
        <f t="shared" si="21"/>
        <v>LILLE163</v>
      </c>
      <c r="E316" t="s">
        <v>155</v>
      </c>
      <c r="F316" t="str">
        <f t="shared" si="22"/>
        <v>LILLE163</v>
      </c>
      <c r="G316" t="s">
        <v>442</v>
      </c>
      <c r="I316" s="16">
        <v>3.18</v>
      </c>
      <c r="J316" s="16">
        <v>3.18</v>
      </c>
      <c r="K316" s="16">
        <v>0</v>
      </c>
      <c r="L316" s="159">
        <f t="shared" si="23"/>
        <v>1</v>
      </c>
      <c r="M316" s="159">
        <f t="shared" si="23"/>
        <v>0</v>
      </c>
    </row>
    <row r="317" spans="2:13">
      <c r="B317" t="s">
        <v>154</v>
      </c>
      <c r="C317">
        <f t="shared" si="25"/>
        <v>164</v>
      </c>
      <c r="D317" t="str">
        <f t="shared" si="21"/>
        <v>LILLE164</v>
      </c>
      <c r="E317" t="s">
        <v>155</v>
      </c>
      <c r="F317" t="str">
        <f t="shared" si="22"/>
        <v>LILLE164</v>
      </c>
      <c r="G317" t="s">
        <v>416</v>
      </c>
      <c r="I317" s="16">
        <v>3</v>
      </c>
      <c r="J317" s="16">
        <v>3</v>
      </c>
      <c r="K317" s="16">
        <v>3</v>
      </c>
      <c r="L317" s="159">
        <f t="shared" si="23"/>
        <v>1</v>
      </c>
      <c r="M317" s="159">
        <f t="shared" si="23"/>
        <v>1</v>
      </c>
    </row>
    <row r="318" spans="2:13">
      <c r="B318" t="s">
        <v>154</v>
      </c>
      <c r="C318">
        <f t="shared" si="25"/>
        <v>165</v>
      </c>
      <c r="D318" t="str">
        <f t="shared" si="21"/>
        <v>LILLE165</v>
      </c>
      <c r="E318" t="s">
        <v>155</v>
      </c>
      <c r="F318" t="str">
        <f t="shared" si="22"/>
        <v>LILLE165</v>
      </c>
      <c r="G318" t="s">
        <v>457</v>
      </c>
      <c r="I318" s="16">
        <v>2.38</v>
      </c>
      <c r="J318" s="16">
        <v>0</v>
      </c>
      <c r="K318" s="16">
        <v>0</v>
      </c>
      <c r="L318" s="159">
        <f t="shared" si="23"/>
        <v>0</v>
      </c>
      <c r="M318" s="159">
        <f t="shared" si="23"/>
        <v>0</v>
      </c>
    </row>
    <row r="319" spans="2:13">
      <c r="B319" t="s">
        <v>154</v>
      </c>
      <c r="C319">
        <f t="shared" si="25"/>
        <v>166</v>
      </c>
      <c r="D319" t="str">
        <f t="shared" si="21"/>
        <v>LILLE166</v>
      </c>
      <c r="E319" t="s">
        <v>155</v>
      </c>
      <c r="F319" t="str">
        <f t="shared" si="22"/>
        <v>LILLE166</v>
      </c>
      <c r="G319" t="s">
        <v>359</v>
      </c>
      <c r="I319" s="16">
        <v>2</v>
      </c>
      <c r="J319" s="16">
        <v>0</v>
      </c>
      <c r="K319" s="16">
        <v>0</v>
      </c>
      <c r="L319" s="159">
        <f t="shared" si="23"/>
        <v>0</v>
      </c>
      <c r="M319" s="159">
        <f t="shared" si="23"/>
        <v>0</v>
      </c>
    </row>
    <row r="320" spans="2:13">
      <c r="B320" t="s">
        <v>154</v>
      </c>
      <c r="C320">
        <f t="shared" si="25"/>
        <v>166</v>
      </c>
      <c r="D320" t="str">
        <f t="shared" si="21"/>
        <v>LILLE166</v>
      </c>
      <c r="E320" t="s">
        <v>155</v>
      </c>
      <c r="F320" t="str">
        <f t="shared" si="22"/>
        <v>LILLE166</v>
      </c>
      <c r="G320" t="s">
        <v>451</v>
      </c>
      <c r="I320" s="16">
        <v>2</v>
      </c>
      <c r="J320" s="16">
        <v>0</v>
      </c>
      <c r="K320" s="16">
        <v>2</v>
      </c>
      <c r="L320" s="159">
        <f t="shared" si="23"/>
        <v>0</v>
      </c>
      <c r="M320" s="159">
        <f t="shared" si="23"/>
        <v>1</v>
      </c>
    </row>
    <row r="321" spans="2:13">
      <c r="B321" t="s">
        <v>154</v>
      </c>
      <c r="C321">
        <f t="shared" si="25"/>
        <v>168</v>
      </c>
      <c r="D321" t="str">
        <f t="shared" si="21"/>
        <v>LILLE168</v>
      </c>
      <c r="E321" t="s">
        <v>155</v>
      </c>
      <c r="F321" t="str">
        <f t="shared" si="22"/>
        <v>LILLE168</v>
      </c>
      <c r="G321" t="s">
        <v>424</v>
      </c>
      <c r="I321" s="16">
        <v>1.88</v>
      </c>
      <c r="J321" s="16">
        <v>0</v>
      </c>
      <c r="K321" s="16">
        <v>0</v>
      </c>
      <c r="L321" s="159">
        <f t="shared" si="23"/>
        <v>0</v>
      </c>
      <c r="M321" s="159">
        <f t="shared" si="23"/>
        <v>0</v>
      </c>
    </row>
    <row r="322" spans="2:13">
      <c r="B322" t="s">
        <v>154</v>
      </c>
      <c r="C322">
        <f t="shared" si="25"/>
        <v>169</v>
      </c>
      <c r="D322" t="str">
        <f t="shared" ref="D322:D385" si="26">CONCATENATE(E322,C322)</f>
        <v>LILLE169</v>
      </c>
      <c r="E322" t="s">
        <v>155</v>
      </c>
      <c r="F322" t="str">
        <f t="shared" si="22"/>
        <v>LILLE169</v>
      </c>
      <c r="G322" t="s">
        <v>367</v>
      </c>
      <c r="I322" s="16">
        <v>1.71</v>
      </c>
      <c r="J322" s="16">
        <v>1.71</v>
      </c>
      <c r="K322" s="16">
        <v>0</v>
      </c>
      <c r="L322" s="159">
        <f t="shared" si="23"/>
        <v>1</v>
      </c>
      <c r="M322" s="159">
        <f t="shared" si="23"/>
        <v>0</v>
      </c>
    </row>
    <row r="323" spans="2:13">
      <c r="B323" t="s">
        <v>154</v>
      </c>
      <c r="C323">
        <f t="shared" si="25"/>
        <v>170</v>
      </c>
      <c r="D323" t="str">
        <f t="shared" si="26"/>
        <v>LILLE170</v>
      </c>
      <c r="E323" t="s">
        <v>155</v>
      </c>
      <c r="F323" t="str">
        <f t="shared" ref="F323:F386" si="27">D323</f>
        <v>LILLE170</v>
      </c>
      <c r="G323" t="s">
        <v>333</v>
      </c>
      <c r="I323" s="16">
        <v>1.64</v>
      </c>
      <c r="J323" s="16">
        <v>0</v>
      </c>
      <c r="K323" s="16">
        <v>0</v>
      </c>
      <c r="L323" s="159">
        <f t="shared" ref="L323:M386" si="28">J323/$I323</f>
        <v>0</v>
      </c>
      <c r="M323" s="159">
        <f t="shared" si="28"/>
        <v>0</v>
      </c>
    </row>
    <row r="324" spans="2:13">
      <c r="B324" t="s">
        <v>158</v>
      </c>
      <c r="C324">
        <f t="shared" ref="C324:C355" si="29">RANK(I324,$I$323:$I$447,0)</f>
        <v>1</v>
      </c>
      <c r="D324" t="str">
        <f t="shared" si="26"/>
        <v>LENS1</v>
      </c>
      <c r="E324" t="s">
        <v>159</v>
      </c>
      <c r="F324" t="str">
        <f t="shared" si="27"/>
        <v>LENS1</v>
      </c>
      <c r="G324" t="s">
        <v>211</v>
      </c>
      <c r="H324" t="s">
        <v>908</v>
      </c>
      <c r="I324" s="16">
        <v>912.19</v>
      </c>
      <c r="J324" s="16">
        <v>31.6</v>
      </c>
      <c r="K324" s="16">
        <v>501.39</v>
      </c>
      <c r="L324" s="159">
        <f t="shared" si="28"/>
        <v>3.4641905743321016E-2</v>
      </c>
      <c r="M324" s="159">
        <f t="shared" si="28"/>
        <v>0.54965522533682676</v>
      </c>
    </row>
    <row r="325" spans="2:13">
      <c r="B325" t="s">
        <v>158</v>
      </c>
      <c r="C325">
        <f t="shared" si="29"/>
        <v>2</v>
      </c>
      <c r="D325" t="str">
        <f t="shared" si="26"/>
        <v>LENS2</v>
      </c>
      <c r="E325" t="s">
        <v>159</v>
      </c>
      <c r="F325" t="str">
        <f t="shared" si="27"/>
        <v>LENS2</v>
      </c>
      <c r="G325" t="s">
        <v>225</v>
      </c>
      <c r="H325" t="s">
        <v>1779</v>
      </c>
      <c r="I325" s="16">
        <v>599.13</v>
      </c>
      <c r="J325" s="16">
        <v>104.63</v>
      </c>
      <c r="K325" s="16">
        <v>190.72</v>
      </c>
      <c r="L325" s="159">
        <f t="shared" si="28"/>
        <v>0.17463655634002637</v>
      </c>
      <c r="M325" s="159">
        <f t="shared" si="28"/>
        <v>0.31832824261846343</v>
      </c>
    </row>
    <row r="326" spans="2:13">
      <c r="B326" t="s">
        <v>158</v>
      </c>
      <c r="C326">
        <f t="shared" si="29"/>
        <v>3</v>
      </c>
      <c r="D326" t="str">
        <f t="shared" si="26"/>
        <v>LENS3</v>
      </c>
      <c r="E326" t="s">
        <v>159</v>
      </c>
      <c r="F326" t="str">
        <f t="shared" si="27"/>
        <v>LENS3</v>
      </c>
      <c r="G326" t="s">
        <v>219</v>
      </c>
      <c r="H326" t="s">
        <v>912</v>
      </c>
      <c r="I326" s="16">
        <v>311.02999999999997</v>
      </c>
      <c r="J326" s="16">
        <v>309.70999999999998</v>
      </c>
      <c r="K326" s="16">
        <v>0</v>
      </c>
      <c r="L326" s="159">
        <f t="shared" si="28"/>
        <v>0.99575603639520305</v>
      </c>
      <c r="M326" s="159">
        <f t="shared" si="28"/>
        <v>0</v>
      </c>
    </row>
    <row r="327" spans="2:13">
      <c r="B327" t="s">
        <v>158</v>
      </c>
      <c r="C327">
        <f t="shared" si="29"/>
        <v>4</v>
      </c>
      <c r="D327" t="str">
        <f t="shared" si="26"/>
        <v>LENS4</v>
      </c>
      <c r="E327" t="s">
        <v>159</v>
      </c>
      <c r="F327" t="str">
        <f t="shared" si="27"/>
        <v>LENS4</v>
      </c>
      <c r="G327" t="s">
        <v>242</v>
      </c>
      <c r="H327" t="s">
        <v>243</v>
      </c>
      <c r="I327" s="16">
        <v>305.75</v>
      </c>
      <c r="J327" s="16">
        <v>300</v>
      </c>
      <c r="K327" s="16">
        <v>0</v>
      </c>
      <c r="L327" s="159">
        <f t="shared" si="28"/>
        <v>0.98119378577269012</v>
      </c>
      <c r="M327" s="159">
        <f t="shared" si="28"/>
        <v>0</v>
      </c>
    </row>
    <row r="328" spans="2:13">
      <c r="B328" t="s">
        <v>158</v>
      </c>
      <c r="C328">
        <f t="shared" si="29"/>
        <v>5</v>
      </c>
      <c r="D328" t="str">
        <f t="shared" si="26"/>
        <v>LENS5</v>
      </c>
      <c r="E328" t="s">
        <v>159</v>
      </c>
      <c r="F328" t="str">
        <f t="shared" si="27"/>
        <v>LENS5</v>
      </c>
      <c r="G328" t="s">
        <v>302</v>
      </c>
      <c r="H328" t="s">
        <v>1798</v>
      </c>
      <c r="I328" s="16">
        <v>297.7</v>
      </c>
      <c r="J328" s="16">
        <v>31</v>
      </c>
      <c r="K328" s="16">
        <v>157.44999999999999</v>
      </c>
      <c r="L328" s="159">
        <f t="shared" si="28"/>
        <v>0.10413167618407794</v>
      </c>
      <c r="M328" s="159">
        <f t="shared" si="28"/>
        <v>0.52888814242526028</v>
      </c>
    </row>
    <row r="329" spans="2:13">
      <c r="B329" t="s">
        <v>158</v>
      </c>
      <c r="C329">
        <f t="shared" si="29"/>
        <v>6</v>
      </c>
      <c r="D329" t="str">
        <f t="shared" si="26"/>
        <v>LENS6</v>
      </c>
      <c r="E329" t="s">
        <v>159</v>
      </c>
      <c r="F329" t="str">
        <f t="shared" si="27"/>
        <v>LENS6</v>
      </c>
      <c r="G329" t="s">
        <v>223</v>
      </c>
      <c r="H329" t="s">
        <v>916</v>
      </c>
      <c r="I329" s="16">
        <v>292.5</v>
      </c>
      <c r="J329" s="16">
        <v>56</v>
      </c>
      <c r="K329" s="16">
        <v>140.18</v>
      </c>
      <c r="L329" s="159">
        <f t="shared" si="28"/>
        <v>0.19145299145299147</v>
      </c>
      <c r="M329" s="159">
        <f t="shared" si="28"/>
        <v>0.47924786324786328</v>
      </c>
    </row>
    <row r="330" spans="2:13">
      <c r="B330" t="s">
        <v>158</v>
      </c>
      <c r="C330">
        <f t="shared" si="29"/>
        <v>7</v>
      </c>
      <c r="D330" t="str">
        <f t="shared" si="26"/>
        <v>LENS7</v>
      </c>
      <c r="E330" t="s">
        <v>159</v>
      </c>
      <c r="F330" t="str">
        <f t="shared" si="27"/>
        <v>LENS7</v>
      </c>
      <c r="G330" t="s">
        <v>216</v>
      </c>
      <c r="H330" t="s">
        <v>910</v>
      </c>
      <c r="I330" s="16">
        <v>141.5</v>
      </c>
      <c r="J330" s="16">
        <v>73.03</v>
      </c>
      <c r="K330" s="16">
        <v>59.21</v>
      </c>
      <c r="L330" s="159">
        <f t="shared" si="28"/>
        <v>0.51611307420494701</v>
      </c>
      <c r="M330" s="159">
        <f t="shared" si="28"/>
        <v>0.41844522968197878</v>
      </c>
    </row>
    <row r="331" spans="2:13">
      <c r="B331" t="s">
        <v>158</v>
      </c>
      <c r="C331">
        <f t="shared" si="29"/>
        <v>8</v>
      </c>
      <c r="D331" t="str">
        <f t="shared" si="26"/>
        <v>LENS8</v>
      </c>
      <c r="E331" t="s">
        <v>159</v>
      </c>
      <c r="F331" t="str">
        <f t="shared" si="27"/>
        <v>LENS8</v>
      </c>
      <c r="G331" t="s">
        <v>241</v>
      </c>
      <c r="H331" t="s">
        <v>927</v>
      </c>
      <c r="I331" s="16">
        <v>131.59</v>
      </c>
      <c r="J331" s="16">
        <v>17.21</v>
      </c>
      <c r="K331" s="16">
        <v>22.78</v>
      </c>
      <c r="L331" s="159">
        <f t="shared" si="28"/>
        <v>0.13078501405881907</v>
      </c>
      <c r="M331" s="159">
        <f t="shared" si="28"/>
        <v>0.17311345846948856</v>
      </c>
    </row>
    <row r="332" spans="2:13">
      <c r="B332" t="s">
        <v>158</v>
      </c>
      <c r="C332">
        <f t="shared" si="29"/>
        <v>9</v>
      </c>
      <c r="D332" t="str">
        <f t="shared" si="26"/>
        <v>LENS9</v>
      </c>
      <c r="E332" t="s">
        <v>159</v>
      </c>
      <c r="F332" t="str">
        <f t="shared" si="27"/>
        <v>LENS9</v>
      </c>
      <c r="G332" t="s">
        <v>251</v>
      </c>
      <c r="H332" t="s">
        <v>929</v>
      </c>
      <c r="I332" s="16">
        <v>119.77</v>
      </c>
      <c r="J332" s="16">
        <v>24.73</v>
      </c>
      <c r="K332" s="16">
        <v>36.75</v>
      </c>
      <c r="L332" s="159">
        <f t="shared" si="28"/>
        <v>0.20647908491274944</v>
      </c>
      <c r="M332" s="159">
        <f t="shared" si="28"/>
        <v>0.30683810637054354</v>
      </c>
    </row>
    <row r="333" spans="2:13">
      <c r="B333" t="s">
        <v>158</v>
      </c>
      <c r="C333">
        <f t="shared" si="29"/>
        <v>10</v>
      </c>
      <c r="D333" t="str">
        <f t="shared" si="26"/>
        <v>LENS10</v>
      </c>
      <c r="E333" t="s">
        <v>159</v>
      </c>
      <c r="F333" t="str">
        <f t="shared" si="27"/>
        <v>LENS10</v>
      </c>
      <c r="G333" t="s">
        <v>222</v>
      </c>
      <c r="H333" t="s">
        <v>915</v>
      </c>
      <c r="I333" s="16">
        <v>119.26</v>
      </c>
      <c r="J333" s="16">
        <v>13.87</v>
      </c>
      <c r="K333" s="16">
        <v>18</v>
      </c>
      <c r="L333" s="159">
        <f t="shared" si="28"/>
        <v>0.11630051987254736</v>
      </c>
      <c r="M333" s="159">
        <f t="shared" si="28"/>
        <v>0.15093073956062383</v>
      </c>
    </row>
    <row r="334" spans="2:13">
      <c r="B334" t="s">
        <v>158</v>
      </c>
      <c r="C334">
        <f t="shared" si="29"/>
        <v>11</v>
      </c>
      <c r="D334" t="str">
        <f t="shared" si="26"/>
        <v>LENS11</v>
      </c>
      <c r="E334" t="s">
        <v>159</v>
      </c>
      <c r="F334" t="str">
        <f t="shared" si="27"/>
        <v>LENS11</v>
      </c>
      <c r="G334" t="s">
        <v>229</v>
      </c>
      <c r="H334" t="s">
        <v>921</v>
      </c>
      <c r="I334" s="16">
        <v>118.9</v>
      </c>
      <c r="J334" s="16">
        <v>8.73</v>
      </c>
      <c r="K334" s="16">
        <v>11.07</v>
      </c>
      <c r="L334" s="159">
        <f t="shared" si="28"/>
        <v>7.3423044575273336E-2</v>
      </c>
      <c r="M334" s="159">
        <f t="shared" si="28"/>
        <v>9.3103448275862061E-2</v>
      </c>
    </row>
    <row r="335" spans="2:13">
      <c r="B335" t="s">
        <v>158</v>
      </c>
      <c r="C335">
        <f t="shared" si="29"/>
        <v>12</v>
      </c>
      <c r="D335" t="str">
        <f t="shared" si="26"/>
        <v>LENS12</v>
      </c>
      <c r="E335" t="s">
        <v>159</v>
      </c>
      <c r="F335" t="str">
        <f t="shared" si="27"/>
        <v>LENS12</v>
      </c>
      <c r="G335" t="s">
        <v>239</v>
      </c>
      <c r="H335" t="s">
        <v>925</v>
      </c>
      <c r="I335" s="16">
        <v>116.91</v>
      </c>
      <c r="J335" s="16">
        <v>26.39</v>
      </c>
      <c r="K335" s="16">
        <v>26.34</v>
      </c>
      <c r="L335" s="159">
        <f t="shared" si="28"/>
        <v>0.22572919339662989</v>
      </c>
      <c r="M335" s="159">
        <f t="shared" si="28"/>
        <v>0.22530151398511677</v>
      </c>
    </row>
    <row r="336" spans="2:13">
      <c r="B336" t="s">
        <v>158</v>
      </c>
      <c r="C336">
        <f t="shared" si="29"/>
        <v>13</v>
      </c>
      <c r="D336" t="str">
        <f t="shared" si="26"/>
        <v>LENS13</v>
      </c>
      <c r="E336" t="s">
        <v>159</v>
      </c>
      <c r="F336" t="str">
        <f t="shared" si="27"/>
        <v>LENS13</v>
      </c>
      <c r="G336" t="s">
        <v>213</v>
      </c>
      <c r="H336" t="s">
        <v>919</v>
      </c>
      <c r="I336" s="16">
        <v>111.93</v>
      </c>
      <c r="J336" s="16">
        <v>8.15</v>
      </c>
      <c r="K336" s="16">
        <v>53.76</v>
      </c>
      <c r="L336" s="159">
        <f t="shared" si="28"/>
        <v>7.2813365496292318E-2</v>
      </c>
      <c r="M336" s="159">
        <f t="shared" si="28"/>
        <v>0.48030018761726073</v>
      </c>
    </row>
    <row r="337" spans="2:13">
      <c r="B337" t="s">
        <v>158</v>
      </c>
      <c r="C337">
        <f t="shared" si="29"/>
        <v>14</v>
      </c>
      <c r="D337" t="str">
        <f t="shared" si="26"/>
        <v>LENS14</v>
      </c>
      <c r="E337" t="s">
        <v>159</v>
      </c>
      <c r="F337" t="str">
        <f t="shared" si="27"/>
        <v>LENS14</v>
      </c>
      <c r="G337" t="s">
        <v>224</v>
      </c>
      <c r="H337" t="s">
        <v>917</v>
      </c>
      <c r="I337" s="16">
        <v>102.87</v>
      </c>
      <c r="J337" s="16">
        <v>19.21</v>
      </c>
      <c r="K337" s="16">
        <v>10</v>
      </c>
      <c r="L337" s="159">
        <f t="shared" si="28"/>
        <v>0.1867405463205988</v>
      </c>
      <c r="M337" s="159">
        <f t="shared" si="28"/>
        <v>9.7210070963351797E-2</v>
      </c>
    </row>
    <row r="338" spans="2:13">
      <c r="B338" t="s">
        <v>158</v>
      </c>
      <c r="C338">
        <f t="shared" si="29"/>
        <v>15</v>
      </c>
      <c r="D338" t="str">
        <f t="shared" si="26"/>
        <v>LENS15</v>
      </c>
      <c r="E338" t="s">
        <v>159</v>
      </c>
      <c r="F338" t="str">
        <f t="shared" si="27"/>
        <v>LENS15</v>
      </c>
      <c r="G338" t="s">
        <v>325</v>
      </c>
      <c r="H338" t="s">
        <v>938</v>
      </c>
      <c r="I338" s="16">
        <v>88.55</v>
      </c>
      <c r="J338" s="16">
        <v>0</v>
      </c>
      <c r="K338" s="16">
        <v>0</v>
      </c>
      <c r="L338" s="159">
        <f t="shared" si="28"/>
        <v>0</v>
      </c>
      <c r="M338" s="159">
        <f t="shared" si="28"/>
        <v>0</v>
      </c>
    </row>
    <row r="339" spans="2:13">
      <c r="B339" t="s">
        <v>158</v>
      </c>
      <c r="C339">
        <f t="shared" si="29"/>
        <v>16</v>
      </c>
      <c r="D339" t="str">
        <f t="shared" si="26"/>
        <v>LENS16</v>
      </c>
      <c r="E339" t="s">
        <v>159</v>
      </c>
      <c r="F339" t="str">
        <f t="shared" si="27"/>
        <v>LENS16</v>
      </c>
      <c r="G339" t="s">
        <v>218</v>
      </c>
      <c r="H339" t="s">
        <v>911</v>
      </c>
      <c r="I339" s="16">
        <v>82.29</v>
      </c>
      <c r="J339" s="16">
        <v>22.29</v>
      </c>
      <c r="K339" s="16">
        <v>0</v>
      </c>
      <c r="L339" s="159">
        <f t="shared" si="28"/>
        <v>0.27087130878600069</v>
      </c>
      <c r="M339" s="159">
        <f t="shared" si="28"/>
        <v>0</v>
      </c>
    </row>
    <row r="340" spans="2:13">
      <c r="B340" t="s">
        <v>158</v>
      </c>
      <c r="C340">
        <f t="shared" si="29"/>
        <v>17</v>
      </c>
      <c r="D340" t="str">
        <f t="shared" si="26"/>
        <v>LENS17</v>
      </c>
      <c r="E340" t="s">
        <v>159</v>
      </c>
      <c r="F340" t="str">
        <f t="shared" si="27"/>
        <v>LENS17</v>
      </c>
      <c r="G340" t="s">
        <v>228</v>
      </c>
      <c r="I340" s="16">
        <v>77.48</v>
      </c>
      <c r="J340" s="16">
        <v>53.39</v>
      </c>
      <c r="K340" s="16">
        <v>0</v>
      </c>
      <c r="L340" s="159">
        <f t="shared" si="28"/>
        <v>0.68908105317501289</v>
      </c>
      <c r="M340" s="159">
        <f t="shared" si="28"/>
        <v>0</v>
      </c>
    </row>
    <row r="341" spans="2:13">
      <c r="B341" t="s">
        <v>158</v>
      </c>
      <c r="C341">
        <f t="shared" si="29"/>
        <v>18</v>
      </c>
      <c r="D341" t="str">
        <f t="shared" si="26"/>
        <v>LENS18</v>
      </c>
      <c r="E341" t="s">
        <v>159</v>
      </c>
      <c r="F341" t="str">
        <f t="shared" si="27"/>
        <v>LENS18</v>
      </c>
      <c r="G341" t="s">
        <v>207</v>
      </c>
      <c r="H341" t="s">
        <v>906</v>
      </c>
      <c r="I341" s="16">
        <v>77.36</v>
      </c>
      <c r="J341" s="16">
        <v>43.36</v>
      </c>
      <c r="K341" s="16">
        <v>34.28</v>
      </c>
      <c r="L341" s="159">
        <f t="shared" si="28"/>
        <v>0.5604963805584281</v>
      </c>
      <c r="M341" s="159">
        <f t="shared" si="28"/>
        <v>0.44312306101344368</v>
      </c>
    </row>
    <row r="342" spans="2:13">
      <c r="B342" t="s">
        <v>158</v>
      </c>
      <c r="C342">
        <f t="shared" si="29"/>
        <v>19</v>
      </c>
      <c r="D342" t="str">
        <f t="shared" si="26"/>
        <v>LENS19</v>
      </c>
      <c r="E342" t="s">
        <v>159</v>
      </c>
      <c r="F342" t="str">
        <f t="shared" si="27"/>
        <v>LENS19</v>
      </c>
      <c r="G342" t="s">
        <v>240</v>
      </c>
      <c r="H342" t="s">
        <v>926</v>
      </c>
      <c r="I342" s="16">
        <v>68.680000000000007</v>
      </c>
      <c r="J342" s="16">
        <v>33.159999999999997</v>
      </c>
      <c r="K342" s="16">
        <v>10</v>
      </c>
      <c r="L342" s="159">
        <f t="shared" si="28"/>
        <v>0.48281887012230623</v>
      </c>
      <c r="M342" s="159">
        <f t="shared" si="28"/>
        <v>0.145602795573675</v>
      </c>
    </row>
    <row r="343" spans="2:13">
      <c r="B343" t="s">
        <v>158</v>
      </c>
      <c r="C343">
        <f t="shared" si="29"/>
        <v>20</v>
      </c>
      <c r="D343" t="str">
        <f t="shared" si="26"/>
        <v>LENS20</v>
      </c>
      <c r="E343" t="s">
        <v>159</v>
      </c>
      <c r="F343" t="str">
        <f t="shared" si="27"/>
        <v>LENS20</v>
      </c>
      <c r="G343" t="s">
        <v>234</v>
      </c>
      <c r="H343" t="s">
        <v>923</v>
      </c>
      <c r="I343" s="16">
        <v>62.81</v>
      </c>
      <c r="J343" s="16">
        <v>23.43</v>
      </c>
      <c r="K343" s="16">
        <v>12.73</v>
      </c>
      <c r="L343" s="159">
        <f t="shared" si="28"/>
        <v>0.37302977232924694</v>
      </c>
      <c r="M343" s="159">
        <f t="shared" si="28"/>
        <v>0.20267473332271932</v>
      </c>
    </row>
    <row r="344" spans="2:13">
      <c r="B344" t="s">
        <v>158</v>
      </c>
      <c r="C344">
        <f t="shared" si="29"/>
        <v>21</v>
      </c>
      <c r="D344" t="str">
        <f t="shared" si="26"/>
        <v>LENS21</v>
      </c>
      <c r="E344" t="s">
        <v>159</v>
      </c>
      <c r="F344" t="str">
        <f t="shared" si="27"/>
        <v>LENS21</v>
      </c>
      <c r="G344" t="s">
        <v>208</v>
      </c>
      <c r="H344" t="s">
        <v>907</v>
      </c>
      <c r="I344" s="16">
        <v>61.98</v>
      </c>
      <c r="J344" s="16">
        <v>5.47</v>
      </c>
      <c r="K344" s="16">
        <v>10</v>
      </c>
      <c r="L344" s="159">
        <f t="shared" si="28"/>
        <v>8.8254275572765412E-2</v>
      </c>
      <c r="M344" s="159">
        <f t="shared" si="28"/>
        <v>0.16134236850596967</v>
      </c>
    </row>
    <row r="345" spans="2:13">
      <c r="B345" t="s">
        <v>158</v>
      </c>
      <c r="C345">
        <f t="shared" si="29"/>
        <v>22</v>
      </c>
      <c r="D345" t="str">
        <f t="shared" si="26"/>
        <v>LENS22</v>
      </c>
      <c r="E345" t="s">
        <v>159</v>
      </c>
      <c r="F345" t="str">
        <f t="shared" si="27"/>
        <v>LENS22</v>
      </c>
      <c r="G345" t="s">
        <v>214</v>
      </c>
      <c r="H345" t="s">
        <v>215</v>
      </c>
      <c r="I345" s="16">
        <v>59.94</v>
      </c>
      <c r="J345" s="16">
        <v>54.94</v>
      </c>
      <c r="K345" s="16">
        <v>11.79</v>
      </c>
      <c r="L345" s="159">
        <f t="shared" si="28"/>
        <v>0.91658324991658324</v>
      </c>
      <c r="M345" s="159">
        <f t="shared" si="28"/>
        <v>0.19669669669669668</v>
      </c>
    </row>
    <row r="346" spans="2:13">
      <c r="B346" t="s">
        <v>158</v>
      </c>
      <c r="C346">
        <f t="shared" si="29"/>
        <v>23</v>
      </c>
      <c r="D346" t="str">
        <f t="shared" si="26"/>
        <v>LENS23</v>
      </c>
      <c r="E346" t="s">
        <v>159</v>
      </c>
      <c r="F346" t="str">
        <f t="shared" si="27"/>
        <v>LENS23</v>
      </c>
      <c r="G346" t="s">
        <v>238</v>
      </c>
      <c r="H346" t="s">
        <v>924</v>
      </c>
      <c r="I346" s="16">
        <v>57.05</v>
      </c>
      <c r="J346" s="16">
        <v>0</v>
      </c>
      <c r="K346" s="16">
        <v>1</v>
      </c>
      <c r="L346" s="159">
        <f t="shared" si="28"/>
        <v>0</v>
      </c>
      <c r="M346" s="159">
        <f t="shared" si="28"/>
        <v>1.7528483786152498E-2</v>
      </c>
    </row>
    <row r="347" spans="2:13">
      <c r="B347" t="s">
        <v>158</v>
      </c>
      <c r="C347">
        <f t="shared" si="29"/>
        <v>24</v>
      </c>
      <c r="D347" t="str">
        <f t="shared" si="26"/>
        <v>LENS24</v>
      </c>
      <c r="E347" t="s">
        <v>159</v>
      </c>
      <c r="F347" t="str">
        <f t="shared" si="27"/>
        <v>LENS24</v>
      </c>
      <c r="G347" t="s">
        <v>246</v>
      </c>
      <c r="H347" t="s">
        <v>928</v>
      </c>
      <c r="I347" s="16">
        <v>56.45</v>
      </c>
      <c r="J347" s="16">
        <v>13.51</v>
      </c>
      <c r="K347" s="16">
        <v>0</v>
      </c>
      <c r="L347" s="159">
        <f t="shared" si="28"/>
        <v>0.23932683790965453</v>
      </c>
      <c r="M347" s="159">
        <f t="shared" si="28"/>
        <v>0</v>
      </c>
    </row>
    <row r="348" spans="2:13">
      <c r="B348" t="s">
        <v>158</v>
      </c>
      <c r="C348">
        <f t="shared" si="29"/>
        <v>25</v>
      </c>
      <c r="D348" t="str">
        <f t="shared" si="26"/>
        <v>LENS25</v>
      </c>
      <c r="E348" t="s">
        <v>159</v>
      </c>
      <c r="F348" t="str">
        <f t="shared" si="27"/>
        <v>LENS25</v>
      </c>
      <c r="G348" t="s">
        <v>272</v>
      </c>
      <c r="I348" s="16">
        <v>53.76</v>
      </c>
      <c r="J348" s="16">
        <v>6.07</v>
      </c>
      <c r="K348" s="16">
        <v>0</v>
      </c>
      <c r="L348" s="159">
        <f t="shared" si="28"/>
        <v>0.11290922619047621</v>
      </c>
      <c r="M348" s="159">
        <f t="shared" si="28"/>
        <v>0</v>
      </c>
    </row>
    <row r="349" spans="2:13">
      <c r="B349" t="s">
        <v>158</v>
      </c>
      <c r="C349">
        <f t="shared" si="29"/>
        <v>26</v>
      </c>
      <c r="D349" t="str">
        <f t="shared" si="26"/>
        <v>LENS26</v>
      </c>
      <c r="E349" t="s">
        <v>159</v>
      </c>
      <c r="F349" t="str">
        <f t="shared" si="27"/>
        <v>LENS26</v>
      </c>
      <c r="G349" t="s">
        <v>429</v>
      </c>
      <c r="I349" s="16">
        <v>53.23</v>
      </c>
      <c r="J349" s="16">
        <v>3.23</v>
      </c>
      <c r="K349" s="16">
        <v>0</v>
      </c>
      <c r="L349" s="159">
        <f t="shared" si="28"/>
        <v>6.0680067631035131E-2</v>
      </c>
      <c r="M349" s="159">
        <f t="shared" si="28"/>
        <v>0</v>
      </c>
    </row>
    <row r="350" spans="2:13">
      <c r="B350" t="s">
        <v>158</v>
      </c>
      <c r="C350">
        <f t="shared" si="29"/>
        <v>27</v>
      </c>
      <c r="D350" t="str">
        <f t="shared" si="26"/>
        <v>LENS27</v>
      </c>
      <c r="E350" t="s">
        <v>159</v>
      </c>
      <c r="F350" t="str">
        <f t="shared" si="27"/>
        <v>LENS27</v>
      </c>
      <c r="G350" t="s">
        <v>439</v>
      </c>
      <c r="H350" t="s">
        <v>440</v>
      </c>
      <c r="I350" s="16">
        <v>50.13</v>
      </c>
      <c r="J350" s="16">
        <v>0</v>
      </c>
      <c r="K350" s="16">
        <v>50.13</v>
      </c>
      <c r="L350" s="159">
        <f t="shared" si="28"/>
        <v>0</v>
      </c>
      <c r="M350" s="159">
        <f t="shared" si="28"/>
        <v>1</v>
      </c>
    </row>
    <row r="351" spans="2:13">
      <c r="B351" t="s">
        <v>158</v>
      </c>
      <c r="C351">
        <f t="shared" si="29"/>
        <v>28</v>
      </c>
      <c r="D351" t="str">
        <f t="shared" si="26"/>
        <v>LENS28</v>
      </c>
      <c r="E351" t="s">
        <v>159</v>
      </c>
      <c r="F351" t="str">
        <f t="shared" si="27"/>
        <v>LENS28</v>
      </c>
      <c r="G351" t="s">
        <v>332</v>
      </c>
      <c r="H351" t="s">
        <v>940</v>
      </c>
      <c r="I351" s="16">
        <v>49.86</v>
      </c>
      <c r="J351" s="16">
        <v>0</v>
      </c>
      <c r="K351" s="16">
        <v>20</v>
      </c>
      <c r="L351" s="159">
        <f t="shared" si="28"/>
        <v>0</v>
      </c>
      <c r="M351" s="159">
        <f t="shared" si="28"/>
        <v>0.4011231448054553</v>
      </c>
    </row>
    <row r="352" spans="2:13">
      <c r="B352" t="s">
        <v>158</v>
      </c>
      <c r="C352">
        <f t="shared" si="29"/>
        <v>29</v>
      </c>
      <c r="D352" t="str">
        <f t="shared" si="26"/>
        <v>LENS29</v>
      </c>
      <c r="E352" t="s">
        <v>159</v>
      </c>
      <c r="F352" t="str">
        <f t="shared" si="27"/>
        <v>LENS29</v>
      </c>
      <c r="G352" t="s">
        <v>289</v>
      </c>
      <c r="H352" t="s">
        <v>935</v>
      </c>
      <c r="I352" s="16">
        <v>49.71</v>
      </c>
      <c r="J352" s="16">
        <v>25.35</v>
      </c>
      <c r="K352" s="16">
        <v>0</v>
      </c>
      <c r="L352" s="159">
        <f t="shared" si="28"/>
        <v>0.50995775497887752</v>
      </c>
      <c r="M352" s="159">
        <f t="shared" si="28"/>
        <v>0</v>
      </c>
    </row>
    <row r="353" spans="2:13">
      <c r="B353" t="s">
        <v>158</v>
      </c>
      <c r="C353">
        <f t="shared" si="29"/>
        <v>30</v>
      </c>
      <c r="D353" t="str">
        <f t="shared" si="26"/>
        <v>LENS30</v>
      </c>
      <c r="E353" t="s">
        <v>159</v>
      </c>
      <c r="F353" t="str">
        <f t="shared" si="27"/>
        <v>LENS30</v>
      </c>
      <c r="G353" t="s">
        <v>266</v>
      </c>
      <c r="H353" t="s">
        <v>267</v>
      </c>
      <c r="I353" s="16">
        <v>48.45</v>
      </c>
      <c r="J353" s="16">
        <v>25.01</v>
      </c>
      <c r="K353" s="16">
        <v>0</v>
      </c>
      <c r="L353" s="159">
        <f t="shared" si="28"/>
        <v>0.51620227038183697</v>
      </c>
      <c r="M353" s="159">
        <f t="shared" si="28"/>
        <v>0</v>
      </c>
    </row>
    <row r="354" spans="2:13">
      <c r="B354" t="s">
        <v>158</v>
      </c>
      <c r="C354">
        <f t="shared" si="29"/>
        <v>31</v>
      </c>
      <c r="D354" t="str">
        <f t="shared" si="26"/>
        <v>LENS31</v>
      </c>
      <c r="E354" t="s">
        <v>159</v>
      </c>
      <c r="F354" t="str">
        <f t="shared" si="27"/>
        <v>LENS31</v>
      </c>
      <c r="G354" t="s">
        <v>244</v>
      </c>
      <c r="I354" s="16">
        <v>47.21</v>
      </c>
      <c r="J354" s="16">
        <v>23.8</v>
      </c>
      <c r="K354" s="16">
        <v>11.9</v>
      </c>
      <c r="L354" s="159">
        <f t="shared" si="28"/>
        <v>0.50413048083033252</v>
      </c>
      <c r="M354" s="159">
        <f t="shared" si="28"/>
        <v>0.25206524041516626</v>
      </c>
    </row>
    <row r="355" spans="2:13">
      <c r="B355" t="s">
        <v>158</v>
      </c>
      <c r="C355">
        <f t="shared" si="29"/>
        <v>32</v>
      </c>
      <c r="D355" t="str">
        <f t="shared" si="26"/>
        <v>LENS32</v>
      </c>
      <c r="E355" t="s">
        <v>159</v>
      </c>
      <c r="F355" t="str">
        <f t="shared" si="27"/>
        <v>LENS32</v>
      </c>
      <c r="G355" t="s">
        <v>274</v>
      </c>
      <c r="H355" t="s">
        <v>275</v>
      </c>
      <c r="I355" s="16">
        <v>47.15</v>
      </c>
      <c r="J355" s="16">
        <v>27.48</v>
      </c>
      <c r="K355" s="16">
        <v>47.15</v>
      </c>
      <c r="L355" s="159">
        <f t="shared" si="28"/>
        <v>0.58282078472958643</v>
      </c>
      <c r="M355" s="159">
        <f t="shared" si="28"/>
        <v>1</v>
      </c>
    </row>
    <row r="356" spans="2:13">
      <c r="B356" t="s">
        <v>158</v>
      </c>
      <c r="C356">
        <f t="shared" ref="C356:C387" si="30">RANK(I356,$I$323:$I$447,0)</f>
        <v>33</v>
      </c>
      <c r="D356" t="str">
        <f t="shared" si="26"/>
        <v>LENS33</v>
      </c>
      <c r="E356" t="s">
        <v>159</v>
      </c>
      <c r="F356" t="str">
        <f t="shared" si="27"/>
        <v>LENS33</v>
      </c>
      <c r="G356" t="s">
        <v>221</v>
      </c>
      <c r="H356" t="s">
        <v>914</v>
      </c>
      <c r="I356" s="16">
        <v>45.04</v>
      </c>
      <c r="J356" s="16">
        <v>0</v>
      </c>
      <c r="K356" s="16">
        <v>15</v>
      </c>
      <c r="L356" s="159">
        <f t="shared" si="28"/>
        <v>0</v>
      </c>
      <c r="M356" s="159">
        <f t="shared" si="28"/>
        <v>0.3330373001776199</v>
      </c>
    </row>
    <row r="357" spans="2:13">
      <c r="B357" t="s">
        <v>158</v>
      </c>
      <c r="C357">
        <f t="shared" si="30"/>
        <v>34</v>
      </c>
      <c r="D357" t="str">
        <f t="shared" si="26"/>
        <v>LENS34</v>
      </c>
      <c r="E357" t="s">
        <v>159</v>
      </c>
      <c r="F357" t="str">
        <f t="shared" si="27"/>
        <v>LENS34</v>
      </c>
      <c r="G357" t="s">
        <v>230</v>
      </c>
      <c r="H357" t="s">
        <v>231</v>
      </c>
      <c r="I357" s="16">
        <v>44.57</v>
      </c>
      <c r="J357" s="16">
        <v>24.97</v>
      </c>
      <c r="K357" s="16">
        <v>0</v>
      </c>
      <c r="L357" s="159">
        <f t="shared" si="28"/>
        <v>0.56024231545882874</v>
      </c>
      <c r="M357" s="159">
        <f t="shared" si="28"/>
        <v>0</v>
      </c>
    </row>
    <row r="358" spans="2:13">
      <c r="B358" t="s">
        <v>158</v>
      </c>
      <c r="C358">
        <f t="shared" si="30"/>
        <v>35</v>
      </c>
      <c r="D358" t="str">
        <f t="shared" si="26"/>
        <v>LENS35</v>
      </c>
      <c r="E358" t="s">
        <v>159</v>
      </c>
      <c r="F358" t="str">
        <f t="shared" si="27"/>
        <v>LENS35</v>
      </c>
      <c r="G358" t="s">
        <v>232</v>
      </c>
      <c r="H358" t="s">
        <v>922</v>
      </c>
      <c r="I358" s="16">
        <v>44.02</v>
      </c>
      <c r="J358" s="16">
        <v>10</v>
      </c>
      <c r="K358" s="16">
        <v>1.34</v>
      </c>
      <c r="L358" s="159">
        <f t="shared" si="28"/>
        <v>0.22716946842344388</v>
      </c>
      <c r="M358" s="159">
        <f t="shared" si="28"/>
        <v>3.0440708768741481E-2</v>
      </c>
    </row>
    <row r="359" spans="2:13">
      <c r="B359" t="s">
        <v>158</v>
      </c>
      <c r="C359">
        <f t="shared" si="30"/>
        <v>36</v>
      </c>
      <c r="D359" t="str">
        <f t="shared" si="26"/>
        <v>LENS36</v>
      </c>
      <c r="E359" t="s">
        <v>159</v>
      </c>
      <c r="F359" t="str">
        <f t="shared" si="27"/>
        <v>LENS36</v>
      </c>
      <c r="G359" t="s">
        <v>265</v>
      </c>
      <c r="I359" s="16">
        <v>41.18</v>
      </c>
      <c r="J359" s="16">
        <v>9.5</v>
      </c>
      <c r="K359" s="16">
        <v>0</v>
      </c>
      <c r="L359" s="159">
        <f t="shared" si="28"/>
        <v>0.23069451189898008</v>
      </c>
      <c r="M359" s="159">
        <f t="shared" si="28"/>
        <v>0</v>
      </c>
    </row>
    <row r="360" spans="2:13">
      <c r="B360" t="s">
        <v>158</v>
      </c>
      <c r="C360">
        <f t="shared" si="30"/>
        <v>37</v>
      </c>
      <c r="D360" t="str">
        <f t="shared" si="26"/>
        <v>LENS37</v>
      </c>
      <c r="E360" t="s">
        <v>159</v>
      </c>
      <c r="F360" t="str">
        <f t="shared" si="27"/>
        <v>LENS37</v>
      </c>
      <c r="G360" t="s">
        <v>252</v>
      </c>
      <c r="H360" t="s">
        <v>930</v>
      </c>
      <c r="I360" s="16">
        <v>37.700000000000003</v>
      </c>
      <c r="J360" s="16">
        <v>34.39</v>
      </c>
      <c r="K360" s="16">
        <v>4.3499999999999996</v>
      </c>
      <c r="L360" s="159">
        <f t="shared" si="28"/>
        <v>0.91220159151193625</v>
      </c>
      <c r="M360" s="159">
        <f t="shared" si="28"/>
        <v>0.11538461538461536</v>
      </c>
    </row>
    <row r="361" spans="2:13">
      <c r="B361" t="s">
        <v>158</v>
      </c>
      <c r="C361">
        <f t="shared" si="30"/>
        <v>38</v>
      </c>
      <c r="D361" t="str">
        <f t="shared" si="26"/>
        <v>LENS38</v>
      </c>
      <c r="E361" t="s">
        <v>159</v>
      </c>
      <c r="F361" t="str">
        <f t="shared" si="27"/>
        <v>LENS38</v>
      </c>
      <c r="G361" t="s">
        <v>268</v>
      </c>
      <c r="H361" t="s">
        <v>269</v>
      </c>
      <c r="I361" s="16">
        <v>37.07</v>
      </c>
      <c r="J361" s="16">
        <v>3</v>
      </c>
      <c r="K361" s="16">
        <v>3</v>
      </c>
      <c r="L361" s="159">
        <f t="shared" si="28"/>
        <v>8.0927974103048292E-2</v>
      </c>
      <c r="M361" s="159">
        <f t="shared" si="28"/>
        <v>8.0927974103048292E-2</v>
      </c>
    </row>
    <row r="362" spans="2:13">
      <c r="B362" t="s">
        <v>158</v>
      </c>
      <c r="C362">
        <f t="shared" si="30"/>
        <v>39</v>
      </c>
      <c r="D362" t="str">
        <f t="shared" si="26"/>
        <v>LENS39</v>
      </c>
      <c r="E362" t="s">
        <v>159</v>
      </c>
      <c r="F362" t="str">
        <f t="shared" si="27"/>
        <v>LENS39</v>
      </c>
      <c r="G362" t="s">
        <v>284</v>
      </c>
      <c r="I362" s="16">
        <v>35.83</v>
      </c>
      <c r="J362" s="16">
        <v>17.03</v>
      </c>
      <c r="K362" s="16">
        <v>0</v>
      </c>
      <c r="L362" s="159">
        <f t="shared" si="28"/>
        <v>0.47530002790957304</v>
      </c>
      <c r="M362" s="159">
        <f t="shared" si="28"/>
        <v>0</v>
      </c>
    </row>
    <row r="363" spans="2:13">
      <c r="B363" t="s">
        <v>158</v>
      </c>
      <c r="C363">
        <f t="shared" si="30"/>
        <v>40</v>
      </c>
      <c r="D363" t="str">
        <f t="shared" si="26"/>
        <v>LENS40</v>
      </c>
      <c r="E363" t="s">
        <v>159</v>
      </c>
      <c r="F363" t="str">
        <f t="shared" si="27"/>
        <v>LENS40</v>
      </c>
      <c r="G363" t="s">
        <v>360</v>
      </c>
      <c r="I363" s="16">
        <v>35.090000000000003</v>
      </c>
      <c r="J363" s="16">
        <v>31.38</v>
      </c>
      <c r="K363" s="16">
        <v>1</v>
      </c>
      <c r="L363" s="159">
        <f t="shared" si="28"/>
        <v>0.89427187232829852</v>
      </c>
      <c r="M363" s="159">
        <f t="shared" si="28"/>
        <v>2.849814762040467E-2</v>
      </c>
    </row>
    <row r="364" spans="2:13">
      <c r="B364" t="s">
        <v>158</v>
      </c>
      <c r="C364">
        <f t="shared" si="30"/>
        <v>41</v>
      </c>
      <c r="D364" t="str">
        <f t="shared" si="26"/>
        <v>LENS41</v>
      </c>
      <c r="E364" t="s">
        <v>159</v>
      </c>
      <c r="F364" t="str">
        <f t="shared" si="27"/>
        <v>LENS41</v>
      </c>
      <c r="G364" t="s">
        <v>419</v>
      </c>
      <c r="I364" s="16">
        <v>32.79</v>
      </c>
      <c r="J364" s="16">
        <v>0</v>
      </c>
      <c r="K364" s="16">
        <v>0</v>
      </c>
      <c r="L364" s="159">
        <f t="shared" si="28"/>
        <v>0</v>
      </c>
      <c r="M364" s="159">
        <f t="shared" si="28"/>
        <v>0</v>
      </c>
    </row>
    <row r="365" spans="2:13">
      <c r="B365" t="s">
        <v>158</v>
      </c>
      <c r="C365">
        <f t="shared" si="30"/>
        <v>42</v>
      </c>
      <c r="D365" t="str">
        <f t="shared" si="26"/>
        <v>LENS42</v>
      </c>
      <c r="E365" t="s">
        <v>159</v>
      </c>
      <c r="F365" t="str">
        <f t="shared" si="27"/>
        <v>LENS42</v>
      </c>
      <c r="G365" t="s">
        <v>259</v>
      </c>
      <c r="I365" s="16">
        <v>32.5</v>
      </c>
      <c r="J365" s="16">
        <v>4.3499999999999996</v>
      </c>
      <c r="K365" s="16">
        <v>4.3499999999999996</v>
      </c>
      <c r="L365" s="159">
        <f t="shared" si="28"/>
        <v>0.13384615384615384</v>
      </c>
      <c r="M365" s="159">
        <f t="shared" si="28"/>
        <v>0.13384615384615384</v>
      </c>
    </row>
    <row r="366" spans="2:13">
      <c r="B366" t="s">
        <v>158</v>
      </c>
      <c r="C366">
        <f t="shared" si="30"/>
        <v>43</v>
      </c>
      <c r="D366" t="str">
        <f t="shared" si="26"/>
        <v>LENS43</v>
      </c>
      <c r="E366" t="s">
        <v>159</v>
      </c>
      <c r="F366" t="str">
        <f t="shared" si="27"/>
        <v>LENS43</v>
      </c>
      <c r="G366" t="s">
        <v>433</v>
      </c>
      <c r="I366" s="16">
        <v>27.72</v>
      </c>
      <c r="J366" s="16">
        <v>2.29</v>
      </c>
      <c r="K366" s="16">
        <v>0</v>
      </c>
      <c r="L366" s="159">
        <f t="shared" si="28"/>
        <v>8.2611832611832622E-2</v>
      </c>
      <c r="M366" s="159">
        <f t="shared" si="28"/>
        <v>0</v>
      </c>
    </row>
    <row r="367" spans="2:13">
      <c r="B367" t="s">
        <v>158</v>
      </c>
      <c r="C367">
        <f t="shared" si="30"/>
        <v>44</v>
      </c>
      <c r="D367" t="str">
        <f t="shared" si="26"/>
        <v>LENS44</v>
      </c>
      <c r="E367" t="s">
        <v>159</v>
      </c>
      <c r="F367" t="str">
        <f t="shared" si="27"/>
        <v>LENS44</v>
      </c>
      <c r="G367" t="s">
        <v>255</v>
      </c>
      <c r="H367" t="s">
        <v>256</v>
      </c>
      <c r="I367" s="16">
        <v>26.42</v>
      </c>
      <c r="J367" s="16">
        <v>26.42</v>
      </c>
      <c r="K367" s="16">
        <v>0</v>
      </c>
      <c r="L367" s="159">
        <f t="shared" si="28"/>
        <v>1</v>
      </c>
      <c r="M367" s="159">
        <f t="shared" si="28"/>
        <v>0</v>
      </c>
    </row>
    <row r="368" spans="2:13">
      <c r="B368" t="s">
        <v>158</v>
      </c>
      <c r="C368">
        <f t="shared" si="30"/>
        <v>45</v>
      </c>
      <c r="D368" t="str">
        <f t="shared" si="26"/>
        <v>LENS45</v>
      </c>
      <c r="E368" t="s">
        <v>159</v>
      </c>
      <c r="F368" t="str">
        <f t="shared" si="27"/>
        <v>LENS45</v>
      </c>
      <c r="G368" t="s">
        <v>212</v>
      </c>
      <c r="H368" t="s">
        <v>909</v>
      </c>
      <c r="I368" s="16">
        <v>25</v>
      </c>
      <c r="J368" s="16">
        <v>0</v>
      </c>
      <c r="K368" s="16">
        <v>20</v>
      </c>
      <c r="L368" s="159">
        <f t="shared" si="28"/>
        <v>0</v>
      </c>
      <c r="M368" s="159">
        <f t="shared" si="28"/>
        <v>0.8</v>
      </c>
    </row>
    <row r="369" spans="2:13">
      <c r="B369" t="s">
        <v>158</v>
      </c>
      <c r="C369">
        <f t="shared" si="30"/>
        <v>46</v>
      </c>
      <c r="D369" t="str">
        <f t="shared" si="26"/>
        <v>LENS46</v>
      </c>
      <c r="E369" t="s">
        <v>159</v>
      </c>
      <c r="F369" t="str">
        <f t="shared" si="27"/>
        <v>LENS46</v>
      </c>
      <c r="G369" t="s">
        <v>226</v>
      </c>
      <c r="H369" t="s">
        <v>227</v>
      </c>
      <c r="I369" s="16">
        <v>24.77</v>
      </c>
      <c r="J369" s="16">
        <v>0</v>
      </c>
      <c r="K369" s="16">
        <v>0</v>
      </c>
      <c r="L369" s="159">
        <f t="shared" si="28"/>
        <v>0</v>
      </c>
      <c r="M369" s="159">
        <f t="shared" si="28"/>
        <v>0</v>
      </c>
    </row>
    <row r="370" spans="2:13">
      <c r="B370" t="s">
        <v>158</v>
      </c>
      <c r="C370">
        <f t="shared" si="30"/>
        <v>47</v>
      </c>
      <c r="D370" t="str">
        <f t="shared" si="26"/>
        <v>LENS47</v>
      </c>
      <c r="E370" t="s">
        <v>159</v>
      </c>
      <c r="F370" t="str">
        <f t="shared" si="27"/>
        <v>LENS47</v>
      </c>
      <c r="G370" t="s">
        <v>336</v>
      </c>
      <c r="H370" t="s">
        <v>941</v>
      </c>
      <c r="I370" s="16">
        <v>23.69</v>
      </c>
      <c r="J370" s="16">
        <v>10.59</v>
      </c>
      <c r="K370" s="16">
        <v>0</v>
      </c>
      <c r="L370" s="159">
        <f t="shared" si="28"/>
        <v>0.4470240607851414</v>
      </c>
      <c r="M370" s="159">
        <f t="shared" si="28"/>
        <v>0</v>
      </c>
    </row>
    <row r="371" spans="2:13">
      <c r="B371" t="s">
        <v>158</v>
      </c>
      <c r="C371">
        <f t="shared" si="30"/>
        <v>48</v>
      </c>
      <c r="D371" t="str">
        <f t="shared" si="26"/>
        <v>LENS48</v>
      </c>
      <c r="E371" t="s">
        <v>159</v>
      </c>
      <c r="F371" t="str">
        <f t="shared" si="27"/>
        <v>LENS48</v>
      </c>
      <c r="G371" t="s">
        <v>262</v>
      </c>
      <c r="I371" s="16">
        <v>23.59</v>
      </c>
      <c r="J371" s="16">
        <v>1</v>
      </c>
      <c r="K371" s="16">
        <v>10</v>
      </c>
      <c r="L371" s="159">
        <f t="shared" si="28"/>
        <v>4.2390843577787198E-2</v>
      </c>
      <c r="M371" s="159">
        <f t="shared" si="28"/>
        <v>0.42390843577787196</v>
      </c>
    </row>
    <row r="372" spans="2:13">
      <c r="B372" t="s">
        <v>158</v>
      </c>
      <c r="C372">
        <f t="shared" si="30"/>
        <v>49</v>
      </c>
      <c r="D372" t="str">
        <f t="shared" si="26"/>
        <v>LENS49</v>
      </c>
      <c r="E372" t="s">
        <v>159</v>
      </c>
      <c r="F372" t="str">
        <f t="shared" si="27"/>
        <v>LENS49</v>
      </c>
      <c r="G372" t="s">
        <v>220</v>
      </c>
      <c r="H372" t="s">
        <v>913</v>
      </c>
      <c r="I372" s="16">
        <v>22.21</v>
      </c>
      <c r="J372" s="16">
        <v>3.05</v>
      </c>
      <c r="K372" s="16">
        <v>13.7</v>
      </c>
      <c r="L372" s="159">
        <f t="shared" si="28"/>
        <v>0.13732552904097253</v>
      </c>
      <c r="M372" s="159">
        <f t="shared" si="28"/>
        <v>0.61683926159387659</v>
      </c>
    </row>
    <row r="373" spans="2:13">
      <c r="B373" t="s">
        <v>158</v>
      </c>
      <c r="C373">
        <f t="shared" si="30"/>
        <v>50</v>
      </c>
      <c r="D373" t="str">
        <f t="shared" si="26"/>
        <v>LENS50</v>
      </c>
      <c r="E373" t="s">
        <v>159</v>
      </c>
      <c r="F373" t="str">
        <f t="shared" si="27"/>
        <v>LENS50</v>
      </c>
      <c r="G373" t="s">
        <v>280</v>
      </c>
      <c r="I373" s="16">
        <v>21.24</v>
      </c>
      <c r="J373" s="16">
        <v>15.62</v>
      </c>
      <c r="K373" s="16">
        <v>0</v>
      </c>
      <c r="L373" s="159">
        <f t="shared" si="28"/>
        <v>0.73540489642184559</v>
      </c>
      <c r="M373" s="159">
        <f t="shared" si="28"/>
        <v>0</v>
      </c>
    </row>
    <row r="374" spans="2:13">
      <c r="B374" t="s">
        <v>158</v>
      </c>
      <c r="C374">
        <f t="shared" si="30"/>
        <v>51</v>
      </c>
      <c r="D374" t="str">
        <f t="shared" si="26"/>
        <v>LENS51</v>
      </c>
      <c r="E374" t="s">
        <v>159</v>
      </c>
      <c r="F374" t="str">
        <f t="shared" si="27"/>
        <v>LENS51</v>
      </c>
      <c r="G374" t="s">
        <v>282</v>
      </c>
      <c r="H374" t="s">
        <v>920</v>
      </c>
      <c r="I374" s="16">
        <v>21.17</v>
      </c>
      <c r="J374" s="16">
        <v>0</v>
      </c>
      <c r="K374" s="16">
        <v>0</v>
      </c>
      <c r="L374" s="159">
        <f t="shared" si="28"/>
        <v>0</v>
      </c>
      <c r="M374" s="159">
        <f t="shared" si="28"/>
        <v>0</v>
      </c>
    </row>
    <row r="375" spans="2:13">
      <c r="B375" t="s">
        <v>158</v>
      </c>
      <c r="C375">
        <f t="shared" si="30"/>
        <v>52</v>
      </c>
      <c r="D375" t="str">
        <f t="shared" si="26"/>
        <v>LENS52</v>
      </c>
      <c r="E375" t="s">
        <v>159</v>
      </c>
      <c r="F375" t="str">
        <f t="shared" si="27"/>
        <v>LENS52</v>
      </c>
      <c r="G375" t="s">
        <v>249</v>
      </c>
      <c r="I375" s="16">
        <v>20.79</v>
      </c>
      <c r="J375" s="16">
        <v>0</v>
      </c>
      <c r="K375" s="16">
        <v>5</v>
      </c>
      <c r="L375" s="159">
        <f t="shared" si="28"/>
        <v>0</v>
      </c>
      <c r="M375" s="159">
        <f t="shared" si="28"/>
        <v>0.24050024050024052</v>
      </c>
    </row>
    <row r="376" spans="2:13">
      <c r="B376" t="s">
        <v>158</v>
      </c>
      <c r="C376">
        <f t="shared" si="30"/>
        <v>53</v>
      </c>
      <c r="D376" t="str">
        <f t="shared" si="26"/>
        <v>LENS53</v>
      </c>
      <c r="E376" t="s">
        <v>159</v>
      </c>
      <c r="F376" t="str">
        <f t="shared" si="27"/>
        <v>LENS53</v>
      </c>
      <c r="G376" t="s">
        <v>321</v>
      </c>
      <c r="I376" s="16">
        <v>19.899999999999999</v>
      </c>
      <c r="J376" s="16">
        <v>4.51</v>
      </c>
      <c r="K376" s="16">
        <v>0</v>
      </c>
      <c r="L376" s="159">
        <f t="shared" si="28"/>
        <v>0.22663316582914572</v>
      </c>
      <c r="M376" s="159">
        <f t="shared" si="28"/>
        <v>0</v>
      </c>
    </row>
    <row r="377" spans="2:13">
      <c r="B377" t="s">
        <v>158</v>
      </c>
      <c r="C377">
        <f t="shared" si="30"/>
        <v>54</v>
      </c>
      <c r="D377" t="str">
        <f t="shared" si="26"/>
        <v>LENS54</v>
      </c>
      <c r="E377" t="s">
        <v>159</v>
      </c>
      <c r="F377" t="str">
        <f t="shared" si="27"/>
        <v>LENS54</v>
      </c>
      <c r="G377" t="s">
        <v>400</v>
      </c>
      <c r="I377" s="16">
        <v>18.75</v>
      </c>
      <c r="J377" s="16">
        <v>0</v>
      </c>
      <c r="K377" s="16">
        <v>0</v>
      </c>
      <c r="L377" s="159">
        <f t="shared" si="28"/>
        <v>0</v>
      </c>
      <c r="M377" s="159">
        <f t="shared" si="28"/>
        <v>0</v>
      </c>
    </row>
    <row r="378" spans="2:13">
      <c r="B378" t="s">
        <v>158</v>
      </c>
      <c r="C378">
        <f t="shared" si="30"/>
        <v>55</v>
      </c>
      <c r="D378" t="str">
        <f t="shared" si="26"/>
        <v>LENS55</v>
      </c>
      <c r="E378" t="s">
        <v>159</v>
      </c>
      <c r="F378" t="str">
        <f t="shared" si="27"/>
        <v>LENS55</v>
      </c>
      <c r="G378" t="s">
        <v>276</v>
      </c>
      <c r="H378" t="s">
        <v>933</v>
      </c>
      <c r="I378" s="16">
        <v>18.52</v>
      </c>
      <c r="J378" s="16">
        <v>12.29</v>
      </c>
      <c r="K378" s="16">
        <v>6.23</v>
      </c>
      <c r="L378" s="159">
        <f t="shared" si="28"/>
        <v>0.66360691144708417</v>
      </c>
      <c r="M378" s="159">
        <f t="shared" si="28"/>
        <v>0.33639308855291578</v>
      </c>
    </row>
    <row r="379" spans="2:13">
      <c r="B379" t="s">
        <v>158</v>
      </c>
      <c r="C379">
        <f t="shared" si="30"/>
        <v>56</v>
      </c>
      <c r="D379" t="str">
        <f t="shared" si="26"/>
        <v>LENS56</v>
      </c>
      <c r="E379" t="s">
        <v>159</v>
      </c>
      <c r="F379" t="str">
        <f t="shared" si="27"/>
        <v>LENS56</v>
      </c>
      <c r="G379" t="s">
        <v>260</v>
      </c>
      <c r="H379" t="s">
        <v>932</v>
      </c>
      <c r="I379" s="16">
        <v>18.23</v>
      </c>
      <c r="J379" s="16">
        <v>0</v>
      </c>
      <c r="K379" s="16">
        <v>8.4499999999999993</v>
      </c>
      <c r="L379" s="159">
        <f t="shared" si="28"/>
        <v>0</v>
      </c>
      <c r="M379" s="159">
        <f t="shared" si="28"/>
        <v>0.46352166758091051</v>
      </c>
    </row>
    <row r="380" spans="2:13">
      <c r="B380" t="s">
        <v>158</v>
      </c>
      <c r="C380">
        <f t="shared" si="30"/>
        <v>57</v>
      </c>
      <c r="D380" t="str">
        <f t="shared" si="26"/>
        <v>LENS57</v>
      </c>
      <c r="E380" t="s">
        <v>159</v>
      </c>
      <c r="F380" t="str">
        <f t="shared" si="27"/>
        <v>LENS57</v>
      </c>
      <c r="G380" t="s">
        <v>297</v>
      </c>
      <c r="I380" s="16">
        <v>18.059999999999999</v>
      </c>
      <c r="J380" s="16">
        <v>0</v>
      </c>
      <c r="K380" s="16">
        <v>9.91</v>
      </c>
      <c r="L380" s="159">
        <f t="shared" si="28"/>
        <v>0</v>
      </c>
      <c r="M380" s="159">
        <f t="shared" si="28"/>
        <v>0.54872646733111852</v>
      </c>
    </row>
    <row r="381" spans="2:13">
      <c r="B381" t="s">
        <v>158</v>
      </c>
      <c r="C381">
        <f t="shared" si="30"/>
        <v>57</v>
      </c>
      <c r="D381" t="str">
        <f t="shared" si="26"/>
        <v>LENS57</v>
      </c>
      <c r="E381" t="s">
        <v>159</v>
      </c>
      <c r="F381" t="str">
        <f t="shared" si="27"/>
        <v>LENS57</v>
      </c>
      <c r="G381" t="s">
        <v>257</v>
      </c>
      <c r="I381" s="16">
        <v>18.059999999999999</v>
      </c>
      <c r="J381" s="16">
        <v>0</v>
      </c>
      <c r="K381" s="16">
        <v>0</v>
      </c>
      <c r="L381" s="159">
        <f t="shared" si="28"/>
        <v>0</v>
      </c>
      <c r="M381" s="159">
        <f t="shared" si="28"/>
        <v>0</v>
      </c>
    </row>
    <row r="382" spans="2:13">
      <c r="B382" t="s">
        <v>158</v>
      </c>
      <c r="C382">
        <f t="shared" si="30"/>
        <v>59</v>
      </c>
      <c r="D382" t="str">
        <f t="shared" si="26"/>
        <v>LENS59</v>
      </c>
      <c r="E382" t="s">
        <v>159</v>
      </c>
      <c r="F382" t="str">
        <f t="shared" si="27"/>
        <v>LENS59</v>
      </c>
      <c r="G382" t="s">
        <v>287</v>
      </c>
      <c r="I382" s="16">
        <v>17.07</v>
      </c>
      <c r="J382" s="16">
        <v>5.86</v>
      </c>
      <c r="K382" s="16">
        <v>0</v>
      </c>
      <c r="L382" s="159">
        <f t="shared" si="28"/>
        <v>0.3432923257176333</v>
      </c>
      <c r="M382" s="159">
        <f t="shared" si="28"/>
        <v>0</v>
      </c>
    </row>
    <row r="383" spans="2:13">
      <c r="B383" t="s">
        <v>158</v>
      </c>
      <c r="C383">
        <f t="shared" si="30"/>
        <v>60</v>
      </c>
      <c r="D383" t="str">
        <f t="shared" si="26"/>
        <v>LENS60</v>
      </c>
      <c r="E383" t="s">
        <v>159</v>
      </c>
      <c r="F383" t="str">
        <f t="shared" si="27"/>
        <v>LENS60</v>
      </c>
      <c r="G383" t="s">
        <v>310</v>
      </c>
      <c r="I383" s="16">
        <v>16.670000000000002</v>
      </c>
      <c r="J383" s="16">
        <v>0</v>
      </c>
      <c r="K383" s="16">
        <v>0</v>
      </c>
      <c r="L383" s="159">
        <f t="shared" si="28"/>
        <v>0</v>
      </c>
      <c r="M383" s="159">
        <f t="shared" si="28"/>
        <v>0</v>
      </c>
    </row>
    <row r="384" spans="2:13">
      <c r="B384" t="s">
        <v>158</v>
      </c>
      <c r="C384">
        <f t="shared" si="30"/>
        <v>61</v>
      </c>
      <c r="D384" t="str">
        <f t="shared" si="26"/>
        <v>LENS61</v>
      </c>
      <c r="E384" t="s">
        <v>159</v>
      </c>
      <c r="F384" t="str">
        <f t="shared" si="27"/>
        <v>LENS61</v>
      </c>
      <c r="G384" t="s">
        <v>308</v>
      </c>
      <c r="I384" s="16">
        <v>16.62</v>
      </c>
      <c r="J384" s="16">
        <v>16.62</v>
      </c>
      <c r="K384" s="16">
        <v>0</v>
      </c>
      <c r="L384" s="159">
        <f t="shared" si="28"/>
        <v>1</v>
      </c>
      <c r="M384" s="159">
        <f t="shared" si="28"/>
        <v>0</v>
      </c>
    </row>
    <row r="385" spans="2:13">
      <c r="B385" t="s">
        <v>158</v>
      </c>
      <c r="C385">
        <f t="shared" si="30"/>
        <v>62</v>
      </c>
      <c r="D385" t="str">
        <f t="shared" si="26"/>
        <v>LENS62</v>
      </c>
      <c r="E385" t="s">
        <v>159</v>
      </c>
      <c r="F385" t="str">
        <f t="shared" si="27"/>
        <v>LENS62</v>
      </c>
      <c r="G385" t="s">
        <v>209</v>
      </c>
      <c r="H385" t="s">
        <v>210</v>
      </c>
      <c r="I385" s="16">
        <v>16.04</v>
      </c>
      <c r="J385" s="16">
        <v>0</v>
      </c>
      <c r="K385" s="16">
        <v>9.6199999999999992</v>
      </c>
      <c r="L385" s="159">
        <f t="shared" si="28"/>
        <v>0</v>
      </c>
      <c r="M385" s="159">
        <f t="shared" si="28"/>
        <v>0.59975062344139651</v>
      </c>
    </row>
    <row r="386" spans="2:13">
      <c r="B386" t="s">
        <v>158</v>
      </c>
      <c r="C386">
        <f t="shared" si="30"/>
        <v>63</v>
      </c>
      <c r="D386" t="str">
        <f t="shared" ref="D386:D449" si="31">CONCATENATE(E386,C386)</f>
        <v>LENS63</v>
      </c>
      <c r="E386" t="s">
        <v>159</v>
      </c>
      <c r="F386" t="str">
        <f t="shared" si="27"/>
        <v>LENS63</v>
      </c>
      <c r="G386" t="s">
        <v>435</v>
      </c>
      <c r="I386" s="16">
        <v>16.03</v>
      </c>
      <c r="J386" s="16">
        <v>6.25</v>
      </c>
      <c r="K386" s="16">
        <v>0</v>
      </c>
      <c r="L386" s="159">
        <f t="shared" si="28"/>
        <v>0.38989394884591388</v>
      </c>
      <c r="M386" s="159">
        <f t="shared" si="28"/>
        <v>0</v>
      </c>
    </row>
    <row r="387" spans="2:13">
      <c r="B387" t="s">
        <v>158</v>
      </c>
      <c r="C387">
        <f t="shared" si="30"/>
        <v>64</v>
      </c>
      <c r="D387" t="str">
        <f t="shared" si="31"/>
        <v>LENS64</v>
      </c>
      <c r="E387" t="s">
        <v>159</v>
      </c>
      <c r="F387" t="str">
        <f t="shared" ref="F387:F450" si="32">D387</f>
        <v>LENS64</v>
      </c>
      <c r="G387" t="s">
        <v>304</v>
      </c>
      <c r="I387" s="16">
        <v>15.67</v>
      </c>
      <c r="J387" s="16">
        <v>5.29</v>
      </c>
      <c r="K387" s="16">
        <v>0</v>
      </c>
      <c r="L387" s="159">
        <f t="shared" ref="L387:M450" si="33">J387/$I387</f>
        <v>0.3375877472878111</v>
      </c>
      <c r="M387" s="159">
        <f t="shared" si="33"/>
        <v>0</v>
      </c>
    </row>
    <row r="388" spans="2:13">
      <c r="B388" t="s">
        <v>158</v>
      </c>
      <c r="C388">
        <f t="shared" ref="C388:C419" si="34">RANK(I388,$I$323:$I$447,0)</f>
        <v>65</v>
      </c>
      <c r="D388" t="str">
        <f t="shared" si="31"/>
        <v>LENS65</v>
      </c>
      <c r="E388" t="s">
        <v>159</v>
      </c>
      <c r="F388" t="str">
        <f t="shared" si="32"/>
        <v>LENS65</v>
      </c>
      <c r="G388" t="s">
        <v>303</v>
      </c>
      <c r="H388" t="s">
        <v>936</v>
      </c>
      <c r="I388" s="16">
        <v>15.37</v>
      </c>
      <c r="J388" s="16">
        <v>6.98</v>
      </c>
      <c r="K388" s="16">
        <v>0</v>
      </c>
      <c r="L388" s="159">
        <f t="shared" si="33"/>
        <v>0.45413142485361097</v>
      </c>
      <c r="M388" s="159">
        <f t="shared" si="33"/>
        <v>0</v>
      </c>
    </row>
    <row r="389" spans="2:13">
      <c r="B389" t="s">
        <v>158</v>
      </c>
      <c r="C389">
        <f t="shared" si="34"/>
        <v>66</v>
      </c>
      <c r="D389" t="str">
        <f t="shared" si="31"/>
        <v>LENS66</v>
      </c>
      <c r="E389" t="s">
        <v>159</v>
      </c>
      <c r="F389" t="str">
        <f t="shared" si="32"/>
        <v>LENS66</v>
      </c>
      <c r="G389" t="s">
        <v>340</v>
      </c>
      <c r="H389" t="s">
        <v>945</v>
      </c>
      <c r="I389" s="16">
        <v>15.06</v>
      </c>
      <c r="J389" s="16">
        <v>12.9</v>
      </c>
      <c r="K389" s="16">
        <v>0</v>
      </c>
      <c r="L389" s="159">
        <f t="shared" si="33"/>
        <v>0.85657370517928288</v>
      </c>
      <c r="M389" s="159">
        <f t="shared" si="33"/>
        <v>0</v>
      </c>
    </row>
    <row r="390" spans="2:13">
      <c r="B390" t="s">
        <v>158</v>
      </c>
      <c r="C390">
        <f t="shared" si="34"/>
        <v>67</v>
      </c>
      <c r="D390" t="str">
        <f t="shared" si="31"/>
        <v>LENS67</v>
      </c>
      <c r="E390" t="s">
        <v>159</v>
      </c>
      <c r="F390" t="str">
        <f t="shared" si="32"/>
        <v>LENS67</v>
      </c>
      <c r="G390" t="s">
        <v>344</v>
      </c>
      <c r="I390" s="16">
        <v>14.42</v>
      </c>
      <c r="J390" s="16">
        <v>14.42</v>
      </c>
      <c r="K390" s="16">
        <v>0</v>
      </c>
      <c r="L390" s="159">
        <f t="shared" si="33"/>
        <v>1</v>
      </c>
      <c r="M390" s="159">
        <f t="shared" si="33"/>
        <v>0</v>
      </c>
    </row>
    <row r="391" spans="2:13">
      <c r="B391" t="s">
        <v>158</v>
      </c>
      <c r="C391">
        <f t="shared" si="34"/>
        <v>68</v>
      </c>
      <c r="D391" t="str">
        <f t="shared" si="31"/>
        <v>LENS68</v>
      </c>
      <c r="E391" t="s">
        <v>159</v>
      </c>
      <c r="F391" t="str">
        <f t="shared" si="32"/>
        <v>LENS68</v>
      </c>
      <c r="G391" t="s">
        <v>278</v>
      </c>
      <c r="H391" t="s">
        <v>934</v>
      </c>
      <c r="I391" s="16">
        <v>13.97</v>
      </c>
      <c r="J391" s="16">
        <v>0</v>
      </c>
      <c r="K391" s="16">
        <v>0</v>
      </c>
      <c r="L391" s="159">
        <f t="shared" si="33"/>
        <v>0</v>
      </c>
      <c r="M391" s="159">
        <f t="shared" si="33"/>
        <v>0</v>
      </c>
    </row>
    <row r="392" spans="2:13">
      <c r="B392" t="s">
        <v>158</v>
      </c>
      <c r="C392">
        <f t="shared" si="34"/>
        <v>68</v>
      </c>
      <c r="D392" t="str">
        <f t="shared" si="31"/>
        <v>LENS68</v>
      </c>
      <c r="E392" t="s">
        <v>159</v>
      </c>
      <c r="F392" t="str">
        <f t="shared" si="32"/>
        <v>LENS68</v>
      </c>
      <c r="G392" t="s">
        <v>293</v>
      </c>
      <c r="I392" s="16">
        <v>13.97</v>
      </c>
      <c r="J392" s="16">
        <v>3.4</v>
      </c>
      <c r="K392" s="16">
        <v>0</v>
      </c>
      <c r="L392" s="159">
        <f t="shared" si="33"/>
        <v>0.24337866857551896</v>
      </c>
      <c r="M392" s="159">
        <f t="shared" si="33"/>
        <v>0</v>
      </c>
    </row>
    <row r="393" spans="2:13">
      <c r="B393" t="s">
        <v>158</v>
      </c>
      <c r="C393">
        <f t="shared" si="34"/>
        <v>70</v>
      </c>
      <c r="D393" t="str">
        <f t="shared" si="31"/>
        <v>LENS70</v>
      </c>
      <c r="E393" t="s">
        <v>159</v>
      </c>
      <c r="F393" t="str">
        <f t="shared" si="32"/>
        <v>LENS70</v>
      </c>
      <c r="G393" t="s">
        <v>328</v>
      </c>
      <c r="H393" t="s">
        <v>939</v>
      </c>
      <c r="I393" s="16">
        <v>12.13</v>
      </c>
      <c r="J393" s="16">
        <v>0</v>
      </c>
      <c r="K393" s="16">
        <v>0</v>
      </c>
      <c r="L393" s="159">
        <f t="shared" si="33"/>
        <v>0</v>
      </c>
      <c r="M393" s="159">
        <f t="shared" si="33"/>
        <v>0</v>
      </c>
    </row>
    <row r="394" spans="2:13">
      <c r="B394" t="s">
        <v>158</v>
      </c>
      <c r="C394">
        <f t="shared" si="34"/>
        <v>71</v>
      </c>
      <c r="D394" t="str">
        <f t="shared" si="31"/>
        <v>LENS71</v>
      </c>
      <c r="E394" t="s">
        <v>159</v>
      </c>
      <c r="F394" t="str">
        <f t="shared" si="32"/>
        <v>LENS71</v>
      </c>
      <c r="G394" t="s">
        <v>253</v>
      </c>
      <c r="I394" s="16">
        <v>11.79</v>
      </c>
      <c r="J394" s="16">
        <v>10.79</v>
      </c>
      <c r="K394" s="16">
        <v>2.16</v>
      </c>
      <c r="L394" s="159">
        <f t="shared" si="33"/>
        <v>0.91518235793044955</v>
      </c>
      <c r="M394" s="159">
        <f t="shared" si="33"/>
        <v>0.18320610687022904</v>
      </c>
    </row>
    <row r="395" spans="2:13">
      <c r="B395" t="s">
        <v>158</v>
      </c>
      <c r="C395">
        <f t="shared" si="34"/>
        <v>72</v>
      </c>
      <c r="D395" t="str">
        <f t="shared" si="31"/>
        <v>LENS72</v>
      </c>
      <c r="E395" t="s">
        <v>159</v>
      </c>
      <c r="F395" t="str">
        <f t="shared" si="32"/>
        <v>LENS72</v>
      </c>
      <c r="G395" t="s">
        <v>326</v>
      </c>
      <c r="I395" s="16">
        <v>11.63</v>
      </c>
      <c r="J395" s="16">
        <v>10.63</v>
      </c>
      <c r="K395" s="16">
        <v>0</v>
      </c>
      <c r="L395" s="159">
        <f t="shared" si="33"/>
        <v>0.91401547721410148</v>
      </c>
      <c r="M395" s="159">
        <f t="shared" si="33"/>
        <v>0</v>
      </c>
    </row>
    <row r="396" spans="2:13">
      <c r="B396" t="s">
        <v>158</v>
      </c>
      <c r="C396">
        <f t="shared" si="34"/>
        <v>73</v>
      </c>
      <c r="D396" t="str">
        <f t="shared" si="31"/>
        <v>LENS73</v>
      </c>
      <c r="E396" t="s">
        <v>159</v>
      </c>
      <c r="F396" t="str">
        <f t="shared" si="32"/>
        <v>LENS73</v>
      </c>
      <c r="G396" t="s">
        <v>373</v>
      </c>
      <c r="I396" s="16">
        <v>11.03</v>
      </c>
      <c r="J396" s="16">
        <v>11.03</v>
      </c>
      <c r="K396" s="16">
        <v>0</v>
      </c>
      <c r="L396" s="159">
        <f t="shared" si="33"/>
        <v>1</v>
      </c>
      <c r="M396" s="159">
        <f t="shared" si="33"/>
        <v>0</v>
      </c>
    </row>
    <row r="397" spans="2:13">
      <c r="B397" t="s">
        <v>158</v>
      </c>
      <c r="C397">
        <f t="shared" si="34"/>
        <v>74</v>
      </c>
      <c r="D397" t="str">
        <f t="shared" si="31"/>
        <v>LENS74</v>
      </c>
      <c r="E397" t="s">
        <v>159</v>
      </c>
      <c r="F397" t="str">
        <f t="shared" si="32"/>
        <v>LENS74</v>
      </c>
      <c r="G397" t="s">
        <v>320</v>
      </c>
      <c r="I397" s="16">
        <v>10.8</v>
      </c>
      <c r="J397" s="16">
        <v>6.35</v>
      </c>
      <c r="K397" s="16">
        <v>0</v>
      </c>
      <c r="L397" s="159">
        <f t="shared" si="33"/>
        <v>0.58796296296296291</v>
      </c>
      <c r="M397" s="159">
        <f t="shared" si="33"/>
        <v>0</v>
      </c>
    </row>
    <row r="398" spans="2:13">
      <c r="B398" t="s">
        <v>158</v>
      </c>
      <c r="C398">
        <f t="shared" si="34"/>
        <v>75</v>
      </c>
      <c r="D398" t="str">
        <f t="shared" si="31"/>
        <v>LENS75</v>
      </c>
      <c r="E398" t="s">
        <v>159</v>
      </c>
      <c r="F398" t="str">
        <f t="shared" si="32"/>
        <v>LENS75</v>
      </c>
      <c r="G398" t="s">
        <v>374</v>
      </c>
      <c r="I398" s="16">
        <v>10.54</v>
      </c>
      <c r="J398" s="16">
        <v>6.83</v>
      </c>
      <c r="K398" s="16">
        <v>0</v>
      </c>
      <c r="L398" s="159">
        <f t="shared" si="33"/>
        <v>0.64800759013282738</v>
      </c>
      <c r="M398" s="159">
        <f t="shared" si="33"/>
        <v>0</v>
      </c>
    </row>
    <row r="399" spans="2:13">
      <c r="B399" t="s">
        <v>158</v>
      </c>
      <c r="C399">
        <f t="shared" si="34"/>
        <v>76</v>
      </c>
      <c r="D399" t="str">
        <f t="shared" si="31"/>
        <v>LENS76</v>
      </c>
      <c r="E399" t="s">
        <v>159</v>
      </c>
      <c r="F399" t="str">
        <f t="shared" si="32"/>
        <v>LENS76</v>
      </c>
      <c r="G399" t="s">
        <v>235</v>
      </c>
      <c r="H399" t="s">
        <v>236</v>
      </c>
      <c r="I399" s="16">
        <v>10.42</v>
      </c>
      <c r="J399" s="16">
        <v>0</v>
      </c>
      <c r="K399" s="16">
        <v>0</v>
      </c>
      <c r="L399" s="159">
        <f t="shared" si="33"/>
        <v>0</v>
      </c>
      <c r="M399" s="159">
        <f t="shared" si="33"/>
        <v>0</v>
      </c>
    </row>
    <row r="400" spans="2:13">
      <c r="B400" t="s">
        <v>158</v>
      </c>
      <c r="C400">
        <f t="shared" si="34"/>
        <v>77</v>
      </c>
      <c r="D400" t="str">
        <f t="shared" si="31"/>
        <v>LENS77</v>
      </c>
      <c r="E400" t="s">
        <v>159</v>
      </c>
      <c r="F400" t="str">
        <f t="shared" si="32"/>
        <v>LENS77</v>
      </c>
      <c r="G400" t="s">
        <v>341</v>
      </c>
      <c r="I400" s="16">
        <v>10.25</v>
      </c>
      <c r="J400" s="16">
        <v>10.25</v>
      </c>
      <c r="K400" s="16">
        <v>0</v>
      </c>
      <c r="L400" s="159">
        <f t="shared" si="33"/>
        <v>1</v>
      </c>
      <c r="M400" s="159">
        <f t="shared" si="33"/>
        <v>0</v>
      </c>
    </row>
    <row r="401" spans="2:13">
      <c r="B401" t="s">
        <v>158</v>
      </c>
      <c r="C401">
        <f t="shared" si="34"/>
        <v>78</v>
      </c>
      <c r="D401" t="str">
        <f t="shared" si="31"/>
        <v>LENS78</v>
      </c>
      <c r="E401" t="s">
        <v>159</v>
      </c>
      <c r="F401" t="str">
        <f t="shared" si="32"/>
        <v>LENS78</v>
      </c>
      <c r="G401" t="s">
        <v>347</v>
      </c>
      <c r="I401" s="16">
        <v>10.17</v>
      </c>
      <c r="J401" s="16">
        <v>6.86</v>
      </c>
      <c r="K401" s="16">
        <v>0</v>
      </c>
      <c r="L401" s="159">
        <f t="shared" si="33"/>
        <v>0.67453294001966568</v>
      </c>
      <c r="M401" s="159">
        <f t="shared" si="33"/>
        <v>0</v>
      </c>
    </row>
    <row r="402" spans="2:13">
      <c r="B402" t="s">
        <v>158</v>
      </c>
      <c r="C402">
        <f t="shared" si="34"/>
        <v>79</v>
      </c>
      <c r="D402" t="str">
        <f t="shared" si="31"/>
        <v>LENS79</v>
      </c>
      <c r="E402" t="s">
        <v>159</v>
      </c>
      <c r="F402" t="str">
        <f t="shared" si="32"/>
        <v>LENS79</v>
      </c>
      <c r="G402" t="s">
        <v>333</v>
      </c>
      <c r="I402" s="16">
        <v>10</v>
      </c>
      <c r="J402" s="16">
        <v>10</v>
      </c>
      <c r="K402" s="16">
        <v>0</v>
      </c>
      <c r="L402" s="159">
        <f t="shared" si="33"/>
        <v>1</v>
      </c>
      <c r="M402" s="159">
        <f t="shared" si="33"/>
        <v>0</v>
      </c>
    </row>
    <row r="403" spans="2:13">
      <c r="B403" t="s">
        <v>158</v>
      </c>
      <c r="C403">
        <f t="shared" si="34"/>
        <v>80</v>
      </c>
      <c r="D403" t="str">
        <f t="shared" si="31"/>
        <v>LENS80</v>
      </c>
      <c r="E403" t="s">
        <v>159</v>
      </c>
      <c r="F403" t="str">
        <f t="shared" si="32"/>
        <v>LENS80</v>
      </c>
      <c r="G403" t="s">
        <v>386</v>
      </c>
      <c r="I403" s="16">
        <v>9.7100000000000009</v>
      </c>
      <c r="J403" s="16">
        <v>0</v>
      </c>
      <c r="K403" s="16">
        <v>9.7100000000000009</v>
      </c>
      <c r="L403" s="159">
        <f t="shared" si="33"/>
        <v>0</v>
      </c>
      <c r="M403" s="159">
        <f t="shared" si="33"/>
        <v>1</v>
      </c>
    </row>
    <row r="404" spans="2:13">
      <c r="B404" t="s">
        <v>158</v>
      </c>
      <c r="C404">
        <f t="shared" si="34"/>
        <v>81</v>
      </c>
      <c r="D404" t="str">
        <f t="shared" si="31"/>
        <v>LENS81</v>
      </c>
      <c r="E404" t="s">
        <v>159</v>
      </c>
      <c r="F404" t="str">
        <f t="shared" si="32"/>
        <v>LENS81</v>
      </c>
      <c r="G404" t="s">
        <v>247</v>
      </c>
      <c r="H404" t="s">
        <v>248</v>
      </c>
      <c r="I404" s="16">
        <v>9.6199999999999992</v>
      </c>
      <c r="J404" s="16">
        <v>4.16</v>
      </c>
      <c r="K404" s="16">
        <v>1.1000000000000001</v>
      </c>
      <c r="L404" s="159">
        <f t="shared" si="33"/>
        <v>0.43243243243243246</v>
      </c>
      <c r="M404" s="159">
        <f t="shared" si="33"/>
        <v>0.11434511434511437</v>
      </c>
    </row>
    <row r="405" spans="2:13">
      <c r="B405" t="s">
        <v>158</v>
      </c>
      <c r="C405">
        <f t="shared" si="34"/>
        <v>82</v>
      </c>
      <c r="D405" t="str">
        <f t="shared" si="31"/>
        <v>LENS82</v>
      </c>
      <c r="E405" t="s">
        <v>159</v>
      </c>
      <c r="F405" t="str">
        <f t="shared" si="32"/>
        <v>LENS82</v>
      </c>
      <c r="G405" t="s">
        <v>315</v>
      </c>
      <c r="I405" s="16">
        <v>9.57</v>
      </c>
      <c r="J405" s="16">
        <v>8.57</v>
      </c>
      <c r="K405" s="16">
        <v>0</v>
      </c>
      <c r="L405" s="159">
        <f t="shared" si="33"/>
        <v>0.89550679205851624</v>
      </c>
      <c r="M405" s="159">
        <f t="shared" si="33"/>
        <v>0</v>
      </c>
    </row>
    <row r="406" spans="2:13">
      <c r="B406" t="s">
        <v>158</v>
      </c>
      <c r="C406">
        <f t="shared" si="34"/>
        <v>83</v>
      </c>
      <c r="D406" t="str">
        <f t="shared" si="31"/>
        <v>LENS83</v>
      </c>
      <c r="E406" t="s">
        <v>159</v>
      </c>
      <c r="F406" t="str">
        <f t="shared" si="32"/>
        <v>LENS83</v>
      </c>
      <c r="G406" t="s">
        <v>396</v>
      </c>
      <c r="I406" s="16">
        <v>9.25</v>
      </c>
      <c r="J406" s="16">
        <v>0</v>
      </c>
      <c r="K406" s="16">
        <v>0</v>
      </c>
      <c r="L406" s="159">
        <f t="shared" si="33"/>
        <v>0</v>
      </c>
      <c r="M406" s="159">
        <f t="shared" si="33"/>
        <v>0</v>
      </c>
    </row>
    <row r="407" spans="2:13">
      <c r="B407" t="s">
        <v>158</v>
      </c>
      <c r="C407">
        <f t="shared" si="34"/>
        <v>84</v>
      </c>
      <c r="D407" t="str">
        <f t="shared" si="31"/>
        <v>LENS84</v>
      </c>
      <c r="E407" t="s">
        <v>159</v>
      </c>
      <c r="F407" t="str">
        <f t="shared" si="32"/>
        <v>LENS84</v>
      </c>
      <c r="G407" t="s">
        <v>305</v>
      </c>
      <c r="H407" t="s">
        <v>937</v>
      </c>
      <c r="I407" s="16">
        <v>9.19</v>
      </c>
      <c r="J407" s="16">
        <v>2.67</v>
      </c>
      <c r="K407" s="16">
        <v>0</v>
      </c>
      <c r="L407" s="159">
        <f t="shared" si="33"/>
        <v>0.29053318824809576</v>
      </c>
      <c r="M407" s="159">
        <f t="shared" si="33"/>
        <v>0</v>
      </c>
    </row>
    <row r="408" spans="2:13">
      <c r="B408" t="s">
        <v>158</v>
      </c>
      <c r="C408">
        <f t="shared" si="34"/>
        <v>85</v>
      </c>
      <c r="D408" t="str">
        <f t="shared" si="31"/>
        <v>LENS85</v>
      </c>
      <c r="E408" t="s">
        <v>159</v>
      </c>
      <c r="F408" t="str">
        <f t="shared" si="32"/>
        <v>LENS85</v>
      </c>
      <c r="G408" t="s">
        <v>254</v>
      </c>
      <c r="H408" t="s">
        <v>931</v>
      </c>
      <c r="I408" s="16">
        <v>9.1300000000000008</v>
      </c>
      <c r="J408" s="16">
        <v>4.13</v>
      </c>
      <c r="K408" s="16">
        <v>0</v>
      </c>
      <c r="L408" s="159">
        <f t="shared" si="33"/>
        <v>0.452354874041621</v>
      </c>
      <c r="M408" s="159">
        <f t="shared" si="33"/>
        <v>0</v>
      </c>
    </row>
    <row r="409" spans="2:13">
      <c r="B409" t="s">
        <v>158</v>
      </c>
      <c r="C409">
        <f t="shared" si="34"/>
        <v>86</v>
      </c>
      <c r="D409" t="str">
        <f t="shared" si="31"/>
        <v>LENS86</v>
      </c>
      <c r="E409" t="s">
        <v>159</v>
      </c>
      <c r="F409" t="str">
        <f t="shared" si="32"/>
        <v>LENS86</v>
      </c>
      <c r="G409" t="s">
        <v>381</v>
      </c>
      <c r="I409" s="16">
        <v>9.01</v>
      </c>
      <c r="J409" s="16">
        <v>9.01</v>
      </c>
      <c r="K409" s="16">
        <v>0</v>
      </c>
      <c r="L409" s="159">
        <f t="shared" si="33"/>
        <v>1</v>
      </c>
      <c r="M409" s="159">
        <f t="shared" si="33"/>
        <v>0</v>
      </c>
    </row>
    <row r="410" spans="2:13">
      <c r="B410" t="s">
        <v>158</v>
      </c>
      <c r="C410">
        <f t="shared" si="34"/>
        <v>87</v>
      </c>
      <c r="D410" t="str">
        <f t="shared" si="31"/>
        <v>LENS87</v>
      </c>
      <c r="E410" t="s">
        <v>159</v>
      </c>
      <c r="F410" t="str">
        <f t="shared" si="32"/>
        <v>LENS87</v>
      </c>
      <c r="G410" t="s">
        <v>345</v>
      </c>
      <c r="I410" s="16">
        <v>8.9</v>
      </c>
      <c r="J410" s="16">
        <v>2.0699999999999998</v>
      </c>
      <c r="K410" s="16">
        <v>0</v>
      </c>
      <c r="L410" s="159">
        <f t="shared" si="33"/>
        <v>0.23258426966292131</v>
      </c>
      <c r="M410" s="159">
        <f t="shared" si="33"/>
        <v>0</v>
      </c>
    </row>
    <row r="411" spans="2:13">
      <c r="B411" t="s">
        <v>158</v>
      </c>
      <c r="C411">
        <f t="shared" si="34"/>
        <v>88</v>
      </c>
      <c r="D411" t="str">
        <f t="shared" si="31"/>
        <v>LENS88</v>
      </c>
      <c r="E411" t="s">
        <v>159</v>
      </c>
      <c r="F411" t="str">
        <f t="shared" si="32"/>
        <v>LENS88</v>
      </c>
      <c r="G411" t="s">
        <v>354</v>
      </c>
      <c r="H411" t="s">
        <v>942</v>
      </c>
      <c r="I411" s="16">
        <v>8.5</v>
      </c>
      <c r="J411" s="16">
        <v>8.5</v>
      </c>
      <c r="K411" s="16">
        <v>0</v>
      </c>
      <c r="L411" s="159">
        <f t="shared" si="33"/>
        <v>1</v>
      </c>
      <c r="M411" s="159">
        <f t="shared" si="33"/>
        <v>0</v>
      </c>
    </row>
    <row r="412" spans="2:13">
      <c r="B412" t="s">
        <v>158</v>
      </c>
      <c r="C412">
        <f t="shared" si="34"/>
        <v>89</v>
      </c>
      <c r="D412" t="str">
        <f t="shared" si="31"/>
        <v>LENS89</v>
      </c>
      <c r="E412" t="s">
        <v>159</v>
      </c>
      <c r="F412" t="str">
        <f t="shared" si="32"/>
        <v>LENS89</v>
      </c>
      <c r="G412" t="s">
        <v>318</v>
      </c>
      <c r="I412" s="16">
        <v>7.99</v>
      </c>
      <c r="J412" s="16">
        <v>7.99</v>
      </c>
      <c r="K412" s="16">
        <v>0</v>
      </c>
      <c r="L412" s="159">
        <f t="shared" si="33"/>
        <v>1</v>
      </c>
      <c r="M412" s="159">
        <f t="shared" si="33"/>
        <v>0</v>
      </c>
    </row>
    <row r="413" spans="2:13">
      <c r="B413" t="s">
        <v>158</v>
      </c>
      <c r="C413">
        <f t="shared" si="34"/>
        <v>90</v>
      </c>
      <c r="D413" t="str">
        <f t="shared" si="31"/>
        <v>LENS90</v>
      </c>
      <c r="E413" t="s">
        <v>159</v>
      </c>
      <c r="F413" t="str">
        <f t="shared" si="32"/>
        <v>LENS90</v>
      </c>
      <c r="G413" t="s">
        <v>393</v>
      </c>
      <c r="I413" s="16">
        <v>7.92</v>
      </c>
      <c r="J413" s="16">
        <v>1</v>
      </c>
      <c r="K413" s="16">
        <v>0</v>
      </c>
      <c r="L413" s="159">
        <f t="shared" si="33"/>
        <v>0.12626262626262627</v>
      </c>
      <c r="M413" s="159">
        <f t="shared" si="33"/>
        <v>0</v>
      </c>
    </row>
    <row r="414" spans="2:13">
      <c r="B414" t="s">
        <v>158</v>
      </c>
      <c r="C414">
        <f t="shared" si="34"/>
        <v>91</v>
      </c>
      <c r="D414" t="str">
        <f t="shared" si="31"/>
        <v>LENS91</v>
      </c>
      <c r="E414" t="s">
        <v>159</v>
      </c>
      <c r="F414" t="str">
        <f t="shared" si="32"/>
        <v>LENS91</v>
      </c>
      <c r="G414" t="s">
        <v>330</v>
      </c>
      <c r="I414" s="16">
        <v>7.89</v>
      </c>
      <c r="J414" s="16">
        <v>1</v>
      </c>
      <c r="K414" s="16">
        <v>1</v>
      </c>
      <c r="L414" s="159">
        <f t="shared" si="33"/>
        <v>0.1267427122940431</v>
      </c>
      <c r="M414" s="159">
        <f t="shared" si="33"/>
        <v>0.1267427122940431</v>
      </c>
    </row>
    <row r="415" spans="2:13">
      <c r="B415" t="s">
        <v>158</v>
      </c>
      <c r="C415">
        <f t="shared" si="34"/>
        <v>92</v>
      </c>
      <c r="D415" t="str">
        <f t="shared" si="31"/>
        <v>LENS92</v>
      </c>
      <c r="E415" t="s">
        <v>159</v>
      </c>
      <c r="F415" t="str">
        <f t="shared" si="32"/>
        <v>LENS92</v>
      </c>
      <c r="G415" t="s">
        <v>295</v>
      </c>
      <c r="I415" s="16">
        <v>7.81</v>
      </c>
      <c r="J415" s="16">
        <v>7.81</v>
      </c>
      <c r="K415" s="16">
        <v>0</v>
      </c>
      <c r="L415" s="159">
        <f t="shared" si="33"/>
        <v>1</v>
      </c>
      <c r="M415" s="159">
        <f t="shared" si="33"/>
        <v>0</v>
      </c>
    </row>
    <row r="416" spans="2:13">
      <c r="B416" t="s">
        <v>158</v>
      </c>
      <c r="C416">
        <f t="shared" si="34"/>
        <v>93</v>
      </c>
      <c r="D416" t="str">
        <f t="shared" si="31"/>
        <v>LENS93</v>
      </c>
      <c r="E416" t="s">
        <v>159</v>
      </c>
      <c r="F416" t="str">
        <f t="shared" si="32"/>
        <v>LENS93</v>
      </c>
      <c r="G416" t="s">
        <v>383</v>
      </c>
      <c r="I416" s="16">
        <v>7.72</v>
      </c>
      <c r="J416" s="16">
        <v>7.72</v>
      </c>
      <c r="K416" s="16">
        <v>1</v>
      </c>
      <c r="L416" s="159">
        <f t="shared" si="33"/>
        <v>1</v>
      </c>
      <c r="M416" s="159">
        <f t="shared" si="33"/>
        <v>0.1295336787564767</v>
      </c>
    </row>
    <row r="417" spans="2:13">
      <c r="B417" t="s">
        <v>158</v>
      </c>
      <c r="C417">
        <f t="shared" si="34"/>
        <v>94</v>
      </c>
      <c r="D417" t="str">
        <f t="shared" si="31"/>
        <v>LENS94</v>
      </c>
      <c r="E417" t="s">
        <v>159</v>
      </c>
      <c r="F417" t="str">
        <f t="shared" si="32"/>
        <v>LENS94</v>
      </c>
      <c r="G417" t="s">
        <v>343</v>
      </c>
      <c r="I417" s="16">
        <v>7.28</v>
      </c>
      <c r="J417" s="16">
        <v>5.07</v>
      </c>
      <c r="K417" s="16">
        <v>0</v>
      </c>
      <c r="L417" s="159">
        <f t="shared" si="33"/>
        <v>0.6964285714285714</v>
      </c>
      <c r="M417" s="159">
        <f t="shared" si="33"/>
        <v>0</v>
      </c>
    </row>
    <row r="418" spans="2:13">
      <c r="B418" t="s">
        <v>158</v>
      </c>
      <c r="C418">
        <f t="shared" si="34"/>
        <v>95</v>
      </c>
      <c r="D418" t="str">
        <f t="shared" si="31"/>
        <v>LENS95</v>
      </c>
      <c r="E418" t="s">
        <v>159</v>
      </c>
      <c r="F418" t="str">
        <f t="shared" si="32"/>
        <v>LENS95</v>
      </c>
      <c r="G418" t="s">
        <v>233</v>
      </c>
      <c r="I418" s="16">
        <v>7.16</v>
      </c>
      <c r="J418" s="16">
        <v>7.16</v>
      </c>
      <c r="K418" s="16">
        <v>0</v>
      </c>
      <c r="L418" s="159">
        <f t="shared" si="33"/>
        <v>1</v>
      </c>
      <c r="M418" s="159">
        <f t="shared" si="33"/>
        <v>0</v>
      </c>
    </row>
    <row r="419" spans="2:13">
      <c r="B419" t="s">
        <v>158</v>
      </c>
      <c r="C419">
        <f t="shared" si="34"/>
        <v>96</v>
      </c>
      <c r="D419" t="str">
        <f t="shared" si="31"/>
        <v>LENS96</v>
      </c>
      <c r="E419" t="s">
        <v>159</v>
      </c>
      <c r="F419" t="str">
        <f t="shared" si="32"/>
        <v>LENS96</v>
      </c>
      <c r="G419" t="s">
        <v>323</v>
      </c>
      <c r="I419" s="16">
        <v>7.13</v>
      </c>
      <c r="J419" s="16">
        <v>1.1299999999999999</v>
      </c>
      <c r="K419" s="16">
        <v>0</v>
      </c>
      <c r="L419" s="159">
        <f t="shared" si="33"/>
        <v>0.15848527349228611</v>
      </c>
      <c r="M419" s="159">
        <f t="shared" si="33"/>
        <v>0</v>
      </c>
    </row>
    <row r="420" spans="2:13">
      <c r="B420" t="s">
        <v>158</v>
      </c>
      <c r="C420">
        <f t="shared" ref="C420:C447" si="35">RANK(I420,$I$323:$I$447,0)</f>
        <v>96</v>
      </c>
      <c r="D420" t="str">
        <f t="shared" si="31"/>
        <v>LENS96</v>
      </c>
      <c r="E420" t="s">
        <v>159</v>
      </c>
      <c r="F420" t="str">
        <f t="shared" si="32"/>
        <v>LENS96</v>
      </c>
      <c r="G420" t="s">
        <v>270</v>
      </c>
      <c r="I420" s="16">
        <v>7.13</v>
      </c>
      <c r="J420" s="16">
        <v>0</v>
      </c>
      <c r="K420" s="16">
        <v>0</v>
      </c>
      <c r="L420" s="159">
        <f t="shared" si="33"/>
        <v>0</v>
      </c>
      <c r="M420" s="159">
        <f t="shared" si="33"/>
        <v>0</v>
      </c>
    </row>
    <row r="421" spans="2:13">
      <c r="B421" t="s">
        <v>158</v>
      </c>
      <c r="C421">
        <f t="shared" si="35"/>
        <v>98</v>
      </c>
      <c r="D421" t="str">
        <f t="shared" si="31"/>
        <v>LENS98</v>
      </c>
      <c r="E421" t="s">
        <v>159</v>
      </c>
      <c r="F421" t="str">
        <f t="shared" si="32"/>
        <v>LENS98</v>
      </c>
      <c r="G421" t="s">
        <v>379</v>
      </c>
      <c r="H421" t="s">
        <v>944</v>
      </c>
      <c r="I421" s="16">
        <v>6.39</v>
      </c>
      <c r="J421" s="16">
        <v>0</v>
      </c>
      <c r="K421" s="16">
        <v>0</v>
      </c>
      <c r="L421" s="159">
        <f t="shared" si="33"/>
        <v>0</v>
      </c>
      <c r="M421" s="159">
        <f t="shared" si="33"/>
        <v>0</v>
      </c>
    </row>
    <row r="422" spans="2:13">
      <c r="B422" t="s">
        <v>158</v>
      </c>
      <c r="C422">
        <f t="shared" si="35"/>
        <v>98</v>
      </c>
      <c r="D422" t="str">
        <f t="shared" si="31"/>
        <v>LENS98</v>
      </c>
      <c r="E422" t="s">
        <v>159</v>
      </c>
      <c r="F422" t="str">
        <f t="shared" si="32"/>
        <v>LENS98</v>
      </c>
      <c r="G422" t="s">
        <v>372</v>
      </c>
      <c r="I422" s="16">
        <v>6.39</v>
      </c>
      <c r="J422" s="16">
        <v>0</v>
      </c>
      <c r="K422" s="16">
        <v>0</v>
      </c>
      <c r="L422" s="159">
        <f t="shared" si="33"/>
        <v>0</v>
      </c>
      <c r="M422" s="159">
        <f t="shared" si="33"/>
        <v>0</v>
      </c>
    </row>
    <row r="423" spans="2:13">
      <c r="B423" t="s">
        <v>158</v>
      </c>
      <c r="C423">
        <f t="shared" si="35"/>
        <v>100</v>
      </c>
      <c r="D423" t="str">
        <f t="shared" si="31"/>
        <v>LENS100</v>
      </c>
      <c r="E423" t="s">
        <v>159</v>
      </c>
      <c r="F423" t="str">
        <f t="shared" si="32"/>
        <v>LENS100</v>
      </c>
      <c r="G423" t="s">
        <v>237</v>
      </c>
      <c r="I423" s="16">
        <v>5.75</v>
      </c>
      <c r="J423" s="16">
        <v>0</v>
      </c>
      <c r="K423" s="16">
        <v>0</v>
      </c>
      <c r="L423" s="159">
        <f t="shared" si="33"/>
        <v>0</v>
      </c>
      <c r="M423" s="159">
        <f t="shared" si="33"/>
        <v>0</v>
      </c>
    </row>
    <row r="424" spans="2:13">
      <c r="B424" t="s">
        <v>158</v>
      </c>
      <c r="C424">
        <f t="shared" si="35"/>
        <v>101</v>
      </c>
      <c r="D424" t="str">
        <f t="shared" si="31"/>
        <v>LENS101</v>
      </c>
      <c r="E424" t="s">
        <v>159</v>
      </c>
      <c r="F424" t="str">
        <f t="shared" si="32"/>
        <v>LENS101</v>
      </c>
      <c r="G424" t="s">
        <v>355</v>
      </c>
      <c r="I424" s="16">
        <v>5.65</v>
      </c>
      <c r="J424" s="16">
        <v>5.65</v>
      </c>
      <c r="K424" s="16">
        <v>0</v>
      </c>
      <c r="L424" s="159">
        <f t="shared" si="33"/>
        <v>1</v>
      </c>
      <c r="M424" s="159">
        <f t="shared" si="33"/>
        <v>0</v>
      </c>
    </row>
    <row r="425" spans="2:13">
      <c r="B425" t="s">
        <v>158</v>
      </c>
      <c r="C425">
        <f t="shared" si="35"/>
        <v>102</v>
      </c>
      <c r="D425" t="str">
        <f t="shared" si="31"/>
        <v>LENS102</v>
      </c>
      <c r="E425" t="s">
        <v>159</v>
      </c>
      <c r="F425" t="str">
        <f t="shared" si="32"/>
        <v>LENS102</v>
      </c>
      <c r="G425" t="s">
        <v>401</v>
      </c>
      <c r="I425" s="16">
        <v>5.52</v>
      </c>
      <c r="J425" s="16">
        <v>5.52</v>
      </c>
      <c r="K425" s="16">
        <v>0</v>
      </c>
      <c r="L425" s="159">
        <f t="shared" si="33"/>
        <v>1</v>
      </c>
      <c r="M425" s="159">
        <f t="shared" si="33"/>
        <v>0</v>
      </c>
    </row>
    <row r="426" spans="2:13">
      <c r="B426" t="s">
        <v>158</v>
      </c>
      <c r="C426">
        <f t="shared" si="35"/>
        <v>103</v>
      </c>
      <c r="D426" t="str">
        <f t="shared" si="31"/>
        <v>LENS103</v>
      </c>
      <c r="E426" t="s">
        <v>159</v>
      </c>
      <c r="F426" t="str">
        <f t="shared" si="32"/>
        <v>LENS103</v>
      </c>
      <c r="G426" t="s">
        <v>283</v>
      </c>
      <c r="I426" s="16">
        <v>5.48</v>
      </c>
      <c r="J426" s="16">
        <v>0</v>
      </c>
      <c r="K426" s="16">
        <v>0</v>
      </c>
      <c r="L426" s="159">
        <f t="shared" si="33"/>
        <v>0</v>
      </c>
      <c r="M426" s="159">
        <f t="shared" si="33"/>
        <v>0</v>
      </c>
    </row>
    <row r="427" spans="2:13">
      <c r="B427" t="s">
        <v>158</v>
      </c>
      <c r="C427">
        <f t="shared" si="35"/>
        <v>104</v>
      </c>
      <c r="D427" t="str">
        <f t="shared" si="31"/>
        <v>LENS104</v>
      </c>
      <c r="E427" t="s">
        <v>159</v>
      </c>
      <c r="F427" t="str">
        <f t="shared" si="32"/>
        <v>LENS104</v>
      </c>
      <c r="G427" t="s">
        <v>313</v>
      </c>
      <c r="I427" s="16">
        <v>5.33</v>
      </c>
      <c r="J427" s="16">
        <v>5.33</v>
      </c>
      <c r="K427" s="16">
        <v>0</v>
      </c>
      <c r="L427" s="159">
        <f t="shared" si="33"/>
        <v>1</v>
      </c>
      <c r="M427" s="159">
        <f t="shared" si="33"/>
        <v>0</v>
      </c>
    </row>
    <row r="428" spans="2:13">
      <c r="B428" t="s">
        <v>158</v>
      </c>
      <c r="C428">
        <f t="shared" si="35"/>
        <v>105</v>
      </c>
      <c r="D428" t="str">
        <f t="shared" si="31"/>
        <v>LENS105</v>
      </c>
      <c r="E428" t="s">
        <v>159</v>
      </c>
      <c r="F428" t="str">
        <f t="shared" si="32"/>
        <v>LENS105</v>
      </c>
      <c r="G428" t="s">
        <v>438</v>
      </c>
      <c r="I428" s="16">
        <v>4.74</v>
      </c>
      <c r="J428" s="16">
        <v>0</v>
      </c>
      <c r="K428" s="16">
        <v>0</v>
      </c>
      <c r="L428" s="159">
        <f t="shared" si="33"/>
        <v>0</v>
      </c>
      <c r="M428" s="159">
        <f t="shared" si="33"/>
        <v>0</v>
      </c>
    </row>
    <row r="429" spans="2:13">
      <c r="B429" t="s">
        <v>158</v>
      </c>
      <c r="C429">
        <f t="shared" si="35"/>
        <v>106</v>
      </c>
      <c r="D429" t="str">
        <f t="shared" si="31"/>
        <v>LENS106</v>
      </c>
      <c r="E429" t="s">
        <v>159</v>
      </c>
      <c r="F429" t="str">
        <f t="shared" si="32"/>
        <v>LENS106</v>
      </c>
      <c r="G429" t="s">
        <v>346</v>
      </c>
      <c r="I429" s="16">
        <v>4.6500000000000004</v>
      </c>
      <c r="J429" s="16">
        <v>0</v>
      </c>
      <c r="K429" s="16">
        <v>0</v>
      </c>
      <c r="L429" s="159">
        <f t="shared" si="33"/>
        <v>0</v>
      </c>
      <c r="M429" s="159">
        <f t="shared" si="33"/>
        <v>0</v>
      </c>
    </row>
    <row r="430" spans="2:13">
      <c r="B430" t="s">
        <v>158</v>
      </c>
      <c r="C430">
        <f t="shared" si="35"/>
        <v>107</v>
      </c>
      <c r="D430" t="str">
        <f t="shared" si="31"/>
        <v>LENS107</v>
      </c>
      <c r="E430" t="s">
        <v>159</v>
      </c>
      <c r="F430" t="str">
        <f t="shared" si="32"/>
        <v>LENS107</v>
      </c>
      <c r="G430" t="s">
        <v>279</v>
      </c>
      <c r="I430" s="16">
        <v>4.46</v>
      </c>
      <c r="J430" s="16">
        <v>0</v>
      </c>
      <c r="K430" s="16">
        <v>0</v>
      </c>
      <c r="L430" s="159">
        <f t="shared" si="33"/>
        <v>0</v>
      </c>
      <c r="M430" s="159">
        <f t="shared" si="33"/>
        <v>0</v>
      </c>
    </row>
    <row r="431" spans="2:13">
      <c r="B431" t="s">
        <v>158</v>
      </c>
      <c r="C431">
        <f t="shared" si="35"/>
        <v>108</v>
      </c>
      <c r="D431" t="str">
        <f t="shared" si="31"/>
        <v>LENS108</v>
      </c>
      <c r="E431" t="s">
        <v>159</v>
      </c>
      <c r="F431" t="str">
        <f t="shared" si="32"/>
        <v>LENS108</v>
      </c>
      <c r="G431" t="s">
        <v>378</v>
      </c>
      <c r="I431" s="16">
        <v>4.3099999999999996</v>
      </c>
      <c r="J431" s="16">
        <v>4.3099999999999996</v>
      </c>
      <c r="K431" s="16">
        <v>0</v>
      </c>
      <c r="L431" s="159">
        <f t="shared" si="33"/>
        <v>1</v>
      </c>
      <c r="M431" s="159">
        <f t="shared" si="33"/>
        <v>0</v>
      </c>
    </row>
    <row r="432" spans="2:13">
      <c r="B432" t="s">
        <v>158</v>
      </c>
      <c r="C432">
        <f t="shared" si="35"/>
        <v>109</v>
      </c>
      <c r="D432" t="str">
        <f t="shared" si="31"/>
        <v>LENS109</v>
      </c>
      <c r="E432" t="s">
        <v>159</v>
      </c>
      <c r="F432" t="str">
        <f t="shared" si="32"/>
        <v>LENS109</v>
      </c>
      <c r="G432" t="s">
        <v>363</v>
      </c>
      <c r="I432" s="16">
        <v>4.17</v>
      </c>
      <c r="J432" s="16">
        <v>3.17</v>
      </c>
      <c r="K432" s="16">
        <v>0</v>
      </c>
      <c r="L432" s="159">
        <f t="shared" si="33"/>
        <v>0.76019184652278182</v>
      </c>
      <c r="M432" s="159">
        <f t="shared" si="33"/>
        <v>0</v>
      </c>
    </row>
    <row r="433" spans="2:13">
      <c r="B433" t="s">
        <v>158</v>
      </c>
      <c r="C433">
        <f t="shared" si="35"/>
        <v>110</v>
      </c>
      <c r="D433" t="str">
        <f t="shared" si="31"/>
        <v>LENS110</v>
      </c>
      <c r="E433" t="s">
        <v>159</v>
      </c>
      <c r="F433" t="str">
        <f t="shared" si="32"/>
        <v>LENS110</v>
      </c>
      <c r="G433" t="s">
        <v>339</v>
      </c>
      <c r="I433" s="16">
        <v>3.49</v>
      </c>
      <c r="J433" s="16">
        <v>0</v>
      </c>
      <c r="K433" s="16">
        <v>0</v>
      </c>
      <c r="L433" s="159">
        <f t="shared" si="33"/>
        <v>0</v>
      </c>
      <c r="M433" s="159">
        <f t="shared" si="33"/>
        <v>0</v>
      </c>
    </row>
    <row r="434" spans="2:13">
      <c r="B434" t="s">
        <v>158</v>
      </c>
      <c r="C434">
        <f t="shared" si="35"/>
        <v>111</v>
      </c>
      <c r="D434" t="str">
        <f t="shared" si="31"/>
        <v>LENS111</v>
      </c>
      <c r="E434" t="s">
        <v>159</v>
      </c>
      <c r="F434" t="str">
        <f t="shared" si="32"/>
        <v>LENS111</v>
      </c>
      <c r="G434" t="s">
        <v>306</v>
      </c>
      <c r="H434" t="s">
        <v>307</v>
      </c>
      <c r="I434" s="16">
        <v>3.26</v>
      </c>
      <c r="J434" s="16">
        <v>0</v>
      </c>
      <c r="K434" s="16">
        <v>0</v>
      </c>
      <c r="L434" s="159">
        <f t="shared" si="33"/>
        <v>0</v>
      </c>
      <c r="M434" s="159">
        <f t="shared" si="33"/>
        <v>0</v>
      </c>
    </row>
    <row r="435" spans="2:13">
      <c r="B435" t="s">
        <v>158</v>
      </c>
      <c r="C435">
        <f t="shared" si="35"/>
        <v>112</v>
      </c>
      <c r="D435" t="str">
        <f t="shared" si="31"/>
        <v>LENS112</v>
      </c>
      <c r="E435" t="s">
        <v>159</v>
      </c>
      <c r="F435" t="str">
        <f t="shared" si="32"/>
        <v>LENS112</v>
      </c>
      <c r="G435" t="s">
        <v>370</v>
      </c>
      <c r="I435" s="16">
        <v>2.48</v>
      </c>
      <c r="J435" s="16">
        <v>2.48</v>
      </c>
      <c r="K435" s="16">
        <v>0</v>
      </c>
      <c r="L435" s="159">
        <f t="shared" si="33"/>
        <v>1</v>
      </c>
      <c r="M435" s="159">
        <f t="shared" si="33"/>
        <v>0</v>
      </c>
    </row>
    <row r="436" spans="2:13">
      <c r="B436" t="s">
        <v>158</v>
      </c>
      <c r="C436">
        <f t="shared" si="35"/>
        <v>113</v>
      </c>
      <c r="D436" t="str">
        <f t="shared" si="31"/>
        <v>LENS113</v>
      </c>
      <c r="E436" t="s">
        <v>159</v>
      </c>
      <c r="F436" t="str">
        <f t="shared" si="32"/>
        <v>LENS113</v>
      </c>
      <c r="G436" t="s">
        <v>441</v>
      </c>
      <c r="I436" s="16">
        <v>2.41</v>
      </c>
      <c r="J436" s="16">
        <v>2.41</v>
      </c>
      <c r="K436" s="16">
        <v>0</v>
      </c>
      <c r="L436" s="159">
        <f t="shared" si="33"/>
        <v>1</v>
      </c>
      <c r="M436" s="159">
        <f t="shared" si="33"/>
        <v>0</v>
      </c>
    </row>
    <row r="437" spans="2:13">
      <c r="B437" t="s">
        <v>158</v>
      </c>
      <c r="C437">
        <f t="shared" si="35"/>
        <v>114</v>
      </c>
      <c r="D437" t="str">
        <f t="shared" si="31"/>
        <v>LENS114</v>
      </c>
      <c r="E437" t="s">
        <v>159</v>
      </c>
      <c r="F437" t="str">
        <f t="shared" si="32"/>
        <v>LENS114</v>
      </c>
      <c r="G437" t="s">
        <v>362</v>
      </c>
      <c r="H437" t="s">
        <v>943</v>
      </c>
      <c r="I437" s="16">
        <v>2.34</v>
      </c>
      <c r="J437" s="16">
        <v>0</v>
      </c>
      <c r="K437" s="16">
        <v>0</v>
      </c>
      <c r="L437" s="159">
        <f t="shared" si="33"/>
        <v>0</v>
      </c>
      <c r="M437" s="159">
        <f t="shared" si="33"/>
        <v>0</v>
      </c>
    </row>
    <row r="438" spans="2:13">
      <c r="B438" t="s">
        <v>158</v>
      </c>
      <c r="C438">
        <f t="shared" si="35"/>
        <v>115</v>
      </c>
      <c r="D438" t="str">
        <f t="shared" si="31"/>
        <v>LENS115</v>
      </c>
      <c r="E438" t="s">
        <v>159</v>
      </c>
      <c r="F438" t="str">
        <f t="shared" si="32"/>
        <v>LENS115</v>
      </c>
      <c r="G438" t="s">
        <v>288</v>
      </c>
      <c r="I438" s="16">
        <v>2.29</v>
      </c>
      <c r="J438" s="16">
        <v>2.29</v>
      </c>
      <c r="K438" s="16">
        <v>0</v>
      </c>
      <c r="L438" s="159">
        <f t="shared" si="33"/>
        <v>1</v>
      </c>
      <c r="M438" s="159">
        <f t="shared" si="33"/>
        <v>0</v>
      </c>
    </row>
    <row r="439" spans="2:13">
      <c r="B439" t="s">
        <v>158</v>
      </c>
      <c r="C439">
        <f t="shared" si="35"/>
        <v>115</v>
      </c>
      <c r="D439" t="str">
        <f t="shared" si="31"/>
        <v>LENS115</v>
      </c>
      <c r="E439" t="s">
        <v>159</v>
      </c>
      <c r="F439" t="str">
        <f t="shared" si="32"/>
        <v>LENS115</v>
      </c>
      <c r="G439" t="s">
        <v>404</v>
      </c>
      <c r="I439" s="16">
        <v>2.29</v>
      </c>
      <c r="J439" s="16">
        <v>0</v>
      </c>
      <c r="K439" s="16">
        <v>0</v>
      </c>
      <c r="L439" s="159">
        <f t="shared" si="33"/>
        <v>0</v>
      </c>
      <c r="M439" s="159">
        <f t="shared" si="33"/>
        <v>0</v>
      </c>
    </row>
    <row r="440" spans="2:13">
      <c r="B440" t="s">
        <v>158</v>
      </c>
      <c r="C440">
        <f t="shared" si="35"/>
        <v>117</v>
      </c>
      <c r="D440" t="str">
        <f t="shared" si="31"/>
        <v>LENS117</v>
      </c>
      <c r="E440" t="s">
        <v>159</v>
      </c>
      <c r="F440" t="str">
        <f t="shared" si="32"/>
        <v>LENS117</v>
      </c>
      <c r="G440" t="s">
        <v>407</v>
      </c>
      <c r="I440" s="16">
        <v>2.16</v>
      </c>
      <c r="J440" s="16">
        <v>2.16</v>
      </c>
      <c r="K440" s="16">
        <v>0</v>
      </c>
      <c r="L440" s="159">
        <f t="shared" si="33"/>
        <v>1</v>
      </c>
      <c r="M440" s="159">
        <f t="shared" si="33"/>
        <v>0</v>
      </c>
    </row>
    <row r="441" spans="2:13">
      <c r="B441" t="s">
        <v>158</v>
      </c>
      <c r="C441">
        <f t="shared" si="35"/>
        <v>118</v>
      </c>
      <c r="D441" t="str">
        <f t="shared" si="31"/>
        <v>LENS118</v>
      </c>
      <c r="E441" t="s">
        <v>159</v>
      </c>
      <c r="F441" t="str">
        <f t="shared" si="32"/>
        <v>LENS118</v>
      </c>
      <c r="G441" t="s">
        <v>448</v>
      </c>
      <c r="I441" s="16">
        <v>1.98</v>
      </c>
      <c r="J441" s="16">
        <v>0</v>
      </c>
      <c r="K441" s="16">
        <v>0</v>
      </c>
      <c r="L441" s="159">
        <f t="shared" si="33"/>
        <v>0</v>
      </c>
      <c r="M441" s="159">
        <f t="shared" si="33"/>
        <v>0</v>
      </c>
    </row>
    <row r="442" spans="2:13">
      <c r="B442" t="s">
        <v>158</v>
      </c>
      <c r="C442">
        <f t="shared" si="35"/>
        <v>120</v>
      </c>
      <c r="D442" t="str">
        <f t="shared" si="31"/>
        <v>LENS120</v>
      </c>
      <c r="E442" t="s">
        <v>159</v>
      </c>
      <c r="F442" t="str">
        <f t="shared" si="32"/>
        <v>LENS120</v>
      </c>
      <c r="G442" t="s">
        <v>290</v>
      </c>
      <c r="H442" t="s">
        <v>291</v>
      </c>
      <c r="I442" s="16">
        <v>1.34</v>
      </c>
      <c r="J442" s="16">
        <v>0</v>
      </c>
      <c r="K442" s="16">
        <v>0</v>
      </c>
      <c r="L442" s="159">
        <f t="shared" si="33"/>
        <v>0</v>
      </c>
      <c r="M442" s="159">
        <f t="shared" si="33"/>
        <v>0</v>
      </c>
    </row>
    <row r="443" spans="2:13">
      <c r="B443" t="s">
        <v>158</v>
      </c>
      <c r="C443">
        <f t="shared" si="35"/>
        <v>121</v>
      </c>
      <c r="D443" t="str">
        <f t="shared" si="31"/>
        <v>LENS121</v>
      </c>
      <c r="E443" t="s">
        <v>159</v>
      </c>
      <c r="F443" t="str">
        <f t="shared" si="32"/>
        <v>LENS121</v>
      </c>
      <c r="G443" t="s">
        <v>377</v>
      </c>
      <c r="I443" s="16">
        <v>1.1100000000000001</v>
      </c>
      <c r="J443" s="16">
        <v>0</v>
      </c>
      <c r="K443" s="16">
        <v>0</v>
      </c>
      <c r="L443" s="159">
        <f t="shared" si="33"/>
        <v>0</v>
      </c>
      <c r="M443" s="159">
        <f t="shared" si="33"/>
        <v>0</v>
      </c>
    </row>
    <row r="444" spans="2:13">
      <c r="B444" t="s">
        <v>158</v>
      </c>
      <c r="C444">
        <f t="shared" si="35"/>
        <v>122</v>
      </c>
      <c r="D444" t="str">
        <f t="shared" si="31"/>
        <v>LENS122</v>
      </c>
      <c r="E444" t="s">
        <v>159</v>
      </c>
      <c r="F444" t="str">
        <f t="shared" si="32"/>
        <v>LENS122</v>
      </c>
      <c r="G444" t="s">
        <v>366</v>
      </c>
      <c r="I444" s="16">
        <v>1.1000000000000001</v>
      </c>
      <c r="J444" s="16">
        <v>0</v>
      </c>
      <c r="K444" s="16">
        <v>0</v>
      </c>
      <c r="L444" s="159">
        <f t="shared" si="33"/>
        <v>0</v>
      </c>
      <c r="M444" s="159">
        <f t="shared" si="33"/>
        <v>0</v>
      </c>
    </row>
    <row r="445" spans="2:13">
      <c r="B445" t="s">
        <v>158</v>
      </c>
      <c r="C445">
        <f t="shared" si="35"/>
        <v>122</v>
      </c>
      <c r="D445" t="str">
        <f t="shared" si="31"/>
        <v>LENS122</v>
      </c>
      <c r="E445" t="s">
        <v>159</v>
      </c>
      <c r="F445" t="str">
        <f t="shared" si="32"/>
        <v>LENS122</v>
      </c>
      <c r="G445" t="s">
        <v>334</v>
      </c>
      <c r="H445" t="s">
        <v>946</v>
      </c>
      <c r="I445" s="16">
        <v>1.1000000000000001</v>
      </c>
      <c r="J445" s="16">
        <v>0</v>
      </c>
      <c r="K445" s="16">
        <v>0</v>
      </c>
      <c r="L445" s="159">
        <f t="shared" si="33"/>
        <v>0</v>
      </c>
      <c r="M445" s="159">
        <f t="shared" si="33"/>
        <v>0</v>
      </c>
    </row>
    <row r="446" spans="2:13">
      <c r="B446" t="s">
        <v>158</v>
      </c>
      <c r="C446">
        <f t="shared" si="35"/>
        <v>124</v>
      </c>
      <c r="D446" t="str">
        <f t="shared" si="31"/>
        <v>LENS124</v>
      </c>
      <c r="E446" t="s">
        <v>159</v>
      </c>
      <c r="F446" t="str">
        <f t="shared" si="32"/>
        <v>LENS124</v>
      </c>
      <c r="G446" t="s">
        <v>416</v>
      </c>
      <c r="I446" s="16">
        <v>1.03</v>
      </c>
      <c r="J446" s="16">
        <v>0</v>
      </c>
      <c r="K446" s="16">
        <v>1.03</v>
      </c>
      <c r="L446" s="159">
        <f t="shared" si="33"/>
        <v>0</v>
      </c>
      <c r="M446" s="159">
        <f t="shared" si="33"/>
        <v>1</v>
      </c>
    </row>
    <row r="447" spans="2:13">
      <c r="B447" t="s">
        <v>158</v>
      </c>
      <c r="C447">
        <f t="shared" si="35"/>
        <v>125</v>
      </c>
      <c r="D447" t="str">
        <f t="shared" si="31"/>
        <v>LENS125</v>
      </c>
      <c r="E447" t="s">
        <v>159</v>
      </c>
      <c r="F447" t="str">
        <f t="shared" si="32"/>
        <v>LENS125</v>
      </c>
      <c r="G447" t="s">
        <v>349</v>
      </c>
      <c r="I447" s="16">
        <v>1</v>
      </c>
      <c r="J447" s="16">
        <v>1</v>
      </c>
      <c r="K447" s="16">
        <v>0</v>
      </c>
      <c r="L447" s="159">
        <f t="shared" si="33"/>
        <v>1</v>
      </c>
      <c r="M447" s="159">
        <f t="shared" si="33"/>
        <v>0</v>
      </c>
    </row>
    <row r="448" spans="2:13">
      <c r="B448" t="s">
        <v>161</v>
      </c>
      <c r="C448">
        <f t="shared" ref="C448:C479" si="36">RANK(I448,$I$447:$I$617,0)</f>
        <v>1</v>
      </c>
      <c r="D448" t="str">
        <f t="shared" si="31"/>
        <v>STRASBOURG1</v>
      </c>
      <c r="E448" t="s">
        <v>162</v>
      </c>
      <c r="F448" t="str">
        <f t="shared" si="32"/>
        <v>STRASBOURG1</v>
      </c>
      <c r="G448" t="s">
        <v>216</v>
      </c>
      <c r="H448" t="s">
        <v>910</v>
      </c>
      <c r="I448" s="16">
        <v>1339.27</v>
      </c>
      <c r="J448" s="16">
        <v>230.7</v>
      </c>
      <c r="K448" s="16">
        <v>30</v>
      </c>
      <c r="L448" s="159">
        <f t="shared" si="33"/>
        <v>0.17225802116078162</v>
      </c>
      <c r="M448" s="159">
        <f t="shared" si="33"/>
        <v>2.2400262829750536E-2</v>
      </c>
    </row>
    <row r="449" spans="2:13">
      <c r="B449" t="s">
        <v>161</v>
      </c>
      <c r="C449">
        <f t="shared" si="36"/>
        <v>2</v>
      </c>
      <c r="D449" t="str">
        <f t="shared" si="31"/>
        <v>STRASBOURG2</v>
      </c>
      <c r="E449" t="s">
        <v>162</v>
      </c>
      <c r="F449" t="str">
        <f t="shared" si="32"/>
        <v>STRASBOURG2</v>
      </c>
      <c r="G449" t="s">
        <v>211</v>
      </c>
      <c r="H449" t="s">
        <v>908</v>
      </c>
      <c r="I449" s="16">
        <v>880.38</v>
      </c>
      <c r="J449" s="16">
        <v>137.43</v>
      </c>
      <c r="K449" s="16">
        <v>676.82</v>
      </c>
      <c r="L449" s="159">
        <f t="shared" si="33"/>
        <v>0.15610304641177675</v>
      </c>
      <c r="M449" s="159">
        <f t="shared" si="33"/>
        <v>0.76878166246393609</v>
      </c>
    </row>
    <row r="450" spans="2:13">
      <c r="B450" t="s">
        <v>161</v>
      </c>
      <c r="C450">
        <f t="shared" si="36"/>
        <v>3</v>
      </c>
      <c r="D450" t="str">
        <f t="shared" ref="D450:D513" si="37">CONCATENATE(E450,C450)</f>
        <v>STRASBOURG3</v>
      </c>
      <c r="E450" t="s">
        <v>162</v>
      </c>
      <c r="F450" t="str">
        <f t="shared" si="32"/>
        <v>STRASBOURG3</v>
      </c>
      <c r="G450" t="s">
        <v>224</v>
      </c>
      <c r="H450" t="s">
        <v>917</v>
      </c>
      <c r="I450" s="16">
        <v>697.94</v>
      </c>
      <c r="J450" s="16">
        <v>138.22999999999999</v>
      </c>
      <c r="K450" s="16">
        <v>106.91</v>
      </c>
      <c r="L450" s="159">
        <f t="shared" si="33"/>
        <v>0.19805427400636155</v>
      </c>
      <c r="M450" s="159">
        <f t="shared" si="33"/>
        <v>0.15317935639166688</v>
      </c>
    </row>
    <row r="451" spans="2:13">
      <c r="B451" t="s">
        <v>161</v>
      </c>
      <c r="C451">
        <f t="shared" si="36"/>
        <v>4</v>
      </c>
      <c r="D451" t="str">
        <f t="shared" si="37"/>
        <v>STRASBOURG4</v>
      </c>
      <c r="E451" t="s">
        <v>162</v>
      </c>
      <c r="F451" t="str">
        <f t="shared" ref="F451:F514" si="38">D451</f>
        <v>STRASBOURG4</v>
      </c>
      <c r="G451" t="s">
        <v>229</v>
      </c>
      <c r="H451" t="s">
        <v>921</v>
      </c>
      <c r="I451" s="16">
        <v>616.83000000000004</v>
      </c>
      <c r="J451" s="16">
        <v>127.76</v>
      </c>
      <c r="K451" s="16">
        <v>116.59</v>
      </c>
      <c r="L451" s="159">
        <f t="shared" ref="L451:M514" si="39">J451/$I451</f>
        <v>0.20712351863560463</v>
      </c>
      <c r="M451" s="159">
        <f t="shared" si="39"/>
        <v>0.18901480148501207</v>
      </c>
    </row>
    <row r="452" spans="2:13">
      <c r="B452" t="s">
        <v>161</v>
      </c>
      <c r="C452">
        <f t="shared" si="36"/>
        <v>5</v>
      </c>
      <c r="D452" t="str">
        <f t="shared" si="37"/>
        <v>STRASBOURG5</v>
      </c>
      <c r="E452" t="s">
        <v>162</v>
      </c>
      <c r="F452" t="str">
        <f t="shared" si="38"/>
        <v>STRASBOURG5</v>
      </c>
      <c r="G452" t="s">
        <v>225</v>
      </c>
      <c r="H452" t="s">
        <v>1779</v>
      </c>
      <c r="I452" s="16">
        <v>521.98</v>
      </c>
      <c r="J452" s="16">
        <v>218.7</v>
      </c>
      <c r="K452" s="16">
        <v>106.86</v>
      </c>
      <c r="L452" s="159">
        <f t="shared" si="39"/>
        <v>0.41898157017510246</v>
      </c>
      <c r="M452" s="159">
        <f t="shared" si="39"/>
        <v>0.20472048737499521</v>
      </c>
    </row>
    <row r="453" spans="2:13">
      <c r="B453" t="s">
        <v>161</v>
      </c>
      <c r="C453">
        <f t="shared" si="36"/>
        <v>6</v>
      </c>
      <c r="D453" t="str">
        <f t="shared" si="37"/>
        <v>STRASBOURG6</v>
      </c>
      <c r="E453" t="s">
        <v>162</v>
      </c>
      <c r="F453" t="str">
        <f t="shared" si="38"/>
        <v>STRASBOURG6</v>
      </c>
      <c r="G453" t="s">
        <v>208</v>
      </c>
      <c r="H453" t="s">
        <v>907</v>
      </c>
      <c r="I453" s="16">
        <v>499.18</v>
      </c>
      <c r="J453" s="16">
        <v>175.08</v>
      </c>
      <c r="K453" s="16">
        <v>155.43</v>
      </c>
      <c r="L453" s="159">
        <f t="shared" si="39"/>
        <v>0.35073520573740935</v>
      </c>
      <c r="M453" s="159">
        <f t="shared" si="39"/>
        <v>0.31137064786249452</v>
      </c>
    </row>
    <row r="454" spans="2:13">
      <c r="B454" t="s">
        <v>161</v>
      </c>
      <c r="C454">
        <f t="shared" si="36"/>
        <v>7</v>
      </c>
      <c r="D454" t="str">
        <f t="shared" si="37"/>
        <v>STRASBOURG7</v>
      </c>
      <c r="E454" t="s">
        <v>162</v>
      </c>
      <c r="F454" t="str">
        <f t="shared" si="38"/>
        <v>STRASBOURG7</v>
      </c>
      <c r="G454" t="s">
        <v>212</v>
      </c>
      <c r="H454" t="s">
        <v>909</v>
      </c>
      <c r="I454" s="16">
        <v>455.94</v>
      </c>
      <c r="J454" s="16">
        <v>34.69</v>
      </c>
      <c r="K454" s="16">
        <v>96.31</v>
      </c>
      <c r="L454" s="159">
        <f t="shared" si="39"/>
        <v>7.6084572531473438E-2</v>
      </c>
      <c r="M454" s="159">
        <f t="shared" si="39"/>
        <v>0.21123393428959952</v>
      </c>
    </row>
    <row r="455" spans="2:13">
      <c r="B455" t="s">
        <v>161</v>
      </c>
      <c r="C455">
        <f t="shared" si="36"/>
        <v>8</v>
      </c>
      <c r="D455" t="str">
        <f t="shared" si="37"/>
        <v>STRASBOURG8</v>
      </c>
      <c r="E455" t="s">
        <v>162</v>
      </c>
      <c r="F455" t="str">
        <f t="shared" si="38"/>
        <v>STRASBOURG8</v>
      </c>
      <c r="G455" t="s">
        <v>274</v>
      </c>
      <c r="H455" t="s">
        <v>275</v>
      </c>
      <c r="I455" s="16">
        <v>436.27</v>
      </c>
      <c r="J455" s="16">
        <v>27.27</v>
      </c>
      <c r="K455" s="16">
        <v>390.99</v>
      </c>
      <c r="L455" s="159">
        <f t="shared" si="39"/>
        <v>6.2507162995392759E-2</v>
      </c>
      <c r="M455" s="159">
        <f t="shared" si="39"/>
        <v>0.89621106195704503</v>
      </c>
    </row>
    <row r="456" spans="2:13">
      <c r="B456" t="s">
        <v>161</v>
      </c>
      <c r="C456">
        <f t="shared" si="36"/>
        <v>9</v>
      </c>
      <c r="D456" t="str">
        <f t="shared" si="37"/>
        <v>STRASBOURG9</v>
      </c>
      <c r="E456" t="s">
        <v>162</v>
      </c>
      <c r="F456" t="str">
        <f t="shared" si="38"/>
        <v>STRASBOURG9</v>
      </c>
      <c r="G456" t="s">
        <v>238</v>
      </c>
      <c r="H456" t="s">
        <v>924</v>
      </c>
      <c r="I456" s="16">
        <v>408.9</v>
      </c>
      <c r="J456" s="16">
        <v>16.62</v>
      </c>
      <c r="K456" s="16">
        <v>94.72</v>
      </c>
      <c r="L456" s="159">
        <f t="shared" si="39"/>
        <v>4.064563462949377E-2</v>
      </c>
      <c r="M456" s="159">
        <f t="shared" si="39"/>
        <v>0.23164587918806556</v>
      </c>
    </row>
    <row r="457" spans="2:13">
      <c r="B457" t="s">
        <v>161</v>
      </c>
      <c r="C457">
        <f t="shared" si="36"/>
        <v>10</v>
      </c>
      <c r="D457" t="str">
        <f t="shared" si="37"/>
        <v>STRASBOURG10</v>
      </c>
      <c r="E457" t="s">
        <v>162</v>
      </c>
      <c r="F457" t="str">
        <f t="shared" si="38"/>
        <v>STRASBOURG10</v>
      </c>
      <c r="G457" t="s">
        <v>207</v>
      </c>
      <c r="H457" t="s">
        <v>906</v>
      </c>
      <c r="I457" s="16">
        <v>393.78</v>
      </c>
      <c r="J457" s="16">
        <v>255.14</v>
      </c>
      <c r="K457" s="16">
        <v>242.9</v>
      </c>
      <c r="L457" s="159">
        <f t="shared" si="39"/>
        <v>0.64792523744222663</v>
      </c>
      <c r="M457" s="159">
        <f t="shared" si="39"/>
        <v>0.61684189141144807</v>
      </c>
    </row>
    <row r="458" spans="2:13">
      <c r="B458" t="s">
        <v>161</v>
      </c>
      <c r="C458">
        <f t="shared" si="36"/>
        <v>11</v>
      </c>
      <c r="D458" t="str">
        <f t="shared" si="37"/>
        <v>STRASBOURG11</v>
      </c>
      <c r="E458" t="s">
        <v>162</v>
      </c>
      <c r="F458" t="str">
        <f t="shared" si="38"/>
        <v>STRASBOURG11</v>
      </c>
      <c r="G458" t="s">
        <v>221</v>
      </c>
      <c r="H458" t="s">
        <v>914</v>
      </c>
      <c r="I458" s="16">
        <v>377.68</v>
      </c>
      <c r="J458" s="16">
        <v>32.99</v>
      </c>
      <c r="K458" s="16">
        <v>168.01</v>
      </c>
      <c r="L458" s="159">
        <f t="shared" si="39"/>
        <v>8.734907858504555E-2</v>
      </c>
      <c r="M458" s="159">
        <f t="shared" si="39"/>
        <v>0.44484748993857232</v>
      </c>
    </row>
    <row r="459" spans="2:13">
      <c r="B459" t="s">
        <v>161</v>
      </c>
      <c r="C459">
        <f t="shared" si="36"/>
        <v>12</v>
      </c>
      <c r="D459" t="str">
        <f t="shared" si="37"/>
        <v>STRASBOURG12</v>
      </c>
      <c r="E459" t="s">
        <v>162</v>
      </c>
      <c r="F459" t="str">
        <f t="shared" si="38"/>
        <v>STRASBOURG12</v>
      </c>
      <c r="G459" t="s">
        <v>354</v>
      </c>
      <c r="H459" t="s">
        <v>942</v>
      </c>
      <c r="I459" s="16">
        <v>372.02</v>
      </c>
      <c r="J459" s="16">
        <v>290.32</v>
      </c>
      <c r="K459" s="16">
        <v>6.14</v>
      </c>
      <c r="L459" s="159">
        <f t="shared" si="39"/>
        <v>0.78038815117466809</v>
      </c>
      <c r="M459" s="159">
        <f t="shared" si="39"/>
        <v>1.6504489005967422E-2</v>
      </c>
    </row>
    <row r="460" spans="2:13">
      <c r="B460" t="s">
        <v>161</v>
      </c>
      <c r="C460">
        <f t="shared" si="36"/>
        <v>13</v>
      </c>
      <c r="D460" t="str">
        <f t="shared" si="37"/>
        <v>STRASBOURG13</v>
      </c>
      <c r="E460" t="s">
        <v>162</v>
      </c>
      <c r="F460" t="str">
        <f t="shared" si="38"/>
        <v>STRASBOURG13</v>
      </c>
      <c r="G460" t="s">
        <v>220</v>
      </c>
      <c r="H460" t="s">
        <v>913</v>
      </c>
      <c r="I460" s="16">
        <v>368.97</v>
      </c>
      <c r="J460" s="16">
        <v>71.16</v>
      </c>
      <c r="K460" s="16">
        <v>15.88</v>
      </c>
      <c r="L460" s="159">
        <f t="shared" si="39"/>
        <v>0.19286120822831121</v>
      </c>
      <c r="M460" s="159">
        <f t="shared" si="39"/>
        <v>4.3038729435997507E-2</v>
      </c>
    </row>
    <row r="461" spans="2:13">
      <c r="B461" t="s">
        <v>161</v>
      </c>
      <c r="C461">
        <f t="shared" si="36"/>
        <v>14</v>
      </c>
      <c r="D461" t="str">
        <f t="shared" si="37"/>
        <v>STRASBOURG14</v>
      </c>
      <c r="E461" t="s">
        <v>162</v>
      </c>
      <c r="F461" t="str">
        <f t="shared" si="38"/>
        <v>STRASBOURG14</v>
      </c>
      <c r="G461" t="s">
        <v>223</v>
      </c>
      <c r="H461" t="s">
        <v>916</v>
      </c>
      <c r="I461" s="16">
        <v>335.89</v>
      </c>
      <c r="J461" s="16">
        <v>13.42</v>
      </c>
      <c r="K461" s="16">
        <v>87.32</v>
      </c>
      <c r="L461" s="159">
        <f t="shared" si="39"/>
        <v>3.9953556223763731E-2</v>
      </c>
      <c r="M461" s="159">
        <f t="shared" si="39"/>
        <v>0.2599660603173658</v>
      </c>
    </row>
    <row r="462" spans="2:13">
      <c r="B462" t="s">
        <v>161</v>
      </c>
      <c r="C462">
        <f t="shared" si="36"/>
        <v>15</v>
      </c>
      <c r="D462" t="str">
        <f t="shared" si="37"/>
        <v>STRASBOURG15</v>
      </c>
      <c r="E462" t="s">
        <v>162</v>
      </c>
      <c r="F462" t="str">
        <f t="shared" si="38"/>
        <v>STRASBOURG15</v>
      </c>
      <c r="G462" t="s">
        <v>228</v>
      </c>
      <c r="I462" s="16">
        <v>331.37</v>
      </c>
      <c r="J462" s="16">
        <v>66.180000000000007</v>
      </c>
      <c r="K462" s="16">
        <v>15.85</v>
      </c>
      <c r="L462" s="159">
        <f t="shared" si="39"/>
        <v>0.19971632917886353</v>
      </c>
      <c r="M462" s="159">
        <f t="shared" si="39"/>
        <v>4.7831728883121587E-2</v>
      </c>
    </row>
    <row r="463" spans="2:13">
      <c r="B463" t="s">
        <v>161</v>
      </c>
      <c r="C463">
        <f t="shared" si="36"/>
        <v>16</v>
      </c>
      <c r="D463" t="str">
        <f t="shared" si="37"/>
        <v>STRASBOURG16</v>
      </c>
      <c r="E463" t="s">
        <v>162</v>
      </c>
      <c r="F463" t="str">
        <f t="shared" si="38"/>
        <v>STRASBOURG16</v>
      </c>
      <c r="G463" t="s">
        <v>213</v>
      </c>
      <c r="H463" t="s">
        <v>919</v>
      </c>
      <c r="I463" s="16">
        <v>327.64999999999998</v>
      </c>
      <c r="J463" s="16">
        <v>161.75</v>
      </c>
      <c r="K463" s="16">
        <v>218.92</v>
      </c>
      <c r="L463" s="159">
        <f t="shared" si="39"/>
        <v>0.49366702273767743</v>
      </c>
      <c r="M463" s="159">
        <f t="shared" si="39"/>
        <v>0.66815199145429571</v>
      </c>
    </row>
    <row r="464" spans="2:13">
      <c r="B464" t="s">
        <v>161</v>
      </c>
      <c r="C464">
        <f t="shared" si="36"/>
        <v>17</v>
      </c>
      <c r="D464" t="str">
        <f t="shared" si="37"/>
        <v>STRASBOURG17</v>
      </c>
      <c r="E464" t="s">
        <v>162</v>
      </c>
      <c r="F464" t="str">
        <f t="shared" si="38"/>
        <v>STRASBOURG17</v>
      </c>
      <c r="G464" t="s">
        <v>234</v>
      </c>
      <c r="H464" t="s">
        <v>923</v>
      </c>
      <c r="I464" s="16">
        <v>325.81</v>
      </c>
      <c r="J464" s="16">
        <v>118.31</v>
      </c>
      <c r="K464" s="16">
        <v>33.200000000000003</v>
      </c>
      <c r="L464" s="159">
        <f t="shared" si="39"/>
        <v>0.36312574813541637</v>
      </c>
      <c r="M464" s="159">
        <f t="shared" si="39"/>
        <v>0.1018998802983334</v>
      </c>
    </row>
    <row r="465" spans="2:13">
      <c r="B465" t="s">
        <v>161</v>
      </c>
      <c r="C465">
        <f t="shared" si="36"/>
        <v>18</v>
      </c>
      <c r="D465" t="str">
        <f t="shared" si="37"/>
        <v>STRASBOURG18</v>
      </c>
      <c r="E465" t="s">
        <v>162</v>
      </c>
      <c r="F465" t="str">
        <f t="shared" si="38"/>
        <v>STRASBOURG18</v>
      </c>
      <c r="G465" t="s">
        <v>218</v>
      </c>
      <c r="H465" t="s">
        <v>911</v>
      </c>
      <c r="I465" s="16">
        <v>312.05</v>
      </c>
      <c r="J465" s="16">
        <v>73.17</v>
      </c>
      <c r="K465" s="16">
        <v>97.81</v>
      </c>
      <c r="L465" s="159">
        <f t="shared" si="39"/>
        <v>0.23448165358115686</v>
      </c>
      <c r="M465" s="159">
        <f t="shared" si="39"/>
        <v>0.31344335843614807</v>
      </c>
    </row>
    <row r="466" spans="2:13">
      <c r="B466" t="s">
        <v>161</v>
      </c>
      <c r="C466">
        <f t="shared" si="36"/>
        <v>19</v>
      </c>
      <c r="D466" t="str">
        <f t="shared" si="37"/>
        <v>STRASBOURG19</v>
      </c>
      <c r="E466" t="s">
        <v>162</v>
      </c>
      <c r="F466" t="str">
        <f t="shared" si="38"/>
        <v>STRASBOURG19</v>
      </c>
      <c r="G466" t="s">
        <v>232</v>
      </c>
      <c r="H466" t="s">
        <v>922</v>
      </c>
      <c r="I466" s="16">
        <v>299.36</v>
      </c>
      <c r="J466" s="16">
        <v>183.65</v>
      </c>
      <c r="K466" s="16">
        <v>69.19</v>
      </c>
      <c r="L466" s="159">
        <f t="shared" si="39"/>
        <v>0.61347541421699625</v>
      </c>
      <c r="M466" s="159">
        <f t="shared" si="39"/>
        <v>0.23112640299305182</v>
      </c>
    </row>
    <row r="467" spans="2:13">
      <c r="B467" t="s">
        <v>161</v>
      </c>
      <c r="C467">
        <f t="shared" si="36"/>
        <v>20</v>
      </c>
      <c r="D467" t="str">
        <f t="shared" si="37"/>
        <v>STRASBOURG20</v>
      </c>
      <c r="E467" t="s">
        <v>162</v>
      </c>
      <c r="F467" t="str">
        <f t="shared" si="38"/>
        <v>STRASBOURG20</v>
      </c>
      <c r="G467" t="s">
        <v>235</v>
      </c>
      <c r="H467" t="s">
        <v>236</v>
      </c>
      <c r="I467" s="16">
        <v>291.95</v>
      </c>
      <c r="J467" s="16">
        <v>20.2</v>
      </c>
      <c r="K467" s="16">
        <v>73.930000000000007</v>
      </c>
      <c r="L467" s="159">
        <f t="shared" si="39"/>
        <v>6.9189929782497009E-2</v>
      </c>
      <c r="M467" s="159">
        <f t="shared" si="39"/>
        <v>0.25322829251584178</v>
      </c>
    </row>
    <row r="468" spans="2:13">
      <c r="B468" t="s">
        <v>161</v>
      </c>
      <c r="C468">
        <f t="shared" si="36"/>
        <v>21</v>
      </c>
      <c r="D468" t="str">
        <f t="shared" si="37"/>
        <v>STRASBOURG21</v>
      </c>
      <c r="E468" t="s">
        <v>162</v>
      </c>
      <c r="F468" t="str">
        <f t="shared" si="38"/>
        <v>STRASBOURG21</v>
      </c>
      <c r="G468" t="s">
        <v>325</v>
      </c>
      <c r="H468" t="s">
        <v>938</v>
      </c>
      <c r="I468" s="16">
        <v>265.98</v>
      </c>
      <c r="J468" s="16">
        <v>6.52</v>
      </c>
      <c r="K468" s="16">
        <v>22.91</v>
      </c>
      <c r="L468" s="159">
        <f t="shared" si="39"/>
        <v>2.4513121287314834E-2</v>
      </c>
      <c r="M468" s="159">
        <f t="shared" si="39"/>
        <v>8.6134295811715167E-2</v>
      </c>
    </row>
    <row r="469" spans="2:13">
      <c r="B469" t="s">
        <v>161</v>
      </c>
      <c r="C469">
        <f t="shared" si="36"/>
        <v>22</v>
      </c>
      <c r="D469" t="str">
        <f t="shared" si="37"/>
        <v>STRASBOURG22</v>
      </c>
      <c r="E469" t="s">
        <v>162</v>
      </c>
      <c r="F469" t="str">
        <f t="shared" si="38"/>
        <v>STRASBOURG22</v>
      </c>
      <c r="G469" t="s">
        <v>219</v>
      </c>
      <c r="H469" t="s">
        <v>912</v>
      </c>
      <c r="I469" s="16">
        <v>261.42</v>
      </c>
      <c r="J469" s="16">
        <v>82.81</v>
      </c>
      <c r="K469" s="16">
        <v>83.96</v>
      </c>
      <c r="L469" s="159">
        <f t="shared" si="39"/>
        <v>0.31676994874148878</v>
      </c>
      <c r="M469" s="159">
        <f t="shared" si="39"/>
        <v>0.32116900007650517</v>
      </c>
    </row>
    <row r="470" spans="2:13">
      <c r="B470" t="s">
        <v>161</v>
      </c>
      <c r="C470">
        <f t="shared" si="36"/>
        <v>23</v>
      </c>
      <c r="D470" t="str">
        <f t="shared" si="37"/>
        <v>STRASBOURG23</v>
      </c>
      <c r="E470" t="s">
        <v>162</v>
      </c>
      <c r="F470" t="str">
        <f t="shared" si="38"/>
        <v>STRASBOURG23</v>
      </c>
      <c r="G470" t="s">
        <v>214</v>
      </c>
      <c r="H470" t="s">
        <v>215</v>
      </c>
      <c r="I470" s="16">
        <v>250.63</v>
      </c>
      <c r="J470" s="16">
        <v>107.45</v>
      </c>
      <c r="K470" s="16">
        <v>81.99</v>
      </c>
      <c r="L470" s="159">
        <f t="shared" si="39"/>
        <v>0.42871962654111639</v>
      </c>
      <c r="M470" s="159">
        <f t="shared" si="39"/>
        <v>0.32713561824203008</v>
      </c>
    </row>
    <row r="471" spans="2:13">
      <c r="B471" t="s">
        <v>161</v>
      </c>
      <c r="C471">
        <f t="shared" si="36"/>
        <v>24</v>
      </c>
      <c r="D471" t="str">
        <f t="shared" si="37"/>
        <v>STRASBOURG24</v>
      </c>
      <c r="E471" t="s">
        <v>162</v>
      </c>
      <c r="F471" t="str">
        <f t="shared" si="38"/>
        <v>STRASBOURG24</v>
      </c>
      <c r="G471" t="s">
        <v>222</v>
      </c>
      <c r="H471" t="s">
        <v>915</v>
      </c>
      <c r="I471" s="16">
        <v>244.19</v>
      </c>
      <c r="J471" s="16">
        <v>4</v>
      </c>
      <c r="K471" s="16">
        <v>35.36</v>
      </c>
      <c r="L471" s="159">
        <f t="shared" si="39"/>
        <v>1.6380687169826776E-2</v>
      </c>
      <c r="M471" s="159">
        <f t="shared" si="39"/>
        <v>0.14480527458126868</v>
      </c>
    </row>
    <row r="472" spans="2:13">
      <c r="B472" t="s">
        <v>161</v>
      </c>
      <c r="C472">
        <f t="shared" si="36"/>
        <v>25</v>
      </c>
      <c r="D472" t="str">
        <f t="shared" si="37"/>
        <v>STRASBOURG25</v>
      </c>
      <c r="E472" t="s">
        <v>162</v>
      </c>
      <c r="F472" t="str">
        <f t="shared" si="38"/>
        <v>STRASBOURG25</v>
      </c>
      <c r="G472" t="s">
        <v>249</v>
      </c>
      <c r="I472" s="16">
        <v>215.84</v>
      </c>
      <c r="J472" s="16">
        <v>2.74</v>
      </c>
      <c r="K472" s="16">
        <v>43.13</v>
      </c>
      <c r="L472" s="159">
        <f t="shared" si="39"/>
        <v>1.2694588584136399E-2</v>
      </c>
      <c r="M472" s="159">
        <f t="shared" si="39"/>
        <v>0.19982394366197184</v>
      </c>
    </row>
    <row r="473" spans="2:13">
      <c r="B473" t="s">
        <v>161</v>
      </c>
      <c r="C473">
        <f t="shared" si="36"/>
        <v>26</v>
      </c>
      <c r="D473" t="str">
        <f t="shared" si="37"/>
        <v>STRASBOURG26</v>
      </c>
      <c r="E473" t="s">
        <v>162</v>
      </c>
      <c r="F473" t="str">
        <f t="shared" si="38"/>
        <v>STRASBOURG26</v>
      </c>
      <c r="G473" t="s">
        <v>266</v>
      </c>
      <c r="H473" t="s">
        <v>267</v>
      </c>
      <c r="I473" s="16">
        <v>201.59</v>
      </c>
      <c r="J473" s="16">
        <v>88.64</v>
      </c>
      <c r="K473" s="16">
        <v>68.83</v>
      </c>
      <c r="L473" s="159">
        <f t="shared" si="39"/>
        <v>0.43970435041420702</v>
      </c>
      <c r="M473" s="159">
        <f t="shared" si="39"/>
        <v>0.34143558708269256</v>
      </c>
    </row>
    <row r="474" spans="2:13">
      <c r="B474" t="s">
        <v>161</v>
      </c>
      <c r="C474">
        <f t="shared" si="36"/>
        <v>27</v>
      </c>
      <c r="D474" t="str">
        <f t="shared" si="37"/>
        <v>STRASBOURG27</v>
      </c>
      <c r="E474" t="s">
        <v>162</v>
      </c>
      <c r="F474" t="str">
        <f t="shared" si="38"/>
        <v>STRASBOURG27</v>
      </c>
      <c r="G474" t="s">
        <v>260</v>
      </c>
      <c r="H474" t="s">
        <v>932</v>
      </c>
      <c r="I474" s="16">
        <v>181.41</v>
      </c>
      <c r="J474" s="16">
        <v>30.89</v>
      </c>
      <c r="K474" s="16">
        <v>1.94</v>
      </c>
      <c r="L474" s="159">
        <f t="shared" si="39"/>
        <v>0.17027727247671023</v>
      </c>
      <c r="M474" s="159">
        <f t="shared" si="39"/>
        <v>1.0694008048067912E-2</v>
      </c>
    </row>
    <row r="475" spans="2:13">
      <c r="B475" t="s">
        <v>161</v>
      </c>
      <c r="C475">
        <f t="shared" si="36"/>
        <v>28</v>
      </c>
      <c r="D475" t="str">
        <f t="shared" si="37"/>
        <v>STRASBOURG28</v>
      </c>
      <c r="E475" t="s">
        <v>162</v>
      </c>
      <c r="F475" t="str">
        <f t="shared" si="38"/>
        <v>STRASBOURG28</v>
      </c>
      <c r="G475" t="s">
        <v>303</v>
      </c>
      <c r="H475" t="s">
        <v>936</v>
      </c>
      <c r="I475" s="16">
        <v>180.58</v>
      </c>
      <c r="J475" s="16">
        <v>35.450000000000003</v>
      </c>
      <c r="K475" s="16">
        <v>1.94</v>
      </c>
      <c r="L475" s="159">
        <f t="shared" si="39"/>
        <v>0.19631188392956031</v>
      </c>
      <c r="M475" s="159">
        <f t="shared" si="39"/>
        <v>1.0743160925905415E-2</v>
      </c>
    </row>
    <row r="476" spans="2:13">
      <c r="B476" t="s">
        <v>161</v>
      </c>
      <c r="C476">
        <f t="shared" si="36"/>
        <v>29</v>
      </c>
      <c r="D476" t="str">
        <f t="shared" si="37"/>
        <v>STRASBOURG29</v>
      </c>
      <c r="E476" t="s">
        <v>162</v>
      </c>
      <c r="F476" t="str">
        <f t="shared" si="38"/>
        <v>STRASBOURG29</v>
      </c>
      <c r="G476" t="s">
        <v>290</v>
      </c>
      <c r="H476" t="s">
        <v>291</v>
      </c>
      <c r="I476" s="16">
        <v>147.74</v>
      </c>
      <c r="J476" s="16">
        <v>111.92</v>
      </c>
      <c r="K476" s="16">
        <v>6.28</v>
      </c>
      <c r="L476" s="159">
        <f t="shared" si="39"/>
        <v>0.75754704210098822</v>
      </c>
      <c r="M476" s="159">
        <f t="shared" si="39"/>
        <v>4.2507107080005414E-2</v>
      </c>
    </row>
    <row r="477" spans="2:13">
      <c r="B477" t="s">
        <v>161</v>
      </c>
      <c r="C477">
        <f t="shared" si="36"/>
        <v>30</v>
      </c>
      <c r="D477" t="str">
        <f t="shared" si="37"/>
        <v>STRASBOURG30</v>
      </c>
      <c r="E477" t="s">
        <v>162</v>
      </c>
      <c r="F477" t="str">
        <f t="shared" si="38"/>
        <v>STRASBOURG30</v>
      </c>
      <c r="G477" t="s">
        <v>402</v>
      </c>
      <c r="H477" t="s">
        <v>1790</v>
      </c>
      <c r="I477" s="16">
        <v>141.88</v>
      </c>
      <c r="J477" s="16">
        <v>66.349999999999994</v>
      </c>
      <c r="K477" s="16">
        <v>0</v>
      </c>
      <c r="L477" s="159">
        <f t="shared" si="39"/>
        <v>0.46764871722582463</v>
      </c>
      <c r="M477" s="159">
        <f t="shared" si="39"/>
        <v>0</v>
      </c>
    </row>
    <row r="478" spans="2:13">
      <c r="B478" t="s">
        <v>161</v>
      </c>
      <c r="C478">
        <f t="shared" si="36"/>
        <v>31</v>
      </c>
      <c r="D478" t="str">
        <f t="shared" si="37"/>
        <v>STRASBOURG31</v>
      </c>
      <c r="E478" t="s">
        <v>162</v>
      </c>
      <c r="F478" t="str">
        <f t="shared" si="38"/>
        <v>STRASBOURG31</v>
      </c>
      <c r="G478" t="s">
        <v>287</v>
      </c>
      <c r="I478" s="16">
        <v>141.79</v>
      </c>
      <c r="J478" s="16">
        <v>35.96</v>
      </c>
      <c r="K478" s="16">
        <v>10</v>
      </c>
      <c r="L478" s="159">
        <f t="shared" si="39"/>
        <v>0.25361450031737076</v>
      </c>
      <c r="M478" s="159">
        <f t="shared" si="39"/>
        <v>7.0526835460892875E-2</v>
      </c>
    </row>
    <row r="479" spans="2:13">
      <c r="B479" t="s">
        <v>161</v>
      </c>
      <c r="C479">
        <f t="shared" si="36"/>
        <v>32</v>
      </c>
      <c r="D479" t="str">
        <f t="shared" si="37"/>
        <v>STRASBOURG32</v>
      </c>
      <c r="E479" t="s">
        <v>162</v>
      </c>
      <c r="F479" t="str">
        <f t="shared" si="38"/>
        <v>STRASBOURG32</v>
      </c>
      <c r="G479" t="s">
        <v>244</v>
      </c>
      <c r="I479" s="16">
        <v>141.34</v>
      </c>
      <c r="J479" s="16">
        <v>116.27</v>
      </c>
      <c r="K479" s="16">
        <v>27.76</v>
      </c>
      <c r="L479" s="159">
        <f t="shared" si="39"/>
        <v>0.82262629121267861</v>
      </c>
      <c r="M479" s="159">
        <f t="shared" si="39"/>
        <v>0.19640582991368333</v>
      </c>
    </row>
    <row r="480" spans="2:13">
      <c r="B480" t="s">
        <v>161</v>
      </c>
      <c r="C480">
        <f t="shared" ref="C480:C511" si="40">RANK(I480,$I$447:$I$617,0)</f>
        <v>33</v>
      </c>
      <c r="D480" t="str">
        <f t="shared" si="37"/>
        <v>STRASBOURG33</v>
      </c>
      <c r="E480" t="s">
        <v>162</v>
      </c>
      <c r="F480" t="str">
        <f t="shared" si="38"/>
        <v>STRASBOURG33</v>
      </c>
      <c r="G480" t="s">
        <v>226</v>
      </c>
      <c r="H480" t="s">
        <v>227</v>
      </c>
      <c r="I480" s="16">
        <v>140.88999999999999</v>
      </c>
      <c r="J480" s="16">
        <v>13.95</v>
      </c>
      <c r="K480" s="16">
        <v>10</v>
      </c>
      <c r="L480" s="159">
        <f t="shared" si="39"/>
        <v>9.9013414720704102E-2</v>
      </c>
      <c r="M480" s="159">
        <f t="shared" si="39"/>
        <v>7.0977358222726952E-2</v>
      </c>
    </row>
    <row r="481" spans="2:13">
      <c r="B481" t="s">
        <v>161</v>
      </c>
      <c r="C481">
        <f t="shared" si="40"/>
        <v>34</v>
      </c>
      <c r="D481" t="str">
        <f t="shared" si="37"/>
        <v>STRASBOURG34</v>
      </c>
      <c r="E481" t="s">
        <v>162</v>
      </c>
      <c r="F481" t="str">
        <f t="shared" si="38"/>
        <v>STRASBOURG34</v>
      </c>
      <c r="G481" t="s">
        <v>302</v>
      </c>
      <c r="I481" s="16">
        <v>136.87</v>
      </c>
      <c r="J481" s="16">
        <v>11.89</v>
      </c>
      <c r="K481" s="16">
        <v>48.81</v>
      </c>
      <c r="L481" s="159">
        <f t="shared" si="39"/>
        <v>8.6870753269525827E-2</v>
      </c>
      <c r="M481" s="159">
        <f t="shared" si="39"/>
        <v>0.35661576678600132</v>
      </c>
    </row>
    <row r="482" spans="2:13">
      <c r="B482" t="s">
        <v>161</v>
      </c>
      <c r="C482">
        <f t="shared" si="40"/>
        <v>35</v>
      </c>
      <c r="D482" t="str">
        <f t="shared" si="37"/>
        <v>STRASBOURG35</v>
      </c>
      <c r="E482" t="s">
        <v>162</v>
      </c>
      <c r="F482" t="str">
        <f t="shared" si="38"/>
        <v>STRASBOURG35</v>
      </c>
      <c r="G482" t="s">
        <v>265</v>
      </c>
      <c r="I482" s="16">
        <v>136.51</v>
      </c>
      <c r="J482" s="16">
        <v>21.48</v>
      </c>
      <c r="K482" s="16">
        <v>50</v>
      </c>
      <c r="L482" s="159">
        <f t="shared" si="39"/>
        <v>0.15735110980880523</v>
      </c>
      <c r="M482" s="159">
        <f t="shared" si="39"/>
        <v>0.36627353307450006</v>
      </c>
    </row>
    <row r="483" spans="2:13">
      <c r="B483" t="s">
        <v>161</v>
      </c>
      <c r="C483">
        <f t="shared" si="40"/>
        <v>36</v>
      </c>
      <c r="D483" t="str">
        <f t="shared" si="37"/>
        <v>STRASBOURG36</v>
      </c>
      <c r="E483" t="s">
        <v>162</v>
      </c>
      <c r="F483" t="str">
        <f t="shared" si="38"/>
        <v>STRASBOURG36</v>
      </c>
      <c r="G483" t="s">
        <v>334</v>
      </c>
      <c r="H483" t="s">
        <v>946</v>
      </c>
      <c r="I483" s="16">
        <v>134.74</v>
      </c>
      <c r="J483" s="16">
        <v>10</v>
      </c>
      <c r="K483" s="16">
        <v>134.74</v>
      </c>
      <c r="L483" s="159">
        <f t="shared" si="39"/>
        <v>7.4217010538815492E-2</v>
      </c>
      <c r="M483" s="159">
        <f t="shared" si="39"/>
        <v>1</v>
      </c>
    </row>
    <row r="484" spans="2:13">
      <c r="B484" t="s">
        <v>161</v>
      </c>
      <c r="C484">
        <f t="shared" si="40"/>
        <v>37</v>
      </c>
      <c r="D484" t="str">
        <f t="shared" si="37"/>
        <v>STRASBOURG37</v>
      </c>
      <c r="E484" t="s">
        <v>162</v>
      </c>
      <c r="F484" t="str">
        <f t="shared" si="38"/>
        <v>STRASBOURG37</v>
      </c>
      <c r="G484" t="s">
        <v>270</v>
      </c>
      <c r="I484" s="16">
        <v>130.29</v>
      </c>
      <c r="J484" s="16">
        <v>64.52</v>
      </c>
      <c r="K484" s="16">
        <v>0</v>
      </c>
      <c r="L484" s="159">
        <f t="shared" si="39"/>
        <v>0.4952030086729603</v>
      </c>
      <c r="M484" s="159">
        <f t="shared" si="39"/>
        <v>0</v>
      </c>
    </row>
    <row r="485" spans="2:13">
      <c r="B485" t="s">
        <v>161</v>
      </c>
      <c r="C485">
        <f t="shared" si="40"/>
        <v>38</v>
      </c>
      <c r="D485" t="str">
        <f t="shared" si="37"/>
        <v>STRASBOURG38</v>
      </c>
      <c r="E485" t="s">
        <v>162</v>
      </c>
      <c r="F485" t="str">
        <f t="shared" si="38"/>
        <v>STRASBOURG38</v>
      </c>
      <c r="G485" t="s">
        <v>251</v>
      </c>
      <c r="H485" t="s">
        <v>929</v>
      </c>
      <c r="I485" s="16">
        <v>120.71</v>
      </c>
      <c r="J485" s="16">
        <v>62.24</v>
      </c>
      <c r="K485" s="16">
        <v>14.4</v>
      </c>
      <c r="L485" s="159">
        <f t="shared" si="39"/>
        <v>0.51561593902742109</v>
      </c>
      <c r="M485" s="159">
        <f t="shared" si="39"/>
        <v>0.11929417612459615</v>
      </c>
    </row>
    <row r="486" spans="2:13">
      <c r="B486" t="s">
        <v>161</v>
      </c>
      <c r="C486">
        <f t="shared" si="40"/>
        <v>39</v>
      </c>
      <c r="D486" t="str">
        <f t="shared" si="37"/>
        <v>STRASBOURG39</v>
      </c>
      <c r="E486" t="s">
        <v>162</v>
      </c>
      <c r="F486" t="str">
        <f t="shared" si="38"/>
        <v>STRASBOURG39</v>
      </c>
      <c r="G486" t="s">
        <v>242</v>
      </c>
      <c r="H486" t="s">
        <v>243</v>
      </c>
      <c r="I486" s="16">
        <v>119.29</v>
      </c>
      <c r="J486" s="16">
        <v>10</v>
      </c>
      <c r="K486" s="16">
        <v>0</v>
      </c>
      <c r="L486" s="159">
        <f t="shared" si="39"/>
        <v>8.3829323497359373E-2</v>
      </c>
      <c r="M486" s="159">
        <f t="shared" si="39"/>
        <v>0</v>
      </c>
    </row>
    <row r="487" spans="2:13">
      <c r="B487" t="s">
        <v>161</v>
      </c>
      <c r="C487">
        <f t="shared" si="40"/>
        <v>40</v>
      </c>
      <c r="D487" t="str">
        <f t="shared" si="37"/>
        <v>STRASBOURG40</v>
      </c>
      <c r="E487" t="s">
        <v>162</v>
      </c>
      <c r="F487" t="str">
        <f t="shared" si="38"/>
        <v>STRASBOURG40</v>
      </c>
      <c r="G487" t="s">
        <v>246</v>
      </c>
      <c r="H487" t="s">
        <v>928</v>
      </c>
      <c r="I487" s="16">
        <v>113.56</v>
      </c>
      <c r="J487" s="16">
        <v>43.55</v>
      </c>
      <c r="K487" s="16">
        <v>38.07</v>
      </c>
      <c r="L487" s="159">
        <f t="shared" si="39"/>
        <v>0.38349771046143005</v>
      </c>
      <c r="M487" s="159">
        <f t="shared" si="39"/>
        <v>0.33524128214159915</v>
      </c>
    </row>
    <row r="488" spans="2:13">
      <c r="B488" t="s">
        <v>161</v>
      </c>
      <c r="C488">
        <f t="shared" si="40"/>
        <v>41</v>
      </c>
      <c r="D488" t="str">
        <f t="shared" si="37"/>
        <v>STRASBOURG41</v>
      </c>
      <c r="E488" t="s">
        <v>162</v>
      </c>
      <c r="F488" t="str">
        <f t="shared" si="38"/>
        <v>STRASBOURG41</v>
      </c>
      <c r="G488" t="s">
        <v>239</v>
      </c>
      <c r="H488" t="s">
        <v>925</v>
      </c>
      <c r="I488" s="16">
        <v>113.37</v>
      </c>
      <c r="J488" s="16">
        <v>56.68</v>
      </c>
      <c r="K488" s="16">
        <v>64.92</v>
      </c>
      <c r="L488" s="159">
        <f t="shared" si="39"/>
        <v>0.49995589662168122</v>
      </c>
      <c r="M488" s="159">
        <f t="shared" si="39"/>
        <v>0.57263826409102936</v>
      </c>
    </row>
    <row r="489" spans="2:13">
      <c r="B489" t="s">
        <v>161</v>
      </c>
      <c r="C489">
        <f t="shared" si="40"/>
        <v>42</v>
      </c>
      <c r="D489" t="str">
        <f t="shared" si="37"/>
        <v>STRASBOURG42</v>
      </c>
      <c r="E489" t="s">
        <v>162</v>
      </c>
      <c r="F489" t="str">
        <f t="shared" si="38"/>
        <v>STRASBOURG42</v>
      </c>
      <c r="G489" t="s">
        <v>293</v>
      </c>
      <c r="I489" s="16">
        <v>112.24</v>
      </c>
      <c r="J489" s="16">
        <v>33.18</v>
      </c>
      <c r="K489" s="16">
        <v>51.94</v>
      </c>
      <c r="L489" s="159">
        <f t="shared" si="39"/>
        <v>0.29561653599429794</v>
      </c>
      <c r="M489" s="159">
        <f t="shared" si="39"/>
        <v>0.46275837491090521</v>
      </c>
    </row>
    <row r="490" spans="2:13">
      <c r="B490" t="s">
        <v>161</v>
      </c>
      <c r="C490">
        <f t="shared" si="40"/>
        <v>43</v>
      </c>
      <c r="D490" t="str">
        <f t="shared" si="37"/>
        <v>STRASBOURG43</v>
      </c>
      <c r="E490" t="s">
        <v>162</v>
      </c>
      <c r="F490" t="str">
        <f t="shared" si="38"/>
        <v>STRASBOURG43</v>
      </c>
      <c r="G490" t="s">
        <v>386</v>
      </c>
      <c r="I490" s="16">
        <v>103.52</v>
      </c>
      <c r="J490" s="16">
        <v>24.7</v>
      </c>
      <c r="K490" s="16">
        <v>68.44</v>
      </c>
      <c r="L490" s="159">
        <f t="shared" si="39"/>
        <v>0.23860123647604328</v>
      </c>
      <c r="M490" s="159">
        <f t="shared" si="39"/>
        <v>0.66112828438949001</v>
      </c>
    </row>
    <row r="491" spans="2:13">
      <c r="B491" t="s">
        <v>161</v>
      </c>
      <c r="C491">
        <f t="shared" si="40"/>
        <v>44</v>
      </c>
      <c r="D491" t="str">
        <f t="shared" si="37"/>
        <v>STRASBOURG44</v>
      </c>
      <c r="E491" t="s">
        <v>162</v>
      </c>
      <c r="F491" t="str">
        <f t="shared" si="38"/>
        <v>STRASBOURG44</v>
      </c>
      <c r="G491" t="s">
        <v>341</v>
      </c>
      <c r="I491" s="16">
        <v>100.88</v>
      </c>
      <c r="J491" s="16">
        <v>40.46</v>
      </c>
      <c r="K491" s="16">
        <v>0</v>
      </c>
      <c r="L491" s="159">
        <f t="shared" si="39"/>
        <v>0.40107057890563047</v>
      </c>
      <c r="M491" s="159">
        <f t="shared" si="39"/>
        <v>0</v>
      </c>
    </row>
    <row r="492" spans="2:13">
      <c r="B492" t="s">
        <v>161</v>
      </c>
      <c r="C492">
        <f t="shared" si="40"/>
        <v>45</v>
      </c>
      <c r="D492" t="str">
        <f t="shared" si="37"/>
        <v>STRASBOURG45</v>
      </c>
      <c r="E492" t="s">
        <v>162</v>
      </c>
      <c r="F492" t="str">
        <f t="shared" si="38"/>
        <v>STRASBOURG45</v>
      </c>
      <c r="G492" t="s">
        <v>247</v>
      </c>
      <c r="H492" t="s">
        <v>248</v>
      </c>
      <c r="I492" s="16">
        <v>100.05</v>
      </c>
      <c r="J492" s="16">
        <v>29.67</v>
      </c>
      <c r="K492" s="16">
        <v>2</v>
      </c>
      <c r="L492" s="159">
        <f t="shared" si="39"/>
        <v>0.29655172413793107</v>
      </c>
      <c r="M492" s="159">
        <f t="shared" si="39"/>
        <v>1.999000499750125E-2</v>
      </c>
    </row>
    <row r="493" spans="2:13">
      <c r="B493" t="s">
        <v>161</v>
      </c>
      <c r="C493">
        <f t="shared" si="40"/>
        <v>46</v>
      </c>
      <c r="D493" t="str">
        <f t="shared" si="37"/>
        <v>STRASBOURG46</v>
      </c>
      <c r="E493" t="s">
        <v>162</v>
      </c>
      <c r="F493" t="str">
        <f t="shared" si="38"/>
        <v>STRASBOURG46</v>
      </c>
      <c r="G493" t="s">
        <v>253</v>
      </c>
      <c r="I493" s="16">
        <v>98.27</v>
      </c>
      <c r="J493" s="16">
        <v>14.1</v>
      </c>
      <c r="K493" s="16">
        <v>0</v>
      </c>
      <c r="L493" s="159">
        <f t="shared" si="39"/>
        <v>0.14348224280044775</v>
      </c>
      <c r="M493" s="159">
        <f t="shared" si="39"/>
        <v>0</v>
      </c>
    </row>
    <row r="494" spans="2:13">
      <c r="B494" t="s">
        <v>161</v>
      </c>
      <c r="C494">
        <f t="shared" si="40"/>
        <v>47</v>
      </c>
      <c r="D494" t="str">
        <f t="shared" si="37"/>
        <v>STRASBOURG47</v>
      </c>
      <c r="E494" t="s">
        <v>162</v>
      </c>
      <c r="F494" t="str">
        <f t="shared" si="38"/>
        <v>STRASBOURG47</v>
      </c>
      <c r="G494" t="s">
        <v>396</v>
      </c>
      <c r="I494" s="16">
        <v>97.57</v>
      </c>
      <c r="J494" s="16">
        <v>8.7200000000000006</v>
      </c>
      <c r="K494" s="16">
        <v>0</v>
      </c>
      <c r="L494" s="159">
        <f t="shared" si="39"/>
        <v>8.9371733114686908E-2</v>
      </c>
      <c r="M494" s="159">
        <f t="shared" si="39"/>
        <v>0</v>
      </c>
    </row>
    <row r="495" spans="2:13">
      <c r="B495" t="s">
        <v>161</v>
      </c>
      <c r="C495">
        <f t="shared" si="40"/>
        <v>48</v>
      </c>
      <c r="D495" t="str">
        <f t="shared" si="37"/>
        <v>STRASBOURG48</v>
      </c>
      <c r="E495" t="s">
        <v>162</v>
      </c>
      <c r="F495" t="str">
        <f t="shared" si="38"/>
        <v>STRASBOURG48</v>
      </c>
      <c r="G495" t="s">
        <v>340</v>
      </c>
      <c r="H495" t="s">
        <v>945</v>
      </c>
      <c r="I495" s="16">
        <v>96.24</v>
      </c>
      <c r="J495" s="16">
        <v>21.02</v>
      </c>
      <c r="K495" s="16">
        <v>1</v>
      </c>
      <c r="L495" s="159">
        <f t="shared" si="39"/>
        <v>0.21841230257689112</v>
      </c>
      <c r="M495" s="159">
        <f t="shared" si="39"/>
        <v>1.0390689941812137E-2</v>
      </c>
    </row>
    <row r="496" spans="2:13">
      <c r="B496" t="s">
        <v>161</v>
      </c>
      <c r="C496">
        <f t="shared" si="40"/>
        <v>49</v>
      </c>
      <c r="D496" t="str">
        <f t="shared" si="37"/>
        <v>STRASBOURG49</v>
      </c>
      <c r="E496" t="s">
        <v>162</v>
      </c>
      <c r="F496" t="str">
        <f t="shared" si="38"/>
        <v>STRASBOURG49</v>
      </c>
      <c r="G496" t="s">
        <v>284</v>
      </c>
      <c r="I496" s="16">
        <v>92.26</v>
      </c>
      <c r="J496" s="16">
        <v>41.15</v>
      </c>
      <c r="K496" s="16">
        <v>1.94</v>
      </c>
      <c r="L496" s="159">
        <f t="shared" si="39"/>
        <v>0.44602211142423581</v>
      </c>
      <c r="M496" s="159">
        <f t="shared" si="39"/>
        <v>2.1027530890960329E-2</v>
      </c>
    </row>
    <row r="497" spans="2:13">
      <c r="B497" t="s">
        <v>161</v>
      </c>
      <c r="C497">
        <f t="shared" si="40"/>
        <v>50</v>
      </c>
      <c r="D497" t="str">
        <f t="shared" si="37"/>
        <v>STRASBOURG50</v>
      </c>
      <c r="E497" t="s">
        <v>162</v>
      </c>
      <c r="F497" t="str">
        <f t="shared" si="38"/>
        <v>STRASBOURG50</v>
      </c>
      <c r="G497" t="s">
        <v>252</v>
      </c>
      <c r="H497" t="s">
        <v>930</v>
      </c>
      <c r="I497" s="16">
        <v>87.6</v>
      </c>
      <c r="J497" s="16">
        <v>57.24</v>
      </c>
      <c r="K497" s="16">
        <v>0</v>
      </c>
      <c r="L497" s="159">
        <f t="shared" si="39"/>
        <v>0.65342465753424661</v>
      </c>
      <c r="M497" s="159">
        <f t="shared" si="39"/>
        <v>0</v>
      </c>
    </row>
    <row r="498" spans="2:13">
      <c r="B498" t="s">
        <v>161</v>
      </c>
      <c r="C498">
        <f t="shared" si="40"/>
        <v>51</v>
      </c>
      <c r="D498" t="str">
        <f t="shared" si="37"/>
        <v>STRASBOURG51</v>
      </c>
      <c r="E498" t="s">
        <v>162</v>
      </c>
      <c r="F498" t="str">
        <f t="shared" si="38"/>
        <v>STRASBOURG51</v>
      </c>
      <c r="G498" t="s">
        <v>336</v>
      </c>
      <c r="H498" t="s">
        <v>941</v>
      </c>
      <c r="I498" s="16">
        <v>77.739999999999995</v>
      </c>
      <c r="J498" s="16">
        <v>66.290000000000006</v>
      </c>
      <c r="K498" s="16">
        <v>0</v>
      </c>
      <c r="L498" s="159">
        <f t="shared" si="39"/>
        <v>0.85271417545665051</v>
      </c>
      <c r="M498" s="159">
        <f t="shared" si="39"/>
        <v>0</v>
      </c>
    </row>
    <row r="499" spans="2:13">
      <c r="B499" t="s">
        <v>161</v>
      </c>
      <c r="C499">
        <f t="shared" si="40"/>
        <v>52</v>
      </c>
      <c r="D499" t="str">
        <f t="shared" si="37"/>
        <v>STRASBOURG52</v>
      </c>
      <c r="E499" t="s">
        <v>162</v>
      </c>
      <c r="F499" t="str">
        <f t="shared" si="38"/>
        <v>STRASBOURG52</v>
      </c>
      <c r="G499" t="s">
        <v>345</v>
      </c>
      <c r="I499" s="16">
        <v>76.87</v>
      </c>
      <c r="J499" s="16">
        <v>26.93</v>
      </c>
      <c r="K499" s="16">
        <v>0</v>
      </c>
      <c r="L499" s="159">
        <f t="shared" si="39"/>
        <v>0.35033172889293612</v>
      </c>
      <c r="M499" s="159">
        <f t="shared" si="39"/>
        <v>0</v>
      </c>
    </row>
    <row r="500" spans="2:13">
      <c r="B500" t="s">
        <v>161</v>
      </c>
      <c r="C500">
        <f t="shared" si="40"/>
        <v>53</v>
      </c>
      <c r="D500" t="str">
        <f t="shared" si="37"/>
        <v>STRASBOURG53</v>
      </c>
      <c r="E500" t="s">
        <v>162</v>
      </c>
      <c r="F500" t="str">
        <f t="shared" si="38"/>
        <v>STRASBOURG53</v>
      </c>
      <c r="G500" t="s">
        <v>209</v>
      </c>
      <c r="H500" t="s">
        <v>210</v>
      </c>
      <c r="I500" s="16">
        <v>76.36</v>
      </c>
      <c r="J500" s="16">
        <v>30.6</v>
      </c>
      <c r="K500" s="16">
        <v>46.33</v>
      </c>
      <c r="L500" s="159">
        <f t="shared" si="39"/>
        <v>0.40073336825563122</v>
      </c>
      <c r="M500" s="159">
        <f t="shared" si="39"/>
        <v>0.60673127291775797</v>
      </c>
    </row>
    <row r="501" spans="2:13">
      <c r="B501" t="s">
        <v>161</v>
      </c>
      <c r="C501">
        <f t="shared" si="40"/>
        <v>54</v>
      </c>
      <c r="D501" t="str">
        <f t="shared" si="37"/>
        <v>STRASBOURG54</v>
      </c>
      <c r="E501" t="s">
        <v>162</v>
      </c>
      <c r="F501" t="str">
        <f t="shared" si="38"/>
        <v>STRASBOURG54</v>
      </c>
      <c r="G501" t="s">
        <v>282</v>
      </c>
      <c r="H501" t="s">
        <v>920</v>
      </c>
      <c r="I501" s="16">
        <v>73.91</v>
      </c>
      <c r="J501" s="16">
        <v>43.02</v>
      </c>
      <c r="K501" s="16">
        <v>0</v>
      </c>
      <c r="L501" s="159">
        <f t="shared" si="39"/>
        <v>0.58205926126369911</v>
      </c>
      <c r="M501" s="159">
        <f t="shared" si="39"/>
        <v>0</v>
      </c>
    </row>
    <row r="502" spans="2:13">
      <c r="B502" t="s">
        <v>161</v>
      </c>
      <c r="C502">
        <f t="shared" si="40"/>
        <v>55</v>
      </c>
      <c r="D502" t="str">
        <f t="shared" si="37"/>
        <v>STRASBOURG55</v>
      </c>
      <c r="E502" t="s">
        <v>162</v>
      </c>
      <c r="F502" t="str">
        <f t="shared" si="38"/>
        <v>STRASBOURG55</v>
      </c>
      <c r="G502" t="s">
        <v>230</v>
      </c>
      <c r="H502" t="s">
        <v>231</v>
      </c>
      <c r="I502" s="16">
        <v>70.12</v>
      </c>
      <c r="J502" s="16">
        <v>36.01</v>
      </c>
      <c r="K502" s="16">
        <v>24</v>
      </c>
      <c r="L502" s="159">
        <f t="shared" si="39"/>
        <v>0.51354820308043347</v>
      </c>
      <c r="M502" s="159">
        <f t="shared" si="39"/>
        <v>0.34227039361095263</v>
      </c>
    </row>
    <row r="503" spans="2:13">
      <c r="B503" t="s">
        <v>161</v>
      </c>
      <c r="C503">
        <f t="shared" si="40"/>
        <v>56</v>
      </c>
      <c r="D503" t="str">
        <f t="shared" si="37"/>
        <v>STRASBOURG56</v>
      </c>
      <c r="E503" t="s">
        <v>162</v>
      </c>
      <c r="F503" t="str">
        <f t="shared" si="38"/>
        <v>STRASBOURG56</v>
      </c>
      <c r="G503" t="s">
        <v>330</v>
      </c>
      <c r="I503" s="16">
        <v>69.94</v>
      </c>
      <c r="J503" s="16">
        <v>29.13</v>
      </c>
      <c r="K503" s="16">
        <v>10.16</v>
      </c>
      <c r="L503" s="159">
        <f t="shared" si="39"/>
        <v>0.41649985702030312</v>
      </c>
      <c r="M503" s="159">
        <f t="shared" si="39"/>
        <v>0.1452673720331713</v>
      </c>
    </row>
    <row r="504" spans="2:13">
      <c r="B504" t="s">
        <v>161</v>
      </c>
      <c r="C504">
        <f t="shared" si="40"/>
        <v>57</v>
      </c>
      <c r="D504" t="str">
        <f t="shared" si="37"/>
        <v>STRASBOURG57</v>
      </c>
      <c r="E504" t="s">
        <v>162</v>
      </c>
      <c r="F504" t="str">
        <f t="shared" si="38"/>
        <v>STRASBOURG57</v>
      </c>
      <c r="G504" t="s">
        <v>374</v>
      </c>
      <c r="I504" s="16">
        <v>69.760000000000005</v>
      </c>
      <c r="J504" s="16">
        <v>26.34</v>
      </c>
      <c r="K504" s="16">
        <v>14.24</v>
      </c>
      <c r="L504" s="159">
        <f t="shared" si="39"/>
        <v>0.37758027522935778</v>
      </c>
      <c r="M504" s="159">
        <f t="shared" si="39"/>
        <v>0.20412844036697247</v>
      </c>
    </row>
    <row r="505" spans="2:13">
      <c r="B505" t="s">
        <v>161</v>
      </c>
      <c r="C505">
        <f t="shared" si="40"/>
        <v>58</v>
      </c>
      <c r="D505" t="str">
        <f t="shared" si="37"/>
        <v>STRASBOURG58</v>
      </c>
      <c r="E505" t="s">
        <v>162</v>
      </c>
      <c r="F505" t="str">
        <f t="shared" si="38"/>
        <v>STRASBOURG58</v>
      </c>
      <c r="G505" t="s">
        <v>320</v>
      </c>
      <c r="I505" s="16">
        <v>67.52</v>
      </c>
      <c r="J505" s="16">
        <v>17.739999999999998</v>
      </c>
      <c r="K505" s="16">
        <v>6.28</v>
      </c>
      <c r="L505" s="159">
        <f t="shared" si="39"/>
        <v>0.26273696682464454</v>
      </c>
      <c r="M505" s="159">
        <f t="shared" si="39"/>
        <v>9.3009478672985785E-2</v>
      </c>
    </row>
    <row r="506" spans="2:13">
      <c r="B506" t="s">
        <v>161</v>
      </c>
      <c r="C506">
        <f t="shared" si="40"/>
        <v>59</v>
      </c>
      <c r="D506" t="str">
        <f t="shared" si="37"/>
        <v>STRASBOURG59</v>
      </c>
      <c r="E506" t="s">
        <v>162</v>
      </c>
      <c r="F506" t="str">
        <f t="shared" si="38"/>
        <v>STRASBOURG59</v>
      </c>
      <c r="G506" t="s">
        <v>308</v>
      </c>
      <c r="I506" s="16">
        <v>63.85</v>
      </c>
      <c r="J506" s="16">
        <v>42.25</v>
      </c>
      <c r="K506" s="16">
        <v>0</v>
      </c>
      <c r="L506" s="159">
        <f t="shared" si="39"/>
        <v>0.66170712607674231</v>
      </c>
      <c r="M506" s="159">
        <f t="shared" si="39"/>
        <v>0</v>
      </c>
    </row>
    <row r="507" spans="2:13">
      <c r="B507" t="s">
        <v>161</v>
      </c>
      <c r="C507">
        <f t="shared" si="40"/>
        <v>60</v>
      </c>
      <c r="D507" t="str">
        <f t="shared" si="37"/>
        <v>STRASBOURG60</v>
      </c>
      <c r="E507" t="s">
        <v>162</v>
      </c>
      <c r="F507" t="str">
        <f t="shared" si="38"/>
        <v>STRASBOURG60</v>
      </c>
      <c r="G507" t="s">
        <v>277</v>
      </c>
      <c r="I507" s="16">
        <v>61.88</v>
      </c>
      <c r="J507" s="16">
        <v>34.9</v>
      </c>
      <c r="K507" s="16">
        <v>34.9</v>
      </c>
      <c r="L507" s="159">
        <f t="shared" si="39"/>
        <v>0.56399482870071105</v>
      </c>
      <c r="M507" s="159">
        <f t="shared" si="39"/>
        <v>0.56399482870071105</v>
      </c>
    </row>
    <row r="508" spans="2:13">
      <c r="B508" t="s">
        <v>161</v>
      </c>
      <c r="C508">
        <f t="shared" si="40"/>
        <v>61</v>
      </c>
      <c r="D508" t="str">
        <f t="shared" si="37"/>
        <v>STRASBOURG61</v>
      </c>
      <c r="E508" t="s">
        <v>162</v>
      </c>
      <c r="F508" t="str">
        <f t="shared" si="38"/>
        <v>STRASBOURG61</v>
      </c>
      <c r="G508" t="s">
        <v>328</v>
      </c>
      <c r="H508" t="s">
        <v>939</v>
      </c>
      <c r="I508" s="16">
        <v>60.27</v>
      </c>
      <c r="J508" s="16">
        <v>35.700000000000003</v>
      </c>
      <c r="K508" s="16">
        <v>0</v>
      </c>
      <c r="L508" s="159">
        <f t="shared" si="39"/>
        <v>0.59233449477351918</v>
      </c>
      <c r="M508" s="159">
        <f t="shared" si="39"/>
        <v>0</v>
      </c>
    </row>
    <row r="509" spans="2:13">
      <c r="B509" t="s">
        <v>161</v>
      </c>
      <c r="C509">
        <f t="shared" si="40"/>
        <v>62</v>
      </c>
      <c r="D509" t="str">
        <f t="shared" si="37"/>
        <v>STRASBOURG62</v>
      </c>
      <c r="E509" t="s">
        <v>162</v>
      </c>
      <c r="F509" t="str">
        <f t="shared" si="38"/>
        <v>STRASBOURG62</v>
      </c>
      <c r="G509" t="s">
        <v>347</v>
      </c>
      <c r="I509" s="16">
        <v>59.76</v>
      </c>
      <c r="J509" s="16">
        <v>36.880000000000003</v>
      </c>
      <c r="K509" s="16">
        <v>0</v>
      </c>
      <c r="L509" s="159">
        <f t="shared" si="39"/>
        <v>0.61713520749665329</v>
      </c>
      <c r="M509" s="159">
        <f t="shared" si="39"/>
        <v>0</v>
      </c>
    </row>
    <row r="510" spans="2:13">
      <c r="B510" t="s">
        <v>161</v>
      </c>
      <c r="C510">
        <f t="shared" si="40"/>
        <v>63</v>
      </c>
      <c r="D510" t="str">
        <f t="shared" si="37"/>
        <v>STRASBOURG63</v>
      </c>
      <c r="E510" t="s">
        <v>162</v>
      </c>
      <c r="F510" t="str">
        <f t="shared" si="38"/>
        <v>STRASBOURG63</v>
      </c>
      <c r="G510" t="s">
        <v>312</v>
      </c>
      <c r="I510" s="16">
        <v>57.08</v>
      </c>
      <c r="J510" s="16">
        <v>20.47</v>
      </c>
      <c r="K510" s="16">
        <v>0</v>
      </c>
      <c r="L510" s="159">
        <f t="shared" si="39"/>
        <v>0.35861948142957251</v>
      </c>
      <c r="M510" s="159">
        <f t="shared" si="39"/>
        <v>0</v>
      </c>
    </row>
    <row r="511" spans="2:13">
      <c r="B511" t="s">
        <v>161</v>
      </c>
      <c r="C511">
        <f t="shared" si="40"/>
        <v>64</v>
      </c>
      <c r="D511" t="str">
        <f t="shared" si="37"/>
        <v>STRASBOURG64</v>
      </c>
      <c r="E511" t="s">
        <v>162</v>
      </c>
      <c r="F511" t="str">
        <f t="shared" si="38"/>
        <v>STRASBOURG64</v>
      </c>
      <c r="G511" t="s">
        <v>332</v>
      </c>
      <c r="H511" t="s">
        <v>940</v>
      </c>
      <c r="I511" s="16">
        <v>56.15</v>
      </c>
      <c r="J511" s="16">
        <v>0</v>
      </c>
      <c r="K511" s="16">
        <v>0</v>
      </c>
      <c r="L511" s="159">
        <f t="shared" si="39"/>
        <v>0</v>
      </c>
      <c r="M511" s="159">
        <f t="shared" si="39"/>
        <v>0</v>
      </c>
    </row>
    <row r="512" spans="2:13">
      <c r="B512" t="s">
        <v>161</v>
      </c>
      <c r="C512">
        <f t="shared" ref="C512:C543" si="41">RANK(I512,$I$447:$I$617,0)</f>
        <v>65</v>
      </c>
      <c r="D512" t="str">
        <f t="shared" si="37"/>
        <v>STRASBOURG65</v>
      </c>
      <c r="E512" t="s">
        <v>162</v>
      </c>
      <c r="F512" t="str">
        <f t="shared" si="38"/>
        <v>STRASBOURG65</v>
      </c>
      <c r="G512" t="s">
        <v>326</v>
      </c>
      <c r="I512" s="16">
        <v>55.15</v>
      </c>
      <c r="J512" s="16">
        <v>4.07</v>
      </c>
      <c r="K512" s="16">
        <v>10</v>
      </c>
      <c r="L512" s="159">
        <f t="shared" si="39"/>
        <v>7.3798730734360843E-2</v>
      </c>
      <c r="M512" s="159">
        <f t="shared" si="39"/>
        <v>0.18132366273798731</v>
      </c>
    </row>
    <row r="513" spans="2:13">
      <c r="B513" t="s">
        <v>161</v>
      </c>
      <c r="C513">
        <f t="shared" si="41"/>
        <v>66</v>
      </c>
      <c r="D513" t="str">
        <f t="shared" si="37"/>
        <v>STRASBOURG66</v>
      </c>
      <c r="E513" t="s">
        <v>162</v>
      </c>
      <c r="F513" t="str">
        <f t="shared" si="38"/>
        <v>STRASBOURG66</v>
      </c>
      <c r="G513" t="s">
        <v>400</v>
      </c>
      <c r="I513" s="16">
        <v>53.39</v>
      </c>
      <c r="J513" s="16">
        <v>0</v>
      </c>
      <c r="K513" s="16">
        <v>0</v>
      </c>
      <c r="L513" s="159">
        <f t="shared" si="39"/>
        <v>0</v>
      </c>
      <c r="M513" s="159">
        <f t="shared" si="39"/>
        <v>0</v>
      </c>
    </row>
    <row r="514" spans="2:13">
      <c r="B514" t="s">
        <v>161</v>
      </c>
      <c r="C514">
        <f t="shared" si="41"/>
        <v>67</v>
      </c>
      <c r="D514" t="str">
        <f t="shared" ref="D514:D577" si="42">CONCATENATE(E514,C514)</f>
        <v>STRASBOURG67</v>
      </c>
      <c r="E514" t="s">
        <v>162</v>
      </c>
      <c r="F514" t="str">
        <f t="shared" si="38"/>
        <v>STRASBOURG67</v>
      </c>
      <c r="G514" t="s">
        <v>295</v>
      </c>
      <c r="I514" s="16">
        <v>50.6</v>
      </c>
      <c r="J514" s="16">
        <v>4.09</v>
      </c>
      <c r="K514" s="16">
        <v>10.24</v>
      </c>
      <c r="L514" s="159">
        <f t="shared" si="39"/>
        <v>8.0830039525691691E-2</v>
      </c>
      <c r="M514" s="159">
        <f t="shared" si="39"/>
        <v>0.20237154150197628</v>
      </c>
    </row>
    <row r="515" spans="2:13">
      <c r="B515" t="s">
        <v>161</v>
      </c>
      <c r="C515">
        <f t="shared" si="41"/>
        <v>68</v>
      </c>
      <c r="D515" t="str">
        <f t="shared" si="42"/>
        <v>STRASBOURG68</v>
      </c>
      <c r="E515" t="s">
        <v>162</v>
      </c>
      <c r="F515" t="str">
        <f t="shared" ref="F515:F578" si="43">D515</f>
        <v>STRASBOURG68</v>
      </c>
      <c r="G515" t="s">
        <v>289</v>
      </c>
      <c r="H515" t="s">
        <v>935</v>
      </c>
      <c r="I515" s="16">
        <v>49.27</v>
      </c>
      <c r="J515" s="16">
        <v>24.97</v>
      </c>
      <c r="K515" s="16">
        <v>18.03</v>
      </c>
      <c r="L515" s="159">
        <f t="shared" ref="L515:M578" si="44">J515/$I515</f>
        <v>0.50679926933225083</v>
      </c>
      <c r="M515" s="159">
        <f t="shared" si="44"/>
        <v>0.3659427643596509</v>
      </c>
    </row>
    <row r="516" spans="2:13">
      <c r="B516" t="s">
        <v>161</v>
      </c>
      <c r="C516">
        <f t="shared" si="41"/>
        <v>69</v>
      </c>
      <c r="D516" t="str">
        <f t="shared" si="42"/>
        <v>STRASBOURG69</v>
      </c>
      <c r="E516" t="s">
        <v>162</v>
      </c>
      <c r="F516" t="str">
        <f t="shared" si="43"/>
        <v>STRASBOURG69</v>
      </c>
      <c r="G516" t="s">
        <v>416</v>
      </c>
      <c r="I516" s="16">
        <v>48.45</v>
      </c>
      <c r="J516" s="16">
        <v>0</v>
      </c>
      <c r="K516" s="16">
        <v>39.549999999999997</v>
      </c>
      <c r="L516" s="159">
        <f t="shared" si="44"/>
        <v>0</v>
      </c>
      <c r="M516" s="159">
        <f t="shared" si="44"/>
        <v>0.81630546955624339</v>
      </c>
    </row>
    <row r="517" spans="2:13">
      <c r="B517" t="s">
        <v>161</v>
      </c>
      <c r="C517">
        <f t="shared" si="41"/>
        <v>70</v>
      </c>
      <c r="D517" t="str">
        <f t="shared" si="42"/>
        <v>STRASBOURG70</v>
      </c>
      <c r="E517" t="s">
        <v>162</v>
      </c>
      <c r="F517" t="str">
        <f t="shared" si="43"/>
        <v>STRASBOURG70</v>
      </c>
      <c r="G517" t="s">
        <v>255</v>
      </c>
      <c r="H517" t="s">
        <v>256</v>
      </c>
      <c r="I517" s="16">
        <v>48.17</v>
      </c>
      <c r="J517" s="16">
        <v>23.65</v>
      </c>
      <c r="K517" s="16">
        <v>25.2</v>
      </c>
      <c r="L517" s="159">
        <f t="shared" si="44"/>
        <v>0.49096948308075561</v>
      </c>
      <c r="M517" s="159">
        <f t="shared" si="44"/>
        <v>0.52314718704587915</v>
      </c>
    </row>
    <row r="518" spans="2:13">
      <c r="B518" t="s">
        <v>161</v>
      </c>
      <c r="C518">
        <f t="shared" si="41"/>
        <v>71</v>
      </c>
      <c r="D518" t="str">
        <f t="shared" si="42"/>
        <v>STRASBOURG71</v>
      </c>
      <c r="E518" t="s">
        <v>162</v>
      </c>
      <c r="F518" t="str">
        <f t="shared" si="43"/>
        <v>STRASBOURG71</v>
      </c>
      <c r="G518" t="s">
        <v>304</v>
      </c>
      <c r="I518" s="16">
        <v>47.6</v>
      </c>
      <c r="J518" s="16">
        <v>6.28</v>
      </c>
      <c r="K518" s="16">
        <v>0</v>
      </c>
      <c r="L518" s="159">
        <f t="shared" si="44"/>
        <v>0.1319327731092437</v>
      </c>
      <c r="M518" s="159">
        <f t="shared" si="44"/>
        <v>0</v>
      </c>
    </row>
    <row r="519" spans="2:13">
      <c r="B519" t="s">
        <v>161</v>
      </c>
      <c r="C519">
        <f t="shared" si="41"/>
        <v>72</v>
      </c>
      <c r="D519" t="str">
        <f t="shared" si="42"/>
        <v>STRASBOURG72</v>
      </c>
      <c r="E519" t="s">
        <v>162</v>
      </c>
      <c r="F519" t="str">
        <f t="shared" si="43"/>
        <v>STRASBOURG72</v>
      </c>
      <c r="G519" t="s">
        <v>419</v>
      </c>
      <c r="I519" s="16">
        <v>47.06</v>
      </c>
      <c r="J519" s="16">
        <v>9.01</v>
      </c>
      <c r="K519" s="16">
        <v>24.97</v>
      </c>
      <c r="L519" s="159">
        <f t="shared" si="44"/>
        <v>0.19145771355716107</v>
      </c>
      <c r="M519" s="159">
        <f t="shared" si="44"/>
        <v>0.53059923501912443</v>
      </c>
    </row>
    <row r="520" spans="2:13">
      <c r="B520" t="s">
        <v>161</v>
      </c>
      <c r="C520">
        <f t="shared" si="41"/>
        <v>73</v>
      </c>
      <c r="D520" t="str">
        <f t="shared" si="42"/>
        <v>STRASBOURG73</v>
      </c>
      <c r="E520" t="s">
        <v>162</v>
      </c>
      <c r="F520" t="str">
        <f t="shared" si="43"/>
        <v>STRASBOURG73</v>
      </c>
      <c r="G520" t="s">
        <v>314</v>
      </c>
      <c r="I520" s="16">
        <v>46.14</v>
      </c>
      <c r="J520" s="16">
        <v>4.1500000000000004</v>
      </c>
      <c r="K520" s="16">
        <v>0</v>
      </c>
      <c r="L520" s="159">
        <f t="shared" si="44"/>
        <v>8.9943649761595149E-2</v>
      </c>
      <c r="M520" s="159">
        <f t="shared" si="44"/>
        <v>0</v>
      </c>
    </row>
    <row r="521" spans="2:13">
      <c r="B521" t="s">
        <v>161</v>
      </c>
      <c r="C521">
        <f t="shared" si="41"/>
        <v>74</v>
      </c>
      <c r="D521" t="str">
        <f t="shared" si="42"/>
        <v>STRASBOURG74</v>
      </c>
      <c r="E521" t="s">
        <v>162</v>
      </c>
      <c r="F521" t="str">
        <f t="shared" si="43"/>
        <v>STRASBOURG74</v>
      </c>
      <c r="G521" t="s">
        <v>278</v>
      </c>
      <c r="H521" t="s">
        <v>934</v>
      </c>
      <c r="I521" s="16">
        <v>44.75</v>
      </c>
      <c r="J521" s="16">
        <v>13.03</v>
      </c>
      <c r="K521" s="16">
        <v>0</v>
      </c>
      <c r="L521" s="159">
        <f t="shared" si="44"/>
        <v>0.29117318435754186</v>
      </c>
      <c r="M521" s="159">
        <f t="shared" si="44"/>
        <v>0</v>
      </c>
    </row>
    <row r="522" spans="2:13">
      <c r="B522" t="s">
        <v>161</v>
      </c>
      <c r="C522">
        <f t="shared" si="41"/>
        <v>75</v>
      </c>
      <c r="D522" t="str">
        <f t="shared" si="42"/>
        <v>STRASBOURG75</v>
      </c>
      <c r="E522" t="s">
        <v>162</v>
      </c>
      <c r="F522" t="str">
        <f t="shared" si="43"/>
        <v>STRASBOURG75</v>
      </c>
      <c r="G522" t="s">
        <v>310</v>
      </c>
      <c r="I522" s="16">
        <v>41.47</v>
      </c>
      <c r="J522" s="16">
        <v>0</v>
      </c>
      <c r="K522" s="16">
        <v>36.47</v>
      </c>
      <c r="L522" s="159">
        <f t="shared" si="44"/>
        <v>0</v>
      </c>
      <c r="M522" s="159">
        <f t="shared" si="44"/>
        <v>0.87943091391367256</v>
      </c>
    </row>
    <row r="523" spans="2:13">
      <c r="B523" t="s">
        <v>161</v>
      </c>
      <c r="C523">
        <f t="shared" si="41"/>
        <v>76</v>
      </c>
      <c r="D523" t="str">
        <f t="shared" si="42"/>
        <v>STRASBOURG76</v>
      </c>
      <c r="E523" t="s">
        <v>162</v>
      </c>
      <c r="F523" t="str">
        <f t="shared" si="43"/>
        <v>STRASBOURG76</v>
      </c>
      <c r="G523" t="s">
        <v>448</v>
      </c>
      <c r="I523" s="16">
        <v>40.32</v>
      </c>
      <c r="J523" s="16">
        <v>2.88</v>
      </c>
      <c r="K523" s="16">
        <v>0</v>
      </c>
      <c r="L523" s="159">
        <f t="shared" si="44"/>
        <v>7.1428571428571425E-2</v>
      </c>
      <c r="M523" s="159">
        <f t="shared" si="44"/>
        <v>0</v>
      </c>
    </row>
    <row r="524" spans="2:13">
      <c r="B524" t="s">
        <v>161</v>
      </c>
      <c r="C524">
        <f t="shared" si="41"/>
        <v>77</v>
      </c>
      <c r="D524" t="str">
        <f t="shared" si="42"/>
        <v>STRASBOURG77</v>
      </c>
      <c r="E524" t="s">
        <v>162</v>
      </c>
      <c r="F524" t="str">
        <f t="shared" si="43"/>
        <v>STRASBOURG77</v>
      </c>
      <c r="G524" t="s">
        <v>393</v>
      </c>
      <c r="I524" s="16">
        <v>38.409999999999997</v>
      </c>
      <c r="J524" s="16">
        <v>33.51</v>
      </c>
      <c r="K524" s="16">
        <v>34.299999999999997</v>
      </c>
      <c r="L524" s="159">
        <f t="shared" si="44"/>
        <v>0.87242905493361111</v>
      </c>
      <c r="M524" s="159">
        <f t="shared" si="44"/>
        <v>0.89299661546472275</v>
      </c>
    </row>
    <row r="525" spans="2:13">
      <c r="B525" t="s">
        <v>161</v>
      </c>
      <c r="C525">
        <f t="shared" si="41"/>
        <v>78</v>
      </c>
      <c r="D525" t="str">
        <f t="shared" si="42"/>
        <v>STRASBOURG78</v>
      </c>
      <c r="E525" t="s">
        <v>162</v>
      </c>
      <c r="F525" t="str">
        <f t="shared" si="43"/>
        <v>STRASBOURG78</v>
      </c>
      <c r="G525" t="s">
        <v>241</v>
      </c>
      <c r="H525" t="s">
        <v>927</v>
      </c>
      <c r="I525" s="16">
        <v>37.17</v>
      </c>
      <c r="J525" s="16">
        <v>22</v>
      </c>
      <c r="K525" s="16">
        <v>0</v>
      </c>
      <c r="L525" s="159">
        <f t="shared" si="44"/>
        <v>0.59187516814635455</v>
      </c>
      <c r="M525" s="159">
        <f t="shared" si="44"/>
        <v>0</v>
      </c>
    </row>
    <row r="526" spans="2:13">
      <c r="B526" t="s">
        <v>161</v>
      </c>
      <c r="C526">
        <f t="shared" si="41"/>
        <v>79</v>
      </c>
      <c r="D526" t="str">
        <f t="shared" si="42"/>
        <v>STRASBOURG79</v>
      </c>
      <c r="E526" t="s">
        <v>162</v>
      </c>
      <c r="F526" t="str">
        <f t="shared" si="43"/>
        <v>STRASBOURG79</v>
      </c>
      <c r="G526" t="s">
        <v>306</v>
      </c>
      <c r="H526" t="s">
        <v>307</v>
      </c>
      <c r="I526" s="16">
        <v>36.79</v>
      </c>
      <c r="J526" s="16">
        <v>22.91</v>
      </c>
      <c r="K526" s="16">
        <v>10</v>
      </c>
      <c r="L526" s="159">
        <f t="shared" si="44"/>
        <v>0.62272356618646374</v>
      </c>
      <c r="M526" s="159">
        <f t="shared" si="44"/>
        <v>0.27181299266104919</v>
      </c>
    </row>
    <row r="527" spans="2:13">
      <c r="B527" t="s">
        <v>161</v>
      </c>
      <c r="C527">
        <f t="shared" si="41"/>
        <v>80</v>
      </c>
      <c r="D527" t="str">
        <f t="shared" si="42"/>
        <v>STRASBOURG80</v>
      </c>
      <c r="E527" t="s">
        <v>162</v>
      </c>
      <c r="F527" t="str">
        <f t="shared" si="43"/>
        <v>STRASBOURG80</v>
      </c>
      <c r="G527" t="s">
        <v>388</v>
      </c>
      <c r="I527" s="16">
        <v>36.49</v>
      </c>
      <c r="J527" s="16">
        <v>0</v>
      </c>
      <c r="K527" s="16">
        <v>0</v>
      </c>
      <c r="L527" s="159">
        <f t="shared" si="44"/>
        <v>0</v>
      </c>
      <c r="M527" s="159">
        <f t="shared" si="44"/>
        <v>0</v>
      </c>
    </row>
    <row r="528" spans="2:13">
      <c r="B528" t="s">
        <v>161</v>
      </c>
      <c r="C528">
        <f t="shared" si="41"/>
        <v>81</v>
      </c>
      <c r="D528" t="str">
        <f t="shared" si="42"/>
        <v>STRASBOURG81</v>
      </c>
      <c r="E528" t="s">
        <v>162</v>
      </c>
      <c r="F528" t="str">
        <f t="shared" si="43"/>
        <v>STRASBOURG81</v>
      </c>
      <c r="G528" t="s">
        <v>321</v>
      </c>
      <c r="I528" s="16">
        <v>33.99</v>
      </c>
      <c r="J528" s="16">
        <v>33.99</v>
      </c>
      <c r="K528" s="16">
        <v>4.9000000000000004</v>
      </c>
      <c r="L528" s="159">
        <f t="shared" si="44"/>
        <v>1</v>
      </c>
      <c r="M528" s="159">
        <f t="shared" si="44"/>
        <v>0.14416004707266844</v>
      </c>
    </row>
    <row r="529" spans="2:13">
      <c r="B529" t="s">
        <v>161</v>
      </c>
      <c r="C529">
        <f t="shared" si="41"/>
        <v>82</v>
      </c>
      <c r="D529" t="str">
        <f t="shared" si="42"/>
        <v>STRASBOURG82</v>
      </c>
      <c r="E529" t="s">
        <v>162</v>
      </c>
      <c r="F529" t="str">
        <f t="shared" si="43"/>
        <v>STRASBOURG82</v>
      </c>
      <c r="G529" t="s">
        <v>381</v>
      </c>
      <c r="I529" s="16">
        <v>33.159999999999997</v>
      </c>
      <c r="J529" s="16">
        <v>28.16</v>
      </c>
      <c r="K529" s="16">
        <v>0</v>
      </c>
      <c r="L529" s="159">
        <f t="shared" si="44"/>
        <v>0.84921592279855251</v>
      </c>
      <c r="M529" s="159">
        <f t="shared" si="44"/>
        <v>0</v>
      </c>
    </row>
    <row r="530" spans="2:13">
      <c r="B530" t="s">
        <v>161</v>
      </c>
      <c r="C530">
        <f t="shared" si="41"/>
        <v>83</v>
      </c>
      <c r="D530" t="str">
        <f t="shared" si="42"/>
        <v>STRASBOURG83</v>
      </c>
      <c r="E530" t="s">
        <v>162</v>
      </c>
      <c r="F530" t="str">
        <f t="shared" si="43"/>
        <v>STRASBOURG83</v>
      </c>
      <c r="G530" t="s">
        <v>383</v>
      </c>
      <c r="I530" s="16">
        <v>32.47</v>
      </c>
      <c r="J530" s="16">
        <v>14.05</v>
      </c>
      <c r="K530" s="16">
        <v>2.2999999999999998</v>
      </c>
      <c r="L530" s="159">
        <f t="shared" si="44"/>
        <v>0.43270711425931635</v>
      </c>
      <c r="M530" s="159">
        <f t="shared" si="44"/>
        <v>7.0834616569140738E-2</v>
      </c>
    </row>
    <row r="531" spans="2:13">
      <c r="B531" t="s">
        <v>161</v>
      </c>
      <c r="C531">
        <f t="shared" si="41"/>
        <v>84</v>
      </c>
      <c r="D531" t="str">
        <f t="shared" si="42"/>
        <v>STRASBOURG84</v>
      </c>
      <c r="E531" t="s">
        <v>162</v>
      </c>
      <c r="F531" t="str">
        <f t="shared" si="43"/>
        <v>STRASBOURG84</v>
      </c>
      <c r="G531" t="s">
        <v>261</v>
      </c>
      <c r="I531" s="16">
        <v>31.81</v>
      </c>
      <c r="J531" s="16">
        <v>8.84</v>
      </c>
      <c r="K531" s="16">
        <v>22.97</v>
      </c>
      <c r="L531" s="159">
        <f t="shared" si="44"/>
        <v>0.27790003143665515</v>
      </c>
      <c r="M531" s="159">
        <f t="shared" si="44"/>
        <v>0.72209996856334491</v>
      </c>
    </row>
    <row r="532" spans="2:13">
      <c r="B532" t="s">
        <v>161</v>
      </c>
      <c r="C532">
        <f t="shared" si="41"/>
        <v>85</v>
      </c>
      <c r="D532" t="str">
        <f t="shared" si="42"/>
        <v>STRASBOURG85</v>
      </c>
      <c r="E532" t="s">
        <v>162</v>
      </c>
      <c r="F532" t="str">
        <f t="shared" si="43"/>
        <v>STRASBOURG85</v>
      </c>
      <c r="G532" t="s">
        <v>343</v>
      </c>
      <c r="I532" s="16">
        <v>30.9</v>
      </c>
      <c r="J532" s="16">
        <v>26.43</v>
      </c>
      <c r="K532" s="16">
        <v>0</v>
      </c>
      <c r="L532" s="159">
        <f t="shared" si="44"/>
        <v>0.85533980582524272</v>
      </c>
      <c r="M532" s="159">
        <f t="shared" si="44"/>
        <v>0</v>
      </c>
    </row>
    <row r="533" spans="2:13">
      <c r="B533" t="s">
        <v>161</v>
      </c>
      <c r="C533">
        <f t="shared" si="41"/>
        <v>86</v>
      </c>
      <c r="D533" t="str">
        <f t="shared" si="42"/>
        <v>STRASBOURG86</v>
      </c>
      <c r="E533" t="s">
        <v>162</v>
      </c>
      <c r="F533" t="str">
        <f t="shared" si="43"/>
        <v>STRASBOURG86</v>
      </c>
      <c r="G533" t="s">
        <v>412</v>
      </c>
      <c r="I533" s="16">
        <v>29.94</v>
      </c>
      <c r="J533" s="16">
        <v>22.29</v>
      </c>
      <c r="K533" s="16">
        <v>7.66</v>
      </c>
      <c r="L533" s="159">
        <f t="shared" si="44"/>
        <v>0.74448897795591173</v>
      </c>
      <c r="M533" s="159">
        <f t="shared" si="44"/>
        <v>0.25584502338009352</v>
      </c>
    </row>
    <row r="534" spans="2:13">
      <c r="B534" t="s">
        <v>161</v>
      </c>
      <c r="C534">
        <f t="shared" si="41"/>
        <v>87</v>
      </c>
      <c r="D534" t="str">
        <f t="shared" si="42"/>
        <v>STRASBOURG87</v>
      </c>
      <c r="E534" t="s">
        <v>162</v>
      </c>
      <c r="F534" t="str">
        <f t="shared" si="43"/>
        <v>STRASBOURG87</v>
      </c>
      <c r="G534" t="s">
        <v>257</v>
      </c>
      <c r="I534" s="16">
        <v>29</v>
      </c>
      <c r="J534" s="16">
        <v>16.14</v>
      </c>
      <c r="K534" s="16">
        <v>3.25</v>
      </c>
      <c r="L534" s="159">
        <f t="shared" si="44"/>
        <v>0.55655172413793108</v>
      </c>
      <c r="M534" s="159">
        <f t="shared" si="44"/>
        <v>0.11206896551724138</v>
      </c>
    </row>
    <row r="535" spans="2:13">
      <c r="B535" t="s">
        <v>161</v>
      </c>
      <c r="C535">
        <f t="shared" si="41"/>
        <v>88</v>
      </c>
      <c r="D535" t="str">
        <f t="shared" si="42"/>
        <v>STRASBOURG88</v>
      </c>
      <c r="E535" t="s">
        <v>162</v>
      </c>
      <c r="F535" t="str">
        <f t="shared" si="43"/>
        <v>STRASBOURG88</v>
      </c>
      <c r="G535" t="s">
        <v>318</v>
      </c>
      <c r="I535" s="16">
        <v>28.72</v>
      </c>
      <c r="J535" s="16">
        <v>14.59</v>
      </c>
      <c r="K535" s="16">
        <v>0</v>
      </c>
      <c r="L535" s="159">
        <f t="shared" si="44"/>
        <v>0.50800835654596099</v>
      </c>
      <c r="M535" s="159">
        <f t="shared" si="44"/>
        <v>0</v>
      </c>
    </row>
    <row r="536" spans="2:13">
      <c r="B536" t="s">
        <v>161</v>
      </c>
      <c r="C536">
        <f t="shared" si="41"/>
        <v>89</v>
      </c>
      <c r="D536" t="str">
        <f t="shared" si="42"/>
        <v>STRASBOURG89</v>
      </c>
      <c r="E536" t="s">
        <v>162</v>
      </c>
      <c r="F536" t="str">
        <f t="shared" si="43"/>
        <v>STRASBOURG89</v>
      </c>
      <c r="G536" t="s">
        <v>279</v>
      </c>
      <c r="I536" s="16">
        <v>28.19</v>
      </c>
      <c r="J536" s="16">
        <v>11.23</v>
      </c>
      <c r="K536" s="16">
        <v>0</v>
      </c>
      <c r="L536" s="159">
        <f t="shared" si="44"/>
        <v>0.3983682156793189</v>
      </c>
      <c r="M536" s="159">
        <f t="shared" si="44"/>
        <v>0</v>
      </c>
    </row>
    <row r="537" spans="2:13">
      <c r="B537" t="s">
        <v>161</v>
      </c>
      <c r="C537">
        <f t="shared" si="41"/>
        <v>90</v>
      </c>
      <c r="D537" t="str">
        <f t="shared" si="42"/>
        <v>STRASBOURG90</v>
      </c>
      <c r="E537" t="s">
        <v>162</v>
      </c>
      <c r="F537" t="str">
        <f t="shared" si="43"/>
        <v>STRASBOURG90</v>
      </c>
      <c r="G537" t="s">
        <v>349</v>
      </c>
      <c r="I537" s="16">
        <v>27.08</v>
      </c>
      <c r="J537" s="16">
        <v>27.08</v>
      </c>
      <c r="K537" s="16">
        <v>0</v>
      </c>
      <c r="L537" s="159">
        <f t="shared" si="44"/>
        <v>1</v>
      </c>
      <c r="M537" s="159">
        <f t="shared" si="44"/>
        <v>0</v>
      </c>
    </row>
    <row r="538" spans="2:13">
      <c r="B538" t="s">
        <v>161</v>
      </c>
      <c r="C538">
        <f t="shared" si="41"/>
        <v>91</v>
      </c>
      <c r="D538" t="str">
        <f t="shared" si="42"/>
        <v>STRASBOURG91</v>
      </c>
      <c r="E538" t="s">
        <v>162</v>
      </c>
      <c r="F538" t="str">
        <f t="shared" si="43"/>
        <v>STRASBOURG91</v>
      </c>
      <c r="G538" t="s">
        <v>433</v>
      </c>
      <c r="I538" s="16">
        <v>27.04</v>
      </c>
      <c r="J538" s="16">
        <v>16.77</v>
      </c>
      <c r="K538" s="16">
        <v>0</v>
      </c>
      <c r="L538" s="159">
        <f t="shared" si="44"/>
        <v>0.62019230769230771</v>
      </c>
      <c r="M538" s="159">
        <f t="shared" si="44"/>
        <v>0</v>
      </c>
    </row>
    <row r="539" spans="2:13">
      <c r="B539" t="s">
        <v>161</v>
      </c>
      <c r="C539">
        <f t="shared" si="41"/>
        <v>92</v>
      </c>
      <c r="D539" t="str">
        <f t="shared" si="42"/>
        <v>STRASBOURG92</v>
      </c>
      <c r="E539" t="s">
        <v>162</v>
      </c>
      <c r="F539" t="str">
        <f t="shared" si="43"/>
        <v>STRASBOURG92</v>
      </c>
      <c r="G539" t="s">
        <v>313</v>
      </c>
      <c r="I539" s="16">
        <v>24.41</v>
      </c>
      <c r="J539" s="16">
        <v>1.1100000000000001</v>
      </c>
      <c r="K539" s="16">
        <v>0</v>
      </c>
      <c r="L539" s="159">
        <f t="shared" si="44"/>
        <v>4.5473166734944698E-2</v>
      </c>
      <c r="M539" s="159">
        <f t="shared" si="44"/>
        <v>0</v>
      </c>
    </row>
    <row r="540" spans="2:13">
      <c r="B540" t="s">
        <v>161</v>
      </c>
      <c r="C540">
        <f t="shared" si="41"/>
        <v>93</v>
      </c>
      <c r="D540" t="str">
        <f t="shared" si="42"/>
        <v>STRASBOURG93</v>
      </c>
      <c r="E540" t="s">
        <v>162</v>
      </c>
      <c r="F540" t="str">
        <f t="shared" si="43"/>
        <v>STRASBOURG93</v>
      </c>
      <c r="G540" t="s">
        <v>276</v>
      </c>
      <c r="H540" t="s">
        <v>933</v>
      </c>
      <c r="I540" s="16">
        <v>23.83</v>
      </c>
      <c r="J540" s="16">
        <v>10.33</v>
      </c>
      <c r="K540" s="16">
        <v>0</v>
      </c>
      <c r="L540" s="159">
        <f t="shared" si="44"/>
        <v>0.43348720100713389</v>
      </c>
      <c r="M540" s="159">
        <f t="shared" si="44"/>
        <v>0</v>
      </c>
    </row>
    <row r="541" spans="2:13">
      <c r="B541" t="s">
        <v>161</v>
      </c>
      <c r="C541">
        <f t="shared" si="41"/>
        <v>94</v>
      </c>
      <c r="D541" t="str">
        <f t="shared" si="42"/>
        <v>STRASBOURG94</v>
      </c>
      <c r="E541" t="s">
        <v>162</v>
      </c>
      <c r="F541" t="str">
        <f t="shared" si="43"/>
        <v>STRASBOURG94</v>
      </c>
      <c r="G541" t="s">
        <v>254</v>
      </c>
      <c r="H541" t="s">
        <v>931</v>
      </c>
      <c r="I541" s="16">
        <v>23.21</v>
      </c>
      <c r="J541" s="16">
        <v>0</v>
      </c>
      <c r="K541" s="16">
        <v>0</v>
      </c>
      <c r="L541" s="159">
        <f t="shared" si="44"/>
        <v>0</v>
      </c>
      <c r="M541" s="159">
        <f t="shared" si="44"/>
        <v>0</v>
      </c>
    </row>
    <row r="542" spans="2:13">
      <c r="B542" t="s">
        <v>161</v>
      </c>
      <c r="C542">
        <f t="shared" si="41"/>
        <v>95</v>
      </c>
      <c r="D542" t="str">
        <f t="shared" si="42"/>
        <v>STRASBOURG95</v>
      </c>
      <c r="E542" t="s">
        <v>162</v>
      </c>
      <c r="F542" t="str">
        <f t="shared" si="43"/>
        <v>STRASBOURG95</v>
      </c>
      <c r="G542" t="s">
        <v>373</v>
      </c>
      <c r="I542" s="16">
        <v>23.02</v>
      </c>
      <c r="J542" s="16">
        <v>12.77</v>
      </c>
      <c r="K542" s="16">
        <v>1.94</v>
      </c>
      <c r="L542" s="159">
        <f t="shared" si="44"/>
        <v>0.55473501303214601</v>
      </c>
      <c r="M542" s="159">
        <f t="shared" si="44"/>
        <v>8.4274543874891403E-2</v>
      </c>
    </row>
    <row r="543" spans="2:13">
      <c r="B543" t="s">
        <v>161</v>
      </c>
      <c r="C543">
        <f t="shared" si="41"/>
        <v>96</v>
      </c>
      <c r="D543" t="str">
        <f t="shared" si="42"/>
        <v>STRASBOURG96</v>
      </c>
      <c r="E543" t="s">
        <v>162</v>
      </c>
      <c r="F543" t="str">
        <f t="shared" si="43"/>
        <v>STRASBOURG96</v>
      </c>
      <c r="G543" t="s">
        <v>357</v>
      </c>
      <c r="I543" s="16">
        <v>22.75</v>
      </c>
      <c r="J543" s="16">
        <v>22.75</v>
      </c>
      <c r="K543" s="16">
        <v>0</v>
      </c>
      <c r="L543" s="159">
        <f t="shared" si="44"/>
        <v>1</v>
      </c>
      <c r="M543" s="159">
        <f t="shared" si="44"/>
        <v>0</v>
      </c>
    </row>
    <row r="544" spans="2:13">
      <c r="B544" t="s">
        <v>161</v>
      </c>
      <c r="C544">
        <f t="shared" ref="C544:C575" si="45">RANK(I544,$I$447:$I$617,0)</f>
        <v>97</v>
      </c>
      <c r="D544" t="str">
        <f t="shared" si="42"/>
        <v>STRASBOURG97</v>
      </c>
      <c r="E544" t="s">
        <v>162</v>
      </c>
      <c r="F544" t="str">
        <f t="shared" si="43"/>
        <v>STRASBOURG97</v>
      </c>
      <c r="G544" t="s">
        <v>280</v>
      </c>
      <c r="I544" s="16">
        <v>22.02</v>
      </c>
      <c r="J544" s="16">
        <v>17.39</v>
      </c>
      <c r="K544" s="16">
        <v>0</v>
      </c>
      <c r="L544" s="159">
        <f t="shared" si="44"/>
        <v>0.78973660308810179</v>
      </c>
      <c r="M544" s="159">
        <f t="shared" si="44"/>
        <v>0</v>
      </c>
    </row>
    <row r="545" spans="2:13">
      <c r="B545" t="s">
        <v>161</v>
      </c>
      <c r="C545">
        <f t="shared" si="45"/>
        <v>98</v>
      </c>
      <c r="D545" t="str">
        <f t="shared" si="42"/>
        <v>STRASBOURG98</v>
      </c>
      <c r="E545" t="s">
        <v>162</v>
      </c>
      <c r="F545" t="str">
        <f t="shared" si="43"/>
        <v>STRASBOURG98</v>
      </c>
      <c r="G545" t="s">
        <v>297</v>
      </c>
      <c r="I545" s="16">
        <v>21.66</v>
      </c>
      <c r="J545" s="16">
        <v>1.54</v>
      </c>
      <c r="K545" s="16">
        <v>12.42</v>
      </c>
      <c r="L545" s="159">
        <f t="shared" si="44"/>
        <v>7.1098799630655588E-2</v>
      </c>
      <c r="M545" s="159">
        <f t="shared" si="44"/>
        <v>0.57340720221606645</v>
      </c>
    </row>
    <row r="546" spans="2:13">
      <c r="B546" t="s">
        <v>161</v>
      </c>
      <c r="C546">
        <f t="shared" si="45"/>
        <v>99</v>
      </c>
      <c r="D546" t="str">
        <f t="shared" si="42"/>
        <v>STRASBOURG99</v>
      </c>
      <c r="E546" t="s">
        <v>162</v>
      </c>
      <c r="F546" t="str">
        <f t="shared" si="43"/>
        <v>STRASBOURG99</v>
      </c>
      <c r="G546" t="s">
        <v>360</v>
      </c>
      <c r="I546" s="16">
        <v>21.37</v>
      </c>
      <c r="J546" s="16">
        <v>7.12</v>
      </c>
      <c r="K546" s="16">
        <v>0</v>
      </c>
      <c r="L546" s="159">
        <f t="shared" si="44"/>
        <v>0.33317735142723442</v>
      </c>
      <c r="M546" s="159">
        <f t="shared" si="44"/>
        <v>0</v>
      </c>
    </row>
    <row r="547" spans="2:13">
      <c r="B547" t="s">
        <v>161</v>
      </c>
      <c r="C547">
        <f t="shared" si="45"/>
        <v>100</v>
      </c>
      <c r="D547" t="str">
        <f t="shared" si="42"/>
        <v>STRASBOURG100</v>
      </c>
      <c r="E547" t="s">
        <v>162</v>
      </c>
      <c r="F547" t="str">
        <f t="shared" si="43"/>
        <v>STRASBOURG100</v>
      </c>
      <c r="G547" t="s">
        <v>268</v>
      </c>
      <c r="H547" t="s">
        <v>269</v>
      </c>
      <c r="I547" s="16">
        <v>21.17</v>
      </c>
      <c r="J547" s="16">
        <v>11</v>
      </c>
      <c r="K547" s="16">
        <v>10.16</v>
      </c>
      <c r="L547" s="159">
        <f t="shared" si="44"/>
        <v>0.51960321209258375</v>
      </c>
      <c r="M547" s="159">
        <f t="shared" si="44"/>
        <v>0.4799244213509683</v>
      </c>
    </row>
    <row r="548" spans="2:13">
      <c r="B548" t="s">
        <v>161</v>
      </c>
      <c r="C548">
        <f t="shared" si="45"/>
        <v>101</v>
      </c>
      <c r="D548" t="str">
        <f t="shared" si="42"/>
        <v>STRASBOURG101</v>
      </c>
      <c r="E548" t="s">
        <v>162</v>
      </c>
      <c r="F548" t="str">
        <f t="shared" si="43"/>
        <v>STRASBOURG101</v>
      </c>
      <c r="G548" t="s">
        <v>240</v>
      </c>
      <c r="H548" t="s">
        <v>926</v>
      </c>
      <c r="I548" s="16">
        <v>20.53</v>
      </c>
      <c r="J548" s="16">
        <v>0</v>
      </c>
      <c r="K548" s="16">
        <v>0</v>
      </c>
      <c r="L548" s="159">
        <f t="shared" si="44"/>
        <v>0</v>
      </c>
      <c r="M548" s="159">
        <f t="shared" si="44"/>
        <v>0</v>
      </c>
    </row>
    <row r="549" spans="2:13">
      <c r="B549" t="s">
        <v>161</v>
      </c>
      <c r="C549">
        <f t="shared" si="45"/>
        <v>102</v>
      </c>
      <c r="D549" t="str">
        <f t="shared" si="42"/>
        <v>STRASBOURG102</v>
      </c>
      <c r="E549" t="s">
        <v>162</v>
      </c>
      <c r="F549" t="str">
        <f t="shared" si="43"/>
        <v>STRASBOURG102</v>
      </c>
      <c r="G549" t="s">
        <v>417</v>
      </c>
      <c r="I549" s="16">
        <v>20.16</v>
      </c>
      <c r="J549" s="16">
        <v>18.21</v>
      </c>
      <c r="K549" s="16">
        <v>0</v>
      </c>
      <c r="L549" s="159">
        <f t="shared" si="44"/>
        <v>0.90327380952380953</v>
      </c>
      <c r="M549" s="159">
        <f t="shared" si="44"/>
        <v>0</v>
      </c>
    </row>
    <row r="550" spans="2:13">
      <c r="B550" t="s">
        <v>161</v>
      </c>
      <c r="C550">
        <f t="shared" si="45"/>
        <v>103</v>
      </c>
      <c r="D550" t="str">
        <f t="shared" si="42"/>
        <v>STRASBOURG103</v>
      </c>
      <c r="E550" t="s">
        <v>162</v>
      </c>
      <c r="F550" t="str">
        <f t="shared" si="43"/>
        <v>STRASBOURG103</v>
      </c>
      <c r="G550" t="s">
        <v>316</v>
      </c>
      <c r="H550" t="s">
        <v>317</v>
      </c>
      <c r="I550" s="16">
        <v>20</v>
      </c>
      <c r="J550" s="16">
        <v>0</v>
      </c>
      <c r="K550" s="16">
        <v>20</v>
      </c>
      <c r="L550" s="159">
        <f t="shared" si="44"/>
        <v>0</v>
      </c>
      <c r="M550" s="159">
        <f t="shared" si="44"/>
        <v>1</v>
      </c>
    </row>
    <row r="551" spans="2:13">
      <c r="B551" t="s">
        <v>161</v>
      </c>
      <c r="C551">
        <f t="shared" si="45"/>
        <v>104</v>
      </c>
      <c r="D551" t="str">
        <f t="shared" si="42"/>
        <v>STRASBOURG104</v>
      </c>
      <c r="E551" t="s">
        <v>162</v>
      </c>
      <c r="F551" t="str">
        <f t="shared" si="43"/>
        <v>STRASBOURG104</v>
      </c>
      <c r="G551" t="s">
        <v>436</v>
      </c>
      <c r="I551" s="16">
        <v>18.77</v>
      </c>
      <c r="J551" s="16">
        <v>4.63</v>
      </c>
      <c r="K551" s="16">
        <v>6.52</v>
      </c>
      <c r="L551" s="159">
        <f t="shared" si="44"/>
        <v>0.24667021843367076</v>
      </c>
      <c r="M551" s="159">
        <f t="shared" si="44"/>
        <v>0.3473628129994672</v>
      </c>
    </row>
    <row r="552" spans="2:13">
      <c r="B552" t="s">
        <v>161</v>
      </c>
      <c r="C552">
        <f t="shared" si="45"/>
        <v>105</v>
      </c>
      <c r="D552" t="str">
        <f t="shared" si="42"/>
        <v>STRASBOURG105</v>
      </c>
      <c r="E552" t="s">
        <v>162</v>
      </c>
      <c r="F552" t="str">
        <f t="shared" si="43"/>
        <v>STRASBOURG105</v>
      </c>
      <c r="G552" t="s">
        <v>259</v>
      </c>
      <c r="I552" s="16">
        <v>18.52</v>
      </c>
      <c r="J552" s="16">
        <v>0</v>
      </c>
      <c r="K552" s="16">
        <v>12</v>
      </c>
      <c r="L552" s="159">
        <f t="shared" si="44"/>
        <v>0</v>
      </c>
      <c r="M552" s="159">
        <f t="shared" si="44"/>
        <v>0.64794816414686829</v>
      </c>
    </row>
    <row r="553" spans="2:13">
      <c r="B553" t="s">
        <v>161</v>
      </c>
      <c r="C553">
        <f t="shared" si="45"/>
        <v>106</v>
      </c>
      <c r="D553" t="str">
        <f t="shared" si="42"/>
        <v>STRASBOURG106</v>
      </c>
      <c r="E553" t="s">
        <v>162</v>
      </c>
      <c r="F553" t="str">
        <f t="shared" si="43"/>
        <v>STRASBOURG106</v>
      </c>
      <c r="G553" t="s">
        <v>435</v>
      </c>
      <c r="I553" s="16">
        <v>18.510000000000002</v>
      </c>
      <c r="J553" s="16">
        <v>8.24</v>
      </c>
      <c r="K553" s="16">
        <v>0</v>
      </c>
      <c r="L553" s="159">
        <f t="shared" si="44"/>
        <v>0.44516477579686653</v>
      </c>
      <c r="M553" s="159">
        <f t="shared" si="44"/>
        <v>0</v>
      </c>
    </row>
    <row r="554" spans="2:13">
      <c r="B554" t="s">
        <v>161</v>
      </c>
      <c r="C554">
        <f t="shared" si="45"/>
        <v>107</v>
      </c>
      <c r="D554" t="str">
        <f t="shared" si="42"/>
        <v>STRASBOURG107</v>
      </c>
      <c r="E554" t="s">
        <v>162</v>
      </c>
      <c r="F554" t="str">
        <f t="shared" si="43"/>
        <v>STRASBOURG107</v>
      </c>
      <c r="G554" t="s">
        <v>298</v>
      </c>
      <c r="I554" s="16">
        <v>18.420000000000002</v>
      </c>
      <c r="J554" s="16">
        <v>0</v>
      </c>
      <c r="K554" s="16">
        <v>0</v>
      </c>
      <c r="L554" s="159">
        <f t="shared" si="44"/>
        <v>0</v>
      </c>
      <c r="M554" s="159">
        <f t="shared" si="44"/>
        <v>0</v>
      </c>
    </row>
    <row r="555" spans="2:13">
      <c r="B555" t="s">
        <v>161</v>
      </c>
      <c r="C555">
        <f t="shared" si="45"/>
        <v>108</v>
      </c>
      <c r="D555" t="str">
        <f t="shared" si="42"/>
        <v>STRASBOURG108</v>
      </c>
      <c r="E555" t="s">
        <v>162</v>
      </c>
      <c r="F555" t="str">
        <f t="shared" si="43"/>
        <v>STRASBOURG108</v>
      </c>
      <c r="G555" t="s">
        <v>344</v>
      </c>
      <c r="I555" s="16">
        <v>18.21</v>
      </c>
      <c r="J555" s="16">
        <v>0</v>
      </c>
      <c r="K555" s="16">
        <v>0</v>
      </c>
      <c r="L555" s="159">
        <f t="shared" si="44"/>
        <v>0</v>
      </c>
      <c r="M555" s="159">
        <f t="shared" si="44"/>
        <v>0</v>
      </c>
    </row>
    <row r="556" spans="2:13">
      <c r="B556" t="s">
        <v>161</v>
      </c>
      <c r="C556">
        <f t="shared" si="45"/>
        <v>109</v>
      </c>
      <c r="D556" t="str">
        <f t="shared" si="42"/>
        <v>STRASBOURG109</v>
      </c>
      <c r="E556" t="s">
        <v>162</v>
      </c>
      <c r="F556" t="str">
        <f t="shared" si="43"/>
        <v>STRASBOURG109</v>
      </c>
      <c r="G556" t="s">
        <v>272</v>
      </c>
      <c r="I556" s="16">
        <v>18.16</v>
      </c>
      <c r="J556" s="16">
        <v>9.67</v>
      </c>
      <c r="K556" s="16">
        <v>12.72</v>
      </c>
      <c r="L556" s="159">
        <f t="shared" si="44"/>
        <v>0.53248898678414092</v>
      </c>
      <c r="M556" s="159">
        <f t="shared" si="44"/>
        <v>0.70044052863436124</v>
      </c>
    </row>
    <row r="557" spans="2:13">
      <c r="B557" t="s">
        <v>161</v>
      </c>
      <c r="C557">
        <f t="shared" si="45"/>
        <v>110</v>
      </c>
      <c r="D557" t="str">
        <f t="shared" si="42"/>
        <v>STRASBOURG110</v>
      </c>
      <c r="E557" t="s">
        <v>162</v>
      </c>
      <c r="F557" t="str">
        <f t="shared" si="43"/>
        <v>STRASBOURG110</v>
      </c>
      <c r="G557" t="s">
        <v>457</v>
      </c>
      <c r="I557" s="16">
        <v>17.579999999999998</v>
      </c>
      <c r="J557" s="16">
        <v>17.579999999999998</v>
      </c>
      <c r="K557" s="16">
        <v>0</v>
      </c>
      <c r="L557" s="159">
        <f t="shared" si="44"/>
        <v>1</v>
      </c>
      <c r="M557" s="159">
        <f t="shared" si="44"/>
        <v>0</v>
      </c>
    </row>
    <row r="558" spans="2:13">
      <c r="B558" t="s">
        <v>161</v>
      </c>
      <c r="C558">
        <f t="shared" si="45"/>
        <v>111</v>
      </c>
      <c r="D558" t="str">
        <f t="shared" si="42"/>
        <v>STRASBOURG111</v>
      </c>
      <c r="E558" t="s">
        <v>162</v>
      </c>
      <c r="F558" t="str">
        <f t="shared" si="43"/>
        <v>STRASBOURG111</v>
      </c>
      <c r="G558" t="s">
        <v>301</v>
      </c>
      <c r="H558" t="s">
        <v>918</v>
      </c>
      <c r="I558" s="16">
        <v>16.97</v>
      </c>
      <c r="J558" s="16">
        <v>8.76</v>
      </c>
      <c r="K558" s="16">
        <v>0</v>
      </c>
      <c r="L558" s="159">
        <f t="shared" si="44"/>
        <v>0.5162050677666471</v>
      </c>
      <c r="M558" s="159">
        <f t="shared" si="44"/>
        <v>0</v>
      </c>
    </row>
    <row r="559" spans="2:13">
      <c r="B559" t="s">
        <v>161</v>
      </c>
      <c r="C559">
        <f t="shared" si="45"/>
        <v>112</v>
      </c>
      <c r="D559" t="str">
        <f t="shared" si="42"/>
        <v>STRASBOURG112</v>
      </c>
      <c r="E559" t="s">
        <v>162</v>
      </c>
      <c r="F559" t="str">
        <f t="shared" si="43"/>
        <v>STRASBOURG112</v>
      </c>
      <c r="G559" t="s">
        <v>418</v>
      </c>
      <c r="I559" s="16">
        <v>16.03</v>
      </c>
      <c r="J559" s="16">
        <v>0</v>
      </c>
      <c r="K559" s="16">
        <v>0</v>
      </c>
      <c r="L559" s="159">
        <f t="shared" si="44"/>
        <v>0</v>
      </c>
      <c r="M559" s="159">
        <f t="shared" si="44"/>
        <v>0</v>
      </c>
    </row>
    <row r="560" spans="2:13">
      <c r="B560" t="s">
        <v>161</v>
      </c>
      <c r="C560">
        <f t="shared" si="45"/>
        <v>113</v>
      </c>
      <c r="D560" t="str">
        <f t="shared" si="42"/>
        <v>STRASBOURG113</v>
      </c>
      <c r="E560" t="s">
        <v>162</v>
      </c>
      <c r="F560" t="str">
        <f t="shared" si="43"/>
        <v>STRASBOURG113</v>
      </c>
      <c r="G560" t="s">
        <v>337</v>
      </c>
      <c r="I560" s="16">
        <v>15.62</v>
      </c>
      <c r="J560" s="16">
        <v>6.96</v>
      </c>
      <c r="K560" s="16">
        <v>0</v>
      </c>
      <c r="L560" s="159">
        <f t="shared" si="44"/>
        <v>0.44558258642765686</v>
      </c>
      <c r="M560" s="159">
        <f t="shared" si="44"/>
        <v>0</v>
      </c>
    </row>
    <row r="561" spans="2:13">
      <c r="B561" t="s">
        <v>161</v>
      </c>
      <c r="C561">
        <f t="shared" si="45"/>
        <v>114</v>
      </c>
      <c r="D561" t="str">
        <f t="shared" si="42"/>
        <v>STRASBOURG114</v>
      </c>
      <c r="E561" t="s">
        <v>162</v>
      </c>
      <c r="F561" t="str">
        <f t="shared" si="43"/>
        <v>STRASBOURG114</v>
      </c>
      <c r="G561" t="s">
        <v>352</v>
      </c>
      <c r="I561" s="16">
        <v>15.28</v>
      </c>
      <c r="J561" s="16">
        <v>9.1</v>
      </c>
      <c r="K561" s="16">
        <v>0</v>
      </c>
      <c r="L561" s="159">
        <f t="shared" si="44"/>
        <v>0.59554973821989532</v>
      </c>
      <c r="M561" s="159">
        <f t="shared" si="44"/>
        <v>0</v>
      </c>
    </row>
    <row r="562" spans="2:13">
      <c r="B562" t="s">
        <v>161</v>
      </c>
      <c r="C562">
        <f t="shared" si="45"/>
        <v>115</v>
      </c>
      <c r="D562" t="str">
        <f t="shared" si="42"/>
        <v>STRASBOURG115</v>
      </c>
      <c r="E562" t="s">
        <v>162</v>
      </c>
      <c r="F562" t="str">
        <f t="shared" si="43"/>
        <v>STRASBOURG115</v>
      </c>
      <c r="G562" t="s">
        <v>315</v>
      </c>
      <c r="I562" s="16">
        <v>15.09</v>
      </c>
      <c r="J562" s="16">
        <v>5.32</v>
      </c>
      <c r="K562" s="16">
        <v>7.32</v>
      </c>
      <c r="L562" s="159">
        <f t="shared" si="44"/>
        <v>0.35255135851557323</v>
      </c>
      <c r="M562" s="159">
        <f t="shared" si="44"/>
        <v>0.48508946322067598</v>
      </c>
    </row>
    <row r="563" spans="2:13">
      <c r="B563" t="s">
        <v>161</v>
      </c>
      <c r="C563">
        <f t="shared" si="45"/>
        <v>116</v>
      </c>
      <c r="D563" t="str">
        <f t="shared" si="42"/>
        <v>STRASBOURG116</v>
      </c>
      <c r="E563" t="s">
        <v>162</v>
      </c>
      <c r="F563" t="str">
        <f t="shared" si="43"/>
        <v>STRASBOURG116</v>
      </c>
      <c r="G563" t="s">
        <v>378</v>
      </c>
      <c r="I563" s="16">
        <v>14.93</v>
      </c>
      <c r="J563" s="16">
        <v>8.84</v>
      </c>
      <c r="K563" s="16">
        <v>0</v>
      </c>
      <c r="L563" s="159">
        <f t="shared" si="44"/>
        <v>0.59209645010046885</v>
      </c>
      <c r="M563" s="159">
        <f t="shared" si="44"/>
        <v>0</v>
      </c>
    </row>
    <row r="564" spans="2:13">
      <c r="B564" t="s">
        <v>161</v>
      </c>
      <c r="C564">
        <f t="shared" si="45"/>
        <v>117</v>
      </c>
      <c r="D564" t="str">
        <f t="shared" si="42"/>
        <v>STRASBOURG117</v>
      </c>
      <c r="E564" t="s">
        <v>162</v>
      </c>
      <c r="F564" t="str">
        <f t="shared" si="43"/>
        <v>STRASBOURG117</v>
      </c>
      <c r="G564" t="s">
        <v>398</v>
      </c>
      <c r="I564" s="16">
        <v>14.28</v>
      </c>
      <c r="J564" s="16">
        <v>0</v>
      </c>
      <c r="K564" s="16">
        <v>0</v>
      </c>
      <c r="L564" s="159">
        <f t="shared" si="44"/>
        <v>0</v>
      </c>
      <c r="M564" s="159">
        <f t="shared" si="44"/>
        <v>0</v>
      </c>
    </row>
    <row r="565" spans="2:13">
      <c r="B565" t="s">
        <v>161</v>
      </c>
      <c r="C565">
        <f t="shared" si="45"/>
        <v>118</v>
      </c>
      <c r="D565" t="str">
        <f t="shared" si="42"/>
        <v>STRASBOURG118</v>
      </c>
      <c r="E565" t="s">
        <v>162</v>
      </c>
      <c r="F565" t="str">
        <f t="shared" si="43"/>
        <v>STRASBOURG118</v>
      </c>
      <c r="G565" t="s">
        <v>428</v>
      </c>
      <c r="I565" s="16">
        <v>14.03</v>
      </c>
      <c r="J565" s="16">
        <v>14.03</v>
      </c>
      <c r="K565" s="16">
        <v>0</v>
      </c>
      <c r="L565" s="159">
        <f t="shared" si="44"/>
        <v>1</v>
      </c>
      <c r="M565" s="159">
        <f t="shared" si="44"/>
        <v>0</v>
      </c>
    </row>
    <row r="566" spans="2:13">
      <c r="B566" t="s">
        <v>161</v>
      </c>
      <c r="C566">
        <f t="shared" si="45"/>
        <v>118</v>
      </c>
      <c r="D566" t="str">
        <f t="shared" si="42"/>
        <v>STRASBOURG118</v>
      </c>
      <c r="E566" t="s">
        <v>162</v>
      </c>
      <c r="F566" t="str">
        <f t="shared" si="43"/>
        <v>STRASBOURG118</v>
      </c>
      <c r="G566" t="s">
        <v>409</v>
      </c>
      <c r="I566" s="16">
        <v>14.03</v>
      </c>
      <c r="J566" s="16">
        <v>0</v>
      </c>
      <c r="K566" s="16">
        <v>0</v>
      </c>
      <c r="L566" s="159">
        <f t="shared" si="44"/>
        <v>0</v>
      </c>
      <c r="M566" s="159">
        <f t="shared" si="44"/>
        <v>0</v>
      </c>
    </row>
    <row r="567" spans="2:13">
      <c r="B567" t="s">
        <v>161</v>
      </c>
      <c r="C567">
        <f t="shared" si="45"/>
        <v>120</v>
      </c>
      <c r="D567" t="str">
        <f t="shared" si="42"/>
        <v>STRASBOURG120</v>
      </c>
      <c r="E567" t="s">
        <v>162</v>
      </c>
      <c r="F567" t="str">
        <f t="shared" si="43"/>
        <v>STRASBOURG120</v>
      </c>
      <c r="G567" t="s">
        <v>327</v>
      </c>
      <c r="H567" t="s">
        <v>1799</v>
      </c>
      <c r="I567" s="16">
        <v>14.01</v>
      </c>
      <c r="J567" s="16">
        <v>0</v>
      </c>
      <c r="K567" s="16">
        <v>5</v>
      </c>
      <c r="L567" s="159">
        <f t="shared" si="44"/>
        <v>0</v>
      </c>
      <c r="M567" s="159">
        <f t="shared" si="44"/>
        <v>0.35688793718772305</v>
      </c>
    </row>
    <row r="568" spans="2:13">
      <c r="B568" t="s">
        <v>161</v>
      </c>
      <c r="C568">
        <f t="shared" si="45"/>
        <v>121</v>
      </c>
      <c r="D568" t="str">
        <f t="shared" si="42"/>
        <v>STRASBOURG121</v>
      </c>
      <c r="E568" t="s">
        <v>162</v>
      </c>
      <c r="F568" t="str">
        <f t="shared" si="43"/>
        <v>STRASBOURG121</v>
      </c>
      <c r="G568" t="s">
        <v>285</v>
      </c>
      <c r="H568" t="s">
        <v>286</v>
      </c>
      <c r="I568" s="16">
        <v>13.89</v>
      </c>
      <c r="J568" s="16">
        <v>0</v>
      </c>
      <c r="K568" s="16">
        <v>13.89</v>
      </c>
      <c r="L568" s="159">
        <f t="shared" si="44"/>
        <v>0</v>
      </c>
      <c r="M568" s="159">
        <f t="shared" si="44"/>
        <v>1</v>
      </c>
    </row>
    <row r="569" spans="2:13">
      <c r="B569" t="s">
        <v>161</v>
      </c>
      <c r="C569">
        <f t="shared" si="45"/>
        <v>122</v>
      </c>
      <c r="D569" t="str">
        <f t="shared" si="42"/>
        <v>STRASBOURG122</v>
      </c>
      <c r="E569" t="s">
        <v>162</v>
      </c>
      <c r="F569" t="str">
        <f t="shared" si="43"/>
        <v>STRASBOURG122</v>
      </c>
      <c r="G569" t="s">
        <v>362</v>
      </c>
      <c r="H569" t="s">
        <v>943</v>
      </c>
      <c r="I569" s="16">
        <v>13.74</v>
      </c>
      <c r="J569" s="16">
        <v>4.6500000000000004</v>
      </c>
      <c r="K569" s="16">
        <v>0</v>
      </c>
      <c r="L569" s="159">
        <f t="shared" si="44"/>
        <v>0.33842794759825329</v>
      </c>
      <c r="M569" s="159">
        <f t="shared" si="44"/>
        <v>0</v>
      </c>
    </row>
    <row r="570" spans="2:13">
      <c r="B570" t="s">
        <v>161</v>
      </c>
      <c r="C570">
        <f t="shared" si="45"/>
        <v>123</v>
      </c>
      <c r="D570" t="str">
        <f t="shared" si="42"/>
        <v>STRASBOURG123</v>
      </c>
      <c r="E570" t="s">
        <v>162</v>
      </c>
      <c r="F570" t="str">
        <f t="shared" si="43"/>
        <v>STRASBOURG123</v>
      </c>
      <c r="G570" t="s">
        <v>333</v>
      </c>
      <c r="I570" s="16">
        <v>13.21</v>
      </c>
      <c r="J570" s="16">
        <v>13.21</v>
      </c>
      <c r="K570" s="16">
        <v>0</v>
      </c>
      <c r="L570" s="159">
        <f t="shared" si="44"/>
        <v>1</v>
      </c>
      <c r="M570" s="159">
        <f t="shared" si="44"/>
        <v>0</v>
      </c>
    </row>
    <row r="571" spans="2:13">
      <c r="B571" t="s">
        <v>161</v>
      </c>
      <c r="C571">
        <f t="shared" si="45"/>
        <v>124</v>
      </c>
      <c r="D571" t="str">
        <f t="shared" si="42"/>
        <v>STRASBOURG124</v>
      </c>
      <c r="E571" t="s">
        <v>162</v>
      </c>
      <c r="F571" t="str">
        <f t="shared" si="43"/>
        <v>STRASBOURG124</v>
      </c>
      <c r="G571" t="s">
        <v>305</v>
      </c>
      <c r="H571" t="s">
        <v>937</v>
      </c>
      <c r="I571" s="16">
        <v>12.7</v>
      </c>
      <c r="J571" s="16">
        <v>3.68</v>
      </c>
      <c r="K571" s="16">
        <v>0</v>
      </c>
      <c r="L571" s="159">
        <f t="shared" si="44"/>
        <v>0.28976377952755911</v>
      </c>
      <c r="M571" s="159">
        <f t="shared" si="44"/>
        <v>0</v>
      </c>
    </row>
    <row r="572" spans="2:13">
      <c r="B572" t="s">
        <v>161</v>
      </c>
      <c r="C572">
        <f t="shared" si="45"/>
        <v>125</v>
      </c>
      <c r="D572" t="str">
        <f t="shared" si="42"/>
        <v>STRASBOURG125</v>
      </c>
      <c r="E572" t="s">
        <v>162</v>
      </c>
      <c r="F572" t="str">
        <f t="shared" si="43"/>
        <v>STRASBOURG125</v>
      </c>
      <c r="G572" t="s">
        <v>379</v>
      </c>
      <c r="H572" t="s">
        <v>944</v>
      </c>
      <c r="I572" s="16">
        <v>12.62</v>
      </c>
      <c r="J572" s="16">
        <v>8.5</v>
      </c>
      <c r="K572" s="16">
        <v>0</v>
      </c>
      <c r="L572" s="159">
        <f t="shared" si="44"/>
        <v>0.67353407290015854</v>
      </c>
      <c r="M572" s="159">
        <f t="shared" si="44"/>
        <v>0</v>
      </c>
    </row>
    <row r="573" spans="2:13">
      <c r="B573" t="s">
        <v>161</v>
      </c>
      <c r="C573">
        <f t="shared" si="45"/>
        <v>126</v>
      </c>
      <c r="D573" t="str">
        <f t="shared" si="42"/>
        <v>STRASBOURG126</v>
      </c>
      <c r="E573" t="s">
        <v>162</v>
      </c>
      <c r="F573" t="str">
        <f t="shared" si="43"/>
        <v>STRASBOURG126</v>
      </c>
      <c r="G573" t="s">
        <v>365</v>
      </c>
      <c r="I573" s="16">
        <v>12.42</v>
      </c>
      <c r="J573" s="16">
        <v>12.42</v>
      </c>
      <c r="K573" s="16">
        <v>0</v>
      </c>
      <c r="L573" s="159">
        <f t="shared" si="44"/>
        <v>1</v>
      </c>
      <c r="M573" s="159">
        <f t="shared" si="44"/>
        <v>0</v>
      </c>
    </row>
    <row r="574" spans="2:13">
      <c r="B574" t="s">
        <v>161</v>
      </c>
      <c r="C574">
        <f t="shared" si="45"/>
        <v>127</v>
      </c>
      <c r="D574" t="str">
        <f t="shared" si="42"/>
        <v>STRASBOURG127</v>
      </c>
      <c r="E574" t="s">
        <v>162</v>
      </c>
      <c r="F574" t="str">
        <f t="shared" si="43"/>
        <v>STRASBOURG127</v>
      </c>
      <c r="G574" t="s">
        <v>431</v>
      </c>
      <c r="I574" s="16">
        <v>12.16</v>
      </c>
      <c r="J574" s="16">
        <v>0</v>
      </c>
      <c r="K574" s="16">
        <v>10.16</v>
      </c>
      <c r="L574" s="159">
        <f t="shared" si="44"/>
        <v>0</v>
      </c>
      <c r="M574" s="159">
        <f t="shared" si="44"/>
        <v>0.83552631578947367</v>
      </c>
    </row>
    <row r="575" spans="2:13">
      <c r="B575" t="s">
        <v>161</v>
      </c>
      <c r="C575">
        <f t="shared" si="45"/>
        <v>128</v>
      </c>
      <c r="D575" t="str">
        <f t="shared" si="42"/>
        <v>STRASBOURG128</v>
      </c>
      <c r="E575" t="s">
        <v>162</v>
      </c>
      <c r="F575" t="str">
        <f t="shared" si="43"/>
        <v>STRASBOURG128</v>
      </c>
      <c r="G575" t="s">
        <v>323</v>
      </c>
      <c r="I575" s="16">
        <v>12.01</v>
      </c>
      <c r="J575" s="16">
        <v>0</v>
      </c>
      <c r="K575" s="16">
        <v>0</v>
      </c>
      <c r="L575" s="159">
        <f t="shared" si="44"/>
        <v>0</v>
      </c>
      <c r="M575" s="159">
        <f t="shared" si="44"/>
        <v>0</v>
      </c>
    </row>
    <row r="576" spans="2:13">
      <c r="B576" t="s">
        <v>161</v>
      </c>
      <c r="C576">
        <f t="shared" ref="C576:C607" si="46">RANK(I576,$I$447:$I$617,0)</f>
        <v>129</v>
      </c>
      <c r="D576" t="str">
        <f t="shared" si="42"/>
        <v>STRASBOURG129</v>
      </c>
      <c r="E576" t="s">
        <v>162</v>
      </c>
      <c r="F576" t="str">
        <f t="shared" si="43"/>
        <v>STRASBOURG129</v>
      </c>
      <c r="G576" t="s">
        <v>424</v>
      </c>
      <c r="I576" s="16">
        <v>11.64</v>
      </c>
      <c r="J576" s="16">
        <v>2.2200000000000002</v>
      </c>
      <c r="K576" s="16">
        <v>2.81</v>
      </c>
      <c r="L576" s="159">
        <f t="shared" si="44"/>
        <v>0.1907216494845361</v>
      </c>
      <c r="M576" s="159">
        <f t="shared" si="44"/>
        <v>0.24140893470790378</v>
      </c>
    </row>
    <row r="577" spans="2:13">
      <c r="B577" t="s">
        <v>161</v>
      </c>
      <c r="C577">
        <f t="shared" si="46"/>
        <v>130</v>
      </c>
      <c r="D577" t="str">
        <f t="shared" si="42"/>
        <v>STRASBOURG130</v>
      </c>
      <c r="E577" t="s">
        <v>162</v>
      </c>
      <c r="F577" t="str">
        <f t="shared" si="43"/>
        <v>STRASBOURG130</v>
      </c>
      <c r="G577" t="s">
        <v>346</v>
      </c>
      <c r="I577" s="16">
        <v>11.61</v>
      </c>
      <c r="J577" s="16">
        <v>3.09</v>
      </c>
      <c r="K577" s="16">
        <v>6.52</v>
      </c>
      <c r="L577" s="159">
        <f t="shared" si="44"/>
        <v>0.26614987080103358</v>
      </c>
      <c r="M577" s="159">
        <f t="shared" si="44"/>
        <v>0.56158484065460812</v>
      </c>
    </row>
    <row r="578" spans="2:13">
      <c r="B578" t="s">
        <v>161</v>
      </c>
      <c r="C578">
        <f t="shared" si="46"/>
        <v>131</v>
      </c>
      <c r="D578" t="str">
        <f t="shared" ref="D578:D641" si="47">CONCATENATE(E578,C578)</f>
        <v>STRASBOURG131</v>
      </c>
      <c r="E578" t="s">
        <v>162</v>
      </c>
      <c r="F578" t="str">
        <f t="shared" si="43"/>
        <v>STRASBOURG131</v>
      </c>
      <c r="G578" t="s">
        <v>441</v>
      </c>
      <c r="I578" s="16">
        <v>11.46</v>
      </c>
      <c r="J578" s="16">
        <v>11.46</v>
      </c>
      <c r="K578" s="16">
        <v>0</v>
      </c>
      <c r="L578" s="159">
        <f t="shared" si="44"/>
        <v>1</v>
      </c>
      <c r="M578" s="159">
        <f t="shared" si="44"/>
        <v>0</v>
      </c>
    </row>
    <row r="579" spans="2:13">
      <c r="B579" t="s">
        <v>161</v>
      </c>
      <c r="C579">
        <f t="shared" si="46"/>
        <v>132</v>
      </c>
      <c r="D579" t="str">
        <f t="shared" si="47"/>
        <v>STRASBOURG132</v>
      </c>
      <c r="E579" t="s">
        <v>162</v>
      </c>
      <c r="F579" t="str">
        <f t="shared" ref="F579:F642" si="48">D579</f>
        <v>STRASBOURG132</v>
      </c>
      <c r="G579" t="s">
        <v>445</v>
      </c>
      <c r="I579" s="16">
        <v>11.14</v>
      </c>
      <c r="J579" s="16">
        <v>3.97</v>
      </c>
      <c r="K579" s="16">
        <v>0</v>
      </c>
      <c r="L579" s="159">
        <f t="shared" ref="L579:M642" si="49">J579/$I579</f>
        <v>0.35637342908438063</v>
      </c>
      <c r="M579" s="159">
        <f t="shared" si="49"/>
        <v>0</v>
      </c>
    </row>
    <row r="580" spans="2:13">
      <c r="B580" t="s">
        <v>161</v>
      </c>
      <c r="C580">
        <f t="shared" si="46"/>
        <v>133</v>
      </c>
      <c r="D580" t="str">
        <f t="shared" si="47"/>
        <v>STRASBOURG133</v>
      </c>
      <c r="E580" t="s">
        <v>162</v>
      </c>
      <c r="F580" t="str">
        <f t="shared" si="48"/>
        <v>STRASBOURG133</v>
      </c>
      <c r="G580" t="s">
        <v>407</v>
      </c>
      <c r="I580" s="16">
        <v>10.87</v>
      </c>
      <c r="J580" s="16">
        <v>2.2400000000000002</v>
      </c>
      <c r="K580" s="16">
        <v>0</v>
      </c>
      <c r="L580" s="159">
        <f t="shared" si="49"/>
        <v>0.20607175712971484</v>
      </c>
      <c r="M580" s="159">
        <f t="shared" si="49"/>
        <v>0</v>
      </c>
    </row>
    <row r="581" spans="2:13">
      <c r="B581" t="s">
        <v>161</v>
      </c>
      <c r="C581">
        <f t="shared" si="46"/>
        <v>134</v>
      </c>
      <c r="D581" t="str">
        <f t="shared" si="47"/>
        <v>STRASBOURG134</v>
      </c>
      <c r="E581" t="s">
        <v>162</v>
      </c>
      <c r="F581" t="str">
        <f t="shared" si="48"/>
        <v>STRASBOURG134</v>
      </c>
      <c r="G581" t="s">
        <v>368</v>
      </c>
      <c r="I581" s="16">
        <v>9.32</v>
      </c>
      <c r="J581" s="16">
        <v>2.98</v>
      </c>
      <c r="K581" s="16">
        <v>0</v>
      </c>
      <c r="L581" s="159">
        <f t="shared" si="49"/>
        <v>0.31974248927038623</v>
      </c>
      <c r="M581" s="159">
        <f t="shared" si="49"/>
        <v>0</v>
      </c>
    </row>
    <row r="582" spans="2:13">
      <c r="B582" t="s">
        <v>161</v>
      </c>
      <c r="C582">
        <f t="shared" si="46"/>
        <v>135</v>
      </c>
      <c r="D582" t="str">
        <f t="shared" si="47"/>
        <v>STRASBOURG135</v>
      </c>
      <c r="E582" t="s">
        <v>162</v>
      </c>
      <c r="F582" t="str">
        <f t="shared" si="48"/>
        <v>STRASBOURG135</v>
      </c>
      <c r="G582" t="s">
        <v>443</v>
      </c>
      <c r="I582" s="16">
        <v>8.8000000000000007</v>
      </c>
      <c r="J582" s="16">
        <v>0</v>
      </c>
      <c r="K582" s="16">
        <v>0</v>
      </c>
      <c r="L582" s="159">
        <f t="shared" si="49"/>
        <v>0</v>
      </c>
      <c r="M582" s="159">
        <f t="shared" si="49"/>
        <v>0</v>
      </c>
    </row>
    <row r="583" spans="2:13">
      <c r="B583" t="s">
        <v>161</v>
      </c>
      <c r="C583">
        <f t="shared" si="46"/>
        <v>136</v>
      </c>
      <c r="D583" t="str">
        <f t="shared" si="47"/>
        <v>STRASBOURG136</v>
      </c>
      <c r="E583" t="s">
        <v>162</v>
      </c>
      <c r="F583" t="str">
        <f t="shared" si="48"/>
        <v>STRASBOURG136</v>
      </c>
      <c r="G583" t="s">
        <v>367</v>
      </c>
      <c r="I583" s="16">
        <v>8.7200000000000006</v>
      </c>
      <c r="J583" s="16">
        <v>4.49</v>
      </c>
      <c r="K583" s="16">
        <v>0</v>
      </c>
      <c r="L583" s="159">
        <f t="shared" si="49"/>
        <v>0.51490825688073394</v>
      </c>
      <c r="M583" s="159">
        <f t="shared" si="49"/>
        <v>0</v>
      </c>
    </row>
    <row r="584" spans="2:13">
      <c r="B584" t="s">
        <v>161</v>
      </c>
      <c r="C584">
        <f t="shared" si="46"/>
        <v>137</v>
      </c>
      <c r="D584" t="str">
        <f t="shared" si="47"/>
        <v>STRASBOURG137</v>
      </c>
      <c r="E584" t="s">
        <v>162</v>
      </c>
      <c r="F584" t="str">
        <f t="shared" si="48"/>
        <v>STRASBOURG137</v>
      </c>
      <c r="G584" t="s">
        <v>391</v>
      </c>
      <c r="I584" s="16">
        <v>8.07</v>
      </c>
      <c r="J584" s="16">
        <v>1.69</v>
      </c>
      <c r="K584" s="16">
        <v>0</v>
      </c>
      <c r="L584" s="159">
        <f t="shared" si="49"/>
        <v>0.2094175960346964</v>
      </c>
      <c r="M584" s="159">
        <f t="shared" si="49"/>
        <v>0</v>
      </c>
    </row>
    <row r="585" spans="2:13">
      <c r="B585" t="s">
        <v>161</v>
      </c>
      <c r="C585">
        <f t="shared" si="46"/>
        <v>138</v>
      </c>
      <c r="D585" t="str">
        <f t="shared" si="47"/>
        <v>STRASBOURG138</v>
      </c>
      <c r="E585" t="s">
        <v>162</v>
      </c>
      <c r="F585" t="str">
        <f t="shared" si="48"/>
        <v>STRASBOURG138</v>
      </c>
      <c r="G585" t="s">
        <v>420</v>
      </c>
      <c r="I585" s="16">
        <v>7.9</v>
      </c>
      <c r="J585" s="16">
        <v>0</v>
      </c>
      <c r="K585" s="16">
        <v>0</v>
      </c>
      <c r="L585" s="159">
        <f t="shared" si="49"/>
        <v>0</v>
      </c>
      <c r="M585" s="159">
        <f t="shared" si="49"/>
        <v>0</v>
      </c>
    </row>
    <row r="586" spans="2:13">
      <c r="B586" t="s">
        <v>161</v>
      </c>
      <c r="C586">
        <f t="shared" si="46"/>
        <v>139</v>
      </c>
      <c r="D586" t="str">
        <f t="shared" si="47"/>
        <v>STRASBOURG139</v>
      </c>
      <c r="E586" t="s">
        <v>162</v>
      </c>
      <c r="F586" t="str">
        <f t="shared" si="48"/>
        <v>STRASBOURG139</v>
      </c>
      <c r="G586" t="s">
        <v>403</v>
      </c>
      <c r="I586" s="16">
        <v>7.66</v>
      </c>
      <c r="J586" s="16">
        <v>0</v>
      </c>
      <c r="K586" s="16">
        <v>0</v>
      </c>
      <c r="L586" s="159">
        <f t="shared" si="49"/>
        <v>0</v>
      </c>
      <c r="M586" s="159">
        <f t="shared" si="49"/>
        <v>0</v>
      </c>
    </row>
    <row r="587" spans="2:13">
      <c r="B587" t="s">
        <v>161</v>
      </c>
      <c r="C587">
        <f t="shared" si="46"/>
        <v>140</v>
      </c>
      <c r="D587" t="str">
        <f t="shared" si="47"/>
        <v>STRASBOURG140</v>
      </c>
      <c r="E587" t="s">
        <v>162</v>
      </c>
      <c r="F587" t="str">
        <f t="shared" si="48"/>
        <v>STRASBOURG140</v>
      </c>
      <c r="G587" t="s">
        <v>355</v>
      </c>
      <c r="I587" s="16">
        <v>7.55</v>
      </c>
      <c r="J587" s="16">
        <v>7.55</v>
      </c>
      <c r="K587" s="16">
        <v>0</v>
      </c>
      <c r="L587" s="159">
        <f t="shared" si="49"/>
        <v>1</v>
      </c>
      <c r="M587" s="159">
        <f t="shared" si="49"/>
        <v>0</v>
      </c>
    </row>
    <row r="588" spans="2:13">
      <c r="B588" t="s">
        <v>161</v>
      </c>
      <c r="C588">
        <f t="shared" si="46"/>
        <v>141</v>
      </c>
      <c r="D588" t="str">
        <f t="shared" si="47"/>
        <v>STRASBOURG141</v>
      </c>
      <c r="E588" t="s">
        <v>162</v>
      </c>
      <c r="F588" t="str">
        <f t="shared" si="48"/>
        <v>STRASBOURG141</v>
      </c>
      <c r="G588" t="s">
        <v>447</v>
      </c>
      <c r="I588" s="16">
        <v>7.49</v>
      </c>
      <c r="J588" s="16">
        <v>0</v>
      </c>
      <c r="K588" s="16">
        <v>0</v>
      </c>
      <c r="L588" s="159">
        <f t="shared" si="49"/>
        <v>0</v>
      </c>
      <c r="M588" s="159">
        <f t="shared" si="49"/>
        <v>0</v>
      </c>
    </row>
    <row r="589" spans="2:13">
      <c r="B589" t="s">
        <v>161</v>
      </c>
      <c r="C589">
        <f t="shared" si="46"/>
        <v>142</v>
      </c>
      <c r="D589" t="str">
        <f t="shared" si="47"/>
        <v>STRASBOURG142</v>
      </c>
      <c r="E589" t="s">
        <v>162</v>
      </c>
      <c r="F589" t="str">
        <f t="shared" si="48"/>
        <v>STRASBOURG142</v>
      </c>
      <c r="G589" t="s">
        <v>262</v>
      </c>
      <c r="I589" s="16">
        <v>7.18</v>
      </c>
      <c r="J589" s="16">
        <v>3.46</v>
      </c>
      <c r="K589" s="16">
        <v>0</v>
      </c>
      <c r="L589" s="159">
        <f t="shared" si="49"/>
        <v>0.48189415041782729</v>
      </c>
      <c r="M589" s="159">
        <f t="shared" si="49"/>
        <v>0</v>
      </c>
    </row>
    <row r="590" spans="2:13">
      <c r="B590" t="s">
        <v>161</v>
      </c>
      <c r="C590">
        <f t="shared" si="46"/>
        <v>143</v>
      </c>
      <c r="D590" t="str">
        <f t="shared" si="47"/>
        <v>STRASBOURG143</v>
      </c>
      <c r="E590" t="s">
        <v>162</v>
      </c>
      <c r="F590" t="str">
        <f t="shared" si="48"/>
        <v>STRASBOURG143</v>
      </c>
      <c r="G590" t="s">
        <v>404</v>
      </c>
      <c r="I590" s="16">
        <v>7.03</v>
      </c>
      <c r="J590" s="16">
        <v>7.03</v>
      </c>
      <c r="K590" s="16">
        <v>0</v>
      </c>
      <c r="L590" s="159">
        <f t="shared" si="49"/>
        <v>1</v>
      </c>
      <c r="M590" s="159">
        <f t="shared" si="49"/>
        <v>0</v>
      </c>
    </row>
    <row r="591" spans="2:13">
      <c r="B591" t="s">
        <v>161</v>
      </c>
      <c r="C591">
        <f t="shared" si="46"/>
        <v>144</v>
      </c>
      <c r="D591" t="str">
        <f t="shared" si="47"/>
        <v>STRASBOURG144</v>
      </c>
      <c r="E591" t="s">
        <v>162</v>
      </c>
      <c r="F591" t="str">
        <f t="shared" si="48"/>
        <v>STRASBOURG144</v>
      </c>
      <c r="G591" t="s">
        <v>372</v>
      </c>
      <c r="I591" s="16">
        <v>7</v>
      </c>
      <c r="J591" s="16">
        <v>0</v>
      </c>
      <c r="K591" s="16">
        <v>0</v>
      </c>
      <c r="L591" s="159">
        <f t="shared" si="49"/>
        <v>0</v>
      </c>
      <c r="M591" s="159">
        <f t="shared" si="49"/>
        <v>0</v>
      </c>
    </row>
    <row r="592" spans="2:13">
      <c r="B592" t="s">
        <v>161</v>
      </c>
      <c r="C592">
        <f t="shared" si="46"/>
        <v>145</v>
      </c>
      <c r="D592" t="str">
        <f t="shared" si="47"/>
        <v>STRASBOURG145</v>
      </c>
      <c r="E592" t="s">
        <v>162</v>
      </c>
      <c r="F592" t="str">
        <f t="shared" si="48"/>
        <v>STRASBOURG145</v>
      </c>
      <c r="G592" t="s">
        <v>371</v>
      </c>
      <c r="I592" s="16">
        <v>6.94</v>
      </c>
      <c r="J592" s="16">
        <v>0</v>
      </c>
      <c r="K592" s="16">
        <v>0</v>
      </c>
      <c r="L592" s="159">
        <f t="shared" si="49"/>
        <v>0</v>
      </c>
      <c r="M592" s="159">
        <f t="shared" si="49"/>
        <v>0</v>
      </c>
    </row>
    <row r="593" spans="2:13">
      <c r="B593" t="s">
        <v>161</v>
      </c>
      <c r="C593">
        <f t="shared" si="46"/>
        <v>146</v>
      </c>
      <c r="D593" t="str">
        <f t="shared" si="47"/>
        <v>STRASBOURG146</v>
      </c>
      <c r="E593" t="s">
        <v>162</v>
      </c>
      <c r="F593" t="str">
        <f t="shared" si="48"/>
        <v>STRASBOURG146</v>
      </c>
      <c r="G593" t="s">
        <v>432</v>
      </c>
      <c r="I593" s="16">
        <v>6.72</v>
      </c>
      <c r="J593" s="16">
        <v>0</v>
      </c>
      <c r="K593" s="16">
        <v>0</v>
      </c>
      <c r="L593" s="159">
        <f t="shared" si="49"/>
        <v>0</v>
      </c>
      <c r="M593" s="159">
        <f t="shared" si="49"/>
        <v>0</v>
      </c>
    </row>
    <row r="594" spans="2:13">
      <c r="B594" t="s">
        <v>161</v>
      </c>
      <c r="C594">
        <f t="shared" si="46"/>
        <v>147</v>
      </c>
      <c r="D594" t="str">
        <f t="shared" si="47"/>
        <v>STRASBOURG147</v>
      </c>
      <c r="E594" t="s">
        <v>162</v>
      </c>
      <c r="F594" t="str">
        <f t="shared" si="48"/>
        <v>STRASBOURG147</v>
      </c>
      <c r="G594" t="s">
        <v>421</v>
      </c>
      <c r="I594" s="16">
        <v>6.28</v>
      </c>
      <c r="J594" s="16">
        <v>6.28</v>
      </c>
      <c r="K594" s="16">
        <v>0</v>
      </c>
      <c r="L594" s="159">
        <f t="shared" si="49"/>
        <v>1</v>
      </c>
      <c r="M594" s="159">
        <f t="shared" si="49"/>
        <v>0</v>
      </c>
    </row>
    <row r="595" spans="2:13">
      <c r="B595" t="s">
        <v>161</v>
      </c>
      <c r="C595">
        <f t="shared" si="46"/>
        <v>148</v>
      </c>
      <c r="D595" t="str">
        <f t="shared" si="47"/>
        <v>STRASBOURG148</v>
      </c>
      <c r="E595" t="s">
        <v>162</v>
      </c>
      <c r="F595" t="str">
        <f t="shared" si="48"/>
        <v>STRASBOURG148</v>
      </c>
      <c r="G595" t="s">
        <v>363</v>
      </c>
      <c r="I595" s="16">
        <v>6.22</v>
      </c>
      <c r="J595" s="16">
        <v>2.74</v>
      </c>
      <c r="K595" s="16">
        <v>0</v>
      </c>
      <c r="L595" s="159">
        <f t="shared" si="49"/>
        <v>0.44051446945337625</v>
      </c>
      <c r="M595" s="159">
        <f t="shared" si="49"/>
        <v>0</v>
      </c>
    </row>
    <row r="596" spans="2:13">
      <c r="B596" t="s">
        <v>161</v>
      </c>
      <c r="C596">
        <f t="shared" si="46"/>
        <v>149</v>
      </c>
      <c r="D596" t="str">
        <f t="shared" si="47"/>
        <v>STRASBOURG149</v>
      </c>
      <c r="E596" t="s">
        <v>162</v>
      </c>
      <c r="F596" t="str">
        <f t="shared" si="48"/>
        <v>STRASBOURG149</v>
      </c>
      <c r="G596" t="s">
        <v>425</v>
      </c>
      <c r="I596" s="16">
        <v>6.18</v>
      </c>
      <c r="J596" s="16">
        <v>0</v>
      </c>
      <c r="K596" s="16">
        <v>0</v>
      </c>
      <c r="L596" s="159">
        <f t="shared" si="49"/>
        <v>0</v>
      </c>
      <c r="M596" s="159">
        <f t="shared" si="49"/>
        <v>0</v>
      </c>
    </row>
    <row r="597" spans="2:13">
      <c r="B597" t="s">
        <v>161</v>
      </c>
      <c r="C597">
        <f t="shared" si="46"/>
        <v>150</v>
      </c>
      <c r="D597" t="str">
        <f t="shared" si="47"/>
        <v>STRASBOURG150</v>
      </c>
      <c r="E597" t="s">
        <v>162</v>
      </c>
      <c r="F597" t="str">
        <f t="shared" si="48"/>
        <v>STRASBOURG150</v>
      </c>
      <c r="G597" t="s">
        <v>411</v>
      </c>
      <c r="I597" s="16">
        <v>6.11</v>
      </c>
      <c r="J597" s="16">
        <v>2</v>
      </c>
      <c r="K597" s="16">
        <v>0</v>
      </c>
      <c r="L597" s="159">
        <f t="shared" si="49"/>
        <v>0.32733224222585922</v>
      </c>
      <c r="M597" s="159">
        <f t="shared" si="49"/>
        <v>0</v>
      </c>
    </row>
    <row r="598" spans="2:13">
      <c r="B598" t="s">
        <v>161</v>
      </c>
      <c r="C598">
        <f t="shared" si="46"/>
        <v>150</v>
      </c>
      <c r="D598" t="str">
        <f t="shared" si="47"/>
        <v>STRASBOURG150</v>
      </c>
      <c r="E598" t="s">
        <v>162</v>
      </c>
      <c r="F598" t="str">
        <f t="shared" si="48"/>
        <v>STRASBOURG150</v>
      </c>
      <c r="G598" t="s">
        <v>397</v>
      </c>
      <c r="I598" s="16">
        <v>6.11</v>
      </c>
      <c r="J598" s="16">
        <v>6.11</v>
      </c>
      <c r="K598" s="16">
        <v>0</v>
      </c>
      <c r="L598" s="159">
        <f t="shared" si="49"/>
        <v>1</v>
      </c>
      <c r="M598" s="159">
        <f t="shared" si="49"/>
        <v>0</v>
      </c>
    </row>
    <row r="599" spans="2:13">
      <c r="B599" t="s">
        <v>161</v>
      </c>
      <c r="C599">
        <f t="shared" si="46"/>
        <v>152</v>
      </c>
      <c r="D599" t="str">
        <f t="shared" si="47"/>
        <v>STRASBOURG152</v>
      </c>
      <c r="E599" t="s">
        <v>162</v>
      </c>
      <c r="F599" t="str">
        <f t="shared" si="48"/>
        <v>STRASBOURG152</v>
      </c>
      <c r="G599" t="s">
        <v>263</v>
      </c>
      <c r="I599" s="16">
        <v>6.1</v>
      </c>
      <c r="J599" s="16">
        <v>6.1</v>
      </c>
      <c r="K599" s="16">
        <v>0</v>
      </c>
      <c r="L599" s="159">
        <f t="shared" si="49"/>
        <v>1</v>
      </c>
      <c r="M599" s="159">
        <f t="shared" si="49"/>
        <v>0</v>
      </c>
    </row>
    <row r="600" spans="2:13">
      <c r="B600" t="s">
        <v>161</v>
      </c>
      <c r="C600">
        <f t="shared" si="46"/>
        <v>153</v>
      </c>
      <c r="D600" t="str">
        <f t="shared" si="47"/>
        <v>STRASBOURG153</v>
      </c>
      <c r="E600" t="s">
        <v>162</v>
      </c>
      <c r="F600" t="str">
        <f t="shared" si="48"/>
        <v>STRASBOURG153</v>
      </c>
      <c r="G600" t="s">
        <v>233</v>
      </c>
      <c r="I600" s="16">
        <v>5.69</v>
      </c>
      <c r="J600" s="16">
        <v>0</v>
      </c>
      <c r="K600" s="16">
        <v>0</v>
      </c>
      <c r="L600" s="159">
        <f t="shared" si="49"/>
        <v>0</v>
      </c>
      <c r="M600" s="159">
        <f t="shared" si="49"/>
        <v>0</v>
      </c>
    </row>
    <row r="601" spans="2:13">
      <c r="B601" t="s">
        <v>161</v>
      </c>
      <c r="C601">
        <f t="shared" si="46"/>
        <v>154</v>
      </c>
      <c r="D601" t="str">
        <f t="shared" si="47"/>
        <v>STRASBOURG154</v>
      </c>
      <c r="E601" t="s">
        <v>162</v>
      </c>
      <c r="F601" t="str">
        <f t="shared" si="48"/>
        <v>STRASBOURG154</v>
      </c>
      <c r="G601" t="s">
        <v>392</v>
      </c>
      <c r="I601" s="16">
        <v>5.56</v>
      </c>
      <c r="J601" s="16">
        <v>5.56</v>
      </c>
      <c r="K601" s="16">
        <v>0</v>
      </c>
      <c r="L601" s="159">
        <f t="shared" si="49"/>
        <v>1</v>
      </c>
      <c r="M601" s="159">
        <f t="shared" si="49"/>
        <v>0</v>
      </c>
    </row>
    <row r="602" spans="2:13">
      <c r="B602" t="s">
        <v>161</v>
      </c>
      <c r="C602">
        <f t="shared" si="46"/>
        <v>155</v>
      </c>
      <c r="D602" t="str">
        <f t="shared" si="47"/>
        <v>STRASBOURG155</v>
      </c>
      <c r="E602" t="s">
        <v>162</v>
      </c>
      <c r="F602" t="str">
        <f t="shared" si="48"/>
        <v>STRASBOURG155</v>
      </c>
      <c r="G602" t="s">
        <v>366</v>
      </c>
      <c r="I602" s="16">
        <v>5.24</v>
      </c>
      <c r="J602" s="16">
        <v>0</v>
      </c>
      <c r="K602" s="16">
        <v>0</v>
      </c>
      <c r="L602" s="159">
        <f t="shared" si="49"/>
        <v>0</v>
      </c>
      <c r="M602" s="159">
        <f t="shared" si="49"/>
        <v>0</v>
      </c>
    </row>
    <row r="603" spans="2:13">
      <c r="B603" t="s">
        <v>161</v>
      </c>
      <c r="C603">
        <f t="shared" si="46"/>
        <v>156</v>
      </c>
      <c r="D603" t="str">
        <f t="shared" si="47"/>
        <v>STRASBOURG156</v>
      </c>
      <c r="E603" t="s">
        <v>162</v>
      </c>
      <c r="F603" t="str">
        <f t="shared" si="48"/>
        <v>STRASBOURG156</v>
      </c>
      <c r="G603" t="s">
        <v>458</v>
      </c>
      <c r="I603" s="16">
        <v>4.72</v>
      </c>
      <c r="J603" s="16">
        <v>4.72</v>
      </c>
      <c r="K603" s="16">
        <v>0</v>
      </c>
      <c r="L603" s="159">
        <f t="shared" si="49"/>
        <v>1</v>
      </c>
      <c r="M603" s="159">
        <f t="shared" si="49"/>
        <v>0</v>
      </c>
    </row>
    <row r="604" spans="2:13">
      <c r="B604" t="s">
        <v>161</v>
      </c>
      <c r="C604">
        <f t="shared" si="46"/>
        <v>157</v>
      </c>
      <c r="D604" t="str">
        <f t="shared" si="47"/>
        <v>STRASBOURG157</v>
      </c>
      <c r="E604" t="s">
        <v>162</v>
      </c>
      <c r="F604" t="str">
        <f t="shared" si="48"/>
        <v>STRASBOURG157</v>
      </c>
      <c r="G604" t="s">
        <v>237</v>
      </c>
      <c r="I604" s="16">
        <v>4.5999999999999996</v>
      </c>
      <c r="J604" s="16">
        <v>4.5999999999999996</v>
      </c>
      <c r="K604" s="16">
        <v>0</v>
      </c>
      <c r="L604" s="159">
        <f t="shared" si="49"/>
        <v>1</v>
      </c>
      <c r="M604" s="159">
        <f t="shared" si="49"/>
        <v>0</v>
      </c>
    </row>
    <row r="605" spans="2:13">
      <c r="B605" t="s">
        <v>161</v>
      </c>
      <c r="C605">
        <f t="shared" si="46"/>
        <v>158</v>
      </c>
      <c r="D605" t="str">
        <f t="shared" si="47"/>
        <v>STRASBOURG158</v>
      </c>
      <c r="E605" t="s">
        <v>162</v>
      </c>
      <c r="F605" t="str">
        <f t="shared" si="48"/>
        <v>STRASBOURG158</v>
      </c>
      <c r="G605" t="s">
        <v>288</v>
      </c>
      <c r="I605" s="16">
        <v>4.51</v>
      </c>
      <c r="J605" s="16">
        <v>0</v>
      </c>
      <c r="K605" s="16">
        <v>0</v>
      </c>
      <c r="L605" s="159">
        <f t="shared" si="49"/>
        <v>0</v>
      </c>
      <c r="M605" s="159">
        <f t="shared" si="49"/>
        <v>0</v>
      </c>
    </row>
    <row r="606" spans="2:13">
      <c r="B606" t="s">
        <v>161</v>
      </c>
      <c r="C606">
        <f t="shared" si="46"/>
        <v>159</v>
      </c>
      <c r="D606" t="str">
        <f t="shared" si="47"/>
        <v>STRASBOURG159</v>
      </c>
      <c r="E606" t="s">
        <v>162</v>
      </c>
      <c r="F606" t="str">
        <f t="shared" si="48"/>
        <v>STRASBOURG159</v>
      </c>
      <c r="G606" t="s">
        <v>399</v>
      </c>
      <c r="I606" s="16">
        <v>4.3600000000000003</v>
      </c>
      <c r="J606" s="16">
        <v>0</v>
      </c>
      <c r="K606" s="16">
        <v>0</v>
      </c>
      <c r="L606" s="159">
        <f t="shared" si="49"/>
        <v>0</v>
      </c>
      <c r="M606" s="159">
        <f t="shared" si="49"/>
        <v>0</v>
      </c>
    </row>
    <row r="607" spans="2:13">
      <c r="B607" t="s">
        <v>161</v>
      </c>
      <c r="C607">
        <f t="shared" si="46"/>
        <v>160</v>
      </c>
      <c r="D607" t="str">
        <f t="shared" si="47"/>
        <v>STRASBOURG160</v>
      </c>
      <c r="E607" t="s">
        <v>162</v>
      </c>
      <c r="F607" t="str">
        <f t="shared" si="48"/>
        <v>STRASBOURG160</v>
      </c>
      <c r="G607" t="s">
        <v>283</v>
      </c>
      <c r="I607" s="16">
        <v>4.1100000000000003</v>
      </c>
      <c r="J607" s="16">
        <v>0</v>
      </c>
      <c r="K607" s="16">
        <v>4.1100000000000003</v>
      </c>
      <c r="L607" s="159">
        <f t="shared" si="49"/>
        <v>0</v>
      </c>
      <c r="M607" s="159">
        <f t="shared" si="49"/>
        <v>1</v>
      </c>
    </row>
    <row r="608" spans="2:13">
      <c r="B608" t="s">
        <v>161</v>
      </c>
      <c r="C608">
        <f t="shared" ref="C608:C617" si="50">RANK(I608,$I$447:$I$617,0)</f>
        <v>161</v>
      </c>
      <c r="D608" t="str">
        <f t="shared" si="47"/>
        <v>STRASBOURG161</v>
      </c>
      <c r="E608" t="s">
        <v>162</v>
      </c>
      <c r="F608" t="str">
        <f t="shared" si="48"/>
        <v>STRASBOURG161</v>
      </c>
      <c r="G608" t="s">
        <v>292</v>
      </c>
      <c r="I608" s="16">
        <v>4.07</v>
      </c>
      <c r="J608" s="16">
        <v>4.07</v>
      </c>
      <c r="K608" s="16">
        <v>0</v>
      </c>
      <c r="L608" s="159">
        <f t="shared" si="49"/>
        <v>1</v>
      </c>
      <c r="M608" s="159">
        <f t="shared" si="49"/>
        <v>0</v>
      </c>
    </row>
    <row r="609" spans="2:13">
      <c r="B609" t="s">
        <v>161</v>
      </c>
      <c r="C609">
        <f t="shared" si="50"/>
        <v>162</v>
      </c>
      <c r="D609" t="str">
        <f t="shared" si="47"/>
        <v>STRASBOURG162</v>
      </c>
      <c r="E609" t="s">
        <v>162</v>
      </c>
      <c r="F609" t="str">
        <f t="shared" si="48"/>
        <v>STRASBOURG162</v>
      </c>
      <c r="G609" t="s">
        <v>370</v>
      </c>
      <c r="I609" s="16">
        <v>3.79</v>
      </c>
      <c r="J609" s="16">
        <v>3.79</v>
      </c>
      <c r="K609" s="16">
        <v>0</v>
      </c>
      <c r="L609" s="159">
        <f t="shared" si="49"/>
        <v>1</v>
      </c>
      <c r="M609" s="159">
        <f t="shared" si="49"/>
        <v>0</v>
      </c>
    </row>
    <row r="610" spans="2:13">
      <c r="B610" t="s">
        <v>161</v>
      </c>
      <c r="C610">
        <f t="shared" si="50"/>
        <v>163</v>
      </c>
      <c r="D610" t="str">
        <f t="shared" si="47"/>
        <v>STRASBOURG163</v>
      </c>
      <c r="E610" t="s">
        <v>162</v>
      </c>
      <c r="F610" t="str">
        <f t="shared" si="48"/>
        <v>STRASBOURG163</v>
      </c>
      <c r="G610" t="s">
        <v>359</v>
      </c>
      <c r="I610" s="16">
        <v>3.25</v>
      </c>
      <c r="J610" s="16">
        <v>3.25</v>
      </c>
      <c r="K610" s="16">
        <v>0</v>
      </c>
      <c r="L610" s="159">
        <f t="shared" si="49"/>
        <v>1</v>
      </c>
      <c r="M610" s="159">
        <f t="shared" si="49"/>
        <v>0</v>
      </c>
    </row>
    <row r="611" spans="2:13">
      <c r="B611" t="s">
        <v>161</v>
      </c>
      <c r="C611">
        <f t="shared" si="50"/>
        <v>163</v>
      </c>
      <c r="D611" t="str">
        <f t="shared" si="47"/>
        <v>STRASBOURG163</v>
      </c>
      <c r="E611" t="s">
        <v>162</v>
      </c>
      <c r="F611" t="str">
        <f t="shared" si="48"/>
        <v>STRASBOURG163</v>
      </c>
      <c r="G611" t="s">
        <v>375</v>
      </c>
      <c r="I611" s="16">
        <v>3.25</v>
      </c>
      <c r="J611" s="16">
        <v>0</v>
      </c>
      <c r="K611" s="16">
        <v>0</v>
      </c>
      <c r="L611" s="159">
        <f t="shared" si="49"/>
        <v>0</v>
      </c>
      <c r="M611" s="159">
        <f t="shared" si="49"/>
        <v>0</v>
      </c>
    </row>
    <row r="612" spans="2:13">
      <c r="B612" t="s">
        <v>161</v>
      </c>
      <c r="C612">
        <f t="shared" si="50"/>
        <v>165</v>
      </c>
      <c r="D612" t="str">
        <f t="shared" si="47"/>
        <v>STRASBOURG165</v>
      </c>
      <c r="E612" t="s">
        <v>162</v>
      </c>
      <c r="F612" t="str">
        <f t="shared" si="48"/>
        <v>STRASBOURG165</v>
      </c>
      <c r="G612" t="s">
        <v>385</v>
      </c>
      <c r="I612" s="16">
        <v>2.2400000000000002</v>
      </c>
      <c r="J612" s="16">
        <v>2.2400000000000002</v>
      </c>
      <c r="K612" s="16">
        <v>0</v>
      </c>
      <c r="L612" s="159">
        <f t="shared" si="49"/>
        <v>1</v>
      </c>
      <c r="M612" s="159">
        <f t="shared" si="49"/>
        <v>0</v>
      </c>
    </row>
    <row r="613" spans="2:13">
      <c r="B613" t="s">
        <v>161</v>
      </c>
      <c r="C613">
        <f t="shared" si="50"/>
        <v>165</v>
      </c>
      <c r="D613" t="str">
        <f t="shared" si="47"/>
        <v>STRASBOURG165</v>
      </c>
      <c r="E613" t="s">
        <v>162</v>
      </c>
      <c r="F613" t="str">
        <f t="shared" si="48"/>
        <v>STRASBOURG165</v>
      </c>
      <c r="G613" t="s">
        <v>384</v>
      </c>
      <c r="I613" s="16">
        <v>2.2400000000000002</v>
      </c>
      <c r="J613" s="16">
        <v>2.2400000000000002</v>
      </c>
      <c r="K613" s="16">
        <v>0</v>
      </c>
      <c r="L613" s="159">
        <f t="shared" si="49"/>
        <v>1</v>
      </c>
      <c r="M613" s="159">
        <f t="shared" si="49"/>
        <v>0</v>
      </c>
    </row>
    <row r="614" spans="2:13">
      <c r="B614" t="s">
        <v>161</v>
      </c>
      <c r="C614">
        <f t="shared" si="50"/>
        <v>167</v>
      </c>
      <c r="D614" t="str">
        <f t="shared" si="47"/>
        <v>STRASBOURG167</v>
      </c>
      <c r="E614" t="s">
        <v>162</v>
      </c>
      <c r="F614" t="str">
        <f t="shared" si="48"/>
        <v>STRASBOURG167</v>
      </c>
      <c r="G614" t="s">
        <v>454</v>
      </c>
      <c r="I614" s="16">
        <v>2.21</v>
      </c>
      <c r="J614" s="16">
        <v>0</v>
      </c>
      <c r="K614" s="16">
        <v>0</v>
      </c>
      <c r="L614" s="159">
        <f t="shared" si="49"/>
        <v>0</v>
      </c>
      <c r="M614" s="159">
        <f t="shared" si="49"/>
        <v>0</v>
      </c>
    </row>
    <row r="615" spans="2:13">
      <c r="B615" t="s">
        <v>161</v>
      </c>
      <c r="C615">
        <f t="shared" si="50"/>
        <v>168</v>
      </c>
      <c r="D615" t="str">
        <f t="shared" si="47"/>
        <v>STRASBOURG168</v>
      </c>
      <c r="E615" t="s">
        <v>162</v>
      </c>
      <c r="F615" t="str">
        <f t="shared" si="48"/>
        <v>STRASBOURG168</v>
      </c>
      <c r="G615" t="s">
        <v>389</v>
      </c>
      <c r="I615" s="16">
        <v>1.69</v>
      </c>
      <c r="J615" s="16">
        <v>1.69</v>
      </c>
      <c r="K615" s="16">
        <v>0</v>
      </c>
      <c r="L615" s="159">
        <f t="shared" si="49"/>
        <v>1</v>
      </c>
      <c r="M615" s="159">
        <f t="shared" si="49"/>
        <v>0</v>
      </c>
    </row>
    <row r="616" spans="2:13">
      <c r="B616" t="s">
        <v>161</v>
      </c>
      <c r="C616">
        <f t="shared" si="50"/>
        <v>169</v>
      </c>
      <c r="D616" t="str">
        <f t="shared" si="47"/>
        <v>STRASBOURG169</v>
      </c>
      <c r="E616" t="s">
        <v>162</v>
      </c>
      <c r="F616" t="str">
        <f t="shared" si="48"/>
        <v>STRASBOURG169</v>
      </c>
      <c r="G616" t="s">
        <v>329</v>
      </c>
      <c r="I616" s="16">
        <v>1</v>
      </c>
      <c r="J616" s="16">
        <v>0</v>
      </c>
      <c r="K616" s="16">
        <v>0</v>
      </c>
      <c r="L616" s="159">
        <f t="shared" si="49"/>
        <v>0</v>
      </c>
      <c r="M616" s="159">
        <f t="shared" si="49"/>
        <v>0</v>
      </c>
    </row>
    <row r="617" spans="2:13">
      <c r="B617" t="s">
        <v>161</v>
      </c>
      <c r="C617">
        <f t="shared" si="50"/>
        <v>169</v>
      </c>
      <c r="D617" t="str">
        <f t="shared" si="47"/>
        <v>STRASBOURG169</v>
      </c>
      <c r="E617" t="s">
        <v>162</v>
      </c>
      <c r="F617" t="str">
        <f t="shared" si="48"/>
        <v>STRASBOURG169</v>
      </c>
      <c r="G617" t="s">
        <v>427</v>
      </c>
      <c r="H617" t="s">
        <v>1797</v>
      </c>
      <c r="I617" s="16">
        <v>1</v>
      </c>
      <c r="J617" s="16">
        <v>0</v>
      </c>
      <c r="K617" s="16">
        <v>0</v>
      </c>
      <c r="L617" s="159">
        <f t="shared" si="49"/>
        <v>0</v>
      </c>
      <c r="M617" s="159">
        <f t="shared" si="49"/>
        <v>0</v>
      </c>
    </row>
    <row r="618" spans="2:13">
      <c r="B618" t="s">
        <v>165</v>
      </c>
      <c r="C618">
        <f t="shared" ref="C618:C649" si="51">RANK(I618,$I$617:$I$795,0)</f>
        <v>1</v>
      </c>
      <c r="D618" t="str">
        <f t="shared" si="47"/>
        <v>NANTES1</v>
      </c>
      <c r="E618" t="s">
        <v>166</v>
      </c>
      <c r="F618" t="str">
        <f t="shared" si="48"/>
        <v>NANTES1</v>
      </c>
      <c r="G618" t="s">
        <v>225</v>
      </c>
      <c r="H618" t="s">
        <v>1779</v>
      </c>
      <c r="I618" s="16">
        <v>1430.52</v>
      </c>
      <c r="J618" s="16">
        <v>473.84</v>
      </c>
      <c r="K618" s="16">
        <v>383.12</v>
      </c>
      <c r="L618" s="159">
        <f t="shared" si="49"/>
        <v>0.33123619383161368</v>
      </c>
      <c r="M618" s="159">
        <f t="shared" si="49"/>
        <v>0.26781869529961133</v>
      </c>
    </row>
    <row r="619" spans="2:13">
      <c r="B619" t="s">
        <v>165</v>
      </c>
      <c r="C619">
        <f t="shared" si="51"/>
        <v>2</v>
      </c>
      <c r="D619" t="str">
        <f t="shared" si="47"/>
        <v>NANTES2</v>
      </c>
      <c r="E619" t="s">
        <v>166</v>
      </c>
      <c r="F619" t="str">
        <f t="shared" si="48"/>
        <v>NANTES2</v>
      </c>
      <c r="G619" t="s">
        <v>354</v>
      </c>
      <c r="H619" t="s">
        <v>942</v>
      </c>
      <c r="I619" s="16">
        <v>850.68</v>
      </c>
      <c r="J619" s="16">
        <v>441.14</v>
      </c>
      <c r="K619" s="16">
        <v>0</v>
      </c>
      <c r="L619" s="159">
        <f t="shared" si="49"/>
        <v>0.51857337659284342</v>
      </c>
      <c r="M619" s="159">
        <f t="shared" si="49"/>
        <v>0</v>
      </c>
    </row>
    <row r="620" spans="2:13">
      <c r="B620" t="s">
        <v>165</v>
      </c>
      <c r="C620">
        <f t="shared" si="51"/>
        <v>3</v>
      </c>
      <c r="D620" t="str">
        <f t="shared" si="47"/>
        <v>NANTES3</v>
      </c>
      <c r="E620" t="s">
        <v>166</v>
      </c>
      <c r="F620" t="str">
        <f t="shared" si="48"/>
        <v>NANTES3</v>
      </c>
      <c r="G620" t="s">
        <v>216</v>
      </c>
      <c r="H620" t="s">
        <v>910</v>
      </c>
      <c r="I620" s="16">
        <v>799.19</v>
      </c>
      <c r="J620" s="16">
        <v>322.61</v>
      </c>
      <c r="K620" s="16">
        <v>54.77</v>
      </c>
      <c r="L620" s="159">
        <f t="shared" si="49"/>
        <v>0.40367121710732118</v>
      </c>
      <c r="M620" s="159">
        <f t="shared" si="49"/>
        <v>6.8531888537143856E-2</v>
      </c>
    </row>
    <row r="621" spans="2:13">
      <c r="B621" t="s">
        <v>165</v>
      </c>
      <c r="C621">
        <f t="shared" si="51"/>
        <v>4</v>
      </c>
      <c r="D621" t="str">
        <f t="shared" si="47"/>
        <v>NANTES4</v>
      </c>
      <c r="E621" t="s">
        <v>166</v>
      </c>
      <c r="F621" t="str">
        <f t="shared" si="48"/>
        <v>NANTES4</v>
      </c>
      <c r="G621" t="s">
        <v>274</v>
      </c>
      <c r="H621" t="s">
        <v>275</v>
      </c>
      <c r="I621" s="16">
        <v>721.89</v>
      </c>
      <c r="J621" s="16">
        <v>350</v>
      </c>
      <c r="K621" s="16">
        <v>706</v>
      </c>
      <c r="L621" s="159">
        <f t="shared" si="49"/>
        <v>0.48483841028411534</v>
      </c>
      <c r="M621" s="159">
        <f t="shared" si="49"/>
        <v>0.97798833617310121</v>
      </c>
    </row>
    <row r="622" spans="2:13">
      <c r="B622" t="s">
        <v>165</v>
      </c>
      <c r="C622">
        <f t="shared" si="51"/>
        <v>5</v>
      </c>
      <c r="D622" t="str">
        <f t="shared" si="47"/>
        <v>NANTES5</v>
      </c>
      <c r="E622" t="s">
        <v>166</v>
      </c>
      <c r="F622" t="str">
        <f t="shared" si="48"/>
        <v>NANTES5</v>
      </c>
      <c r="G622" t="s">
        <v>211</v>
      </c>
      <c r="H622" t="s">
        <v>908</v>
      </c>
      <c r="I622" s="16">
        <v>650.6</v>
      </c>
      <c r="J622" s="16">
        <v>126.01</v>
      </c>
      <c r="K622" s="16">
        <v>320.45999999999998</v>
      </c>
      <c r="L622" s="159">
        <f t="shared" si="49"/>
        <v>0.19368275438057178</v>
      </c>
      <c r="M622" s="159">
        <f t="shared" si="49"/>
        <v>0.49256071318782657</v>
      </c>
    </row>
    <row r="623" spans="2:13">
      <c r="B623" t="s">
        <v>165</v>
      </c>
      <c r="C623">
        <f t="shared" si="51"/>
        <v>6</v>
      </c>
      <c r="D623" t="str">
        <f t="shared" si="47"/>
        <v>NANTES6</v>
      </c>
      <c r="E623" t="s">
        <v>166</v>
      </c>
      <c r="F623" t="str">
        <f t="shared" si="48"/>
        <v>NANTES6</v>
      </c>
      <c r="G623" t="s">
        <v>218</v>
      </c>
      <c r="H623" t="s">
        <v>911</v>
      </c>
      <c r="I623" s="16">
        <v>642.67999999999995</v>
      </c>
      <c r="J623" s="16">
        <v>3.27</v>
      </c>
      <c r="K623" s="16">
        <v>90.28</v>
      </c>
      <c r="L623" s="159">
        <f t="shared" si="49"/>
        <v>5.0880687122673808E-3</v>
      </c>
      <c r="M623" s="159">
        <f t="shared" si="49"/>
        <v>0.1404742640194187</v>
      </c>
    </row>
    <row r="624" spans="2:13">
      <c r="B624" t="s">
        <v>165</v>
      </c>
      <c r="C624">
        <f t="shared" si="51"/>
        <v>7</v>
      </c>
      <c r="D624" t="str">
        <f t="shared" si="47"/>
        <v>NANTES7</v>
      </c>
      <c r="E624" t="s">
        <v>166</v>
      </c>
      <c r="F624" t="str">
        <f t="shared" si="48"/>
        <v>NANTES7</v>
      </c>
      <c r="G624" t="s">
        <v>208</v>
      </c>
      <c r="H624" t="s">
        <v>907</v>
      </c>
      <c r="I624" s="16">
        <v>639.86</v>
      </c>
      <c r="J624" s="16">
        <v>207.02</v>
      </c>
      <c r="K624" s="16">
        <v>182.09</v>
      </c>
      <c r="L624" s="159">
        <f t="shared" si="49"/>
        <v>0.3235395242709343</v>
      </c>
      <c r="M624" s="159">
        <f t="shared" si="49"/>
        <v>0.28457787641046478</v>
      </c>
    </row>
    <row r="625" spans="2:13">
      <c r="B625" t="s">
        <v>165</v>
      </c>
      <c r="C625">
        <f t="shared" si="51"/>
        <v>8</v>
      </c>
      <c r="D625" t="str">
        <f t="shared" si="47"/>
        <v>NANTES8</v>
      </c>
      <c r="E625" t="s">
        <v>166</v>
      </c>
      <c r="F625" t="str">
        <f t="shared" si="48"/>
        <v>NANTES8</v>
      </c>
      <c r="G625" t="s">
        <v>223</v>
      </c>
      <c r="H625" t="s">
        <v>916</v>
      </c>
      <c r="I625" s="16">
        <v>607.91</v>
      </c>
      <c r="J625" s="16">
        <v>194.9</v>
      </c>
      <c r="K625" s="16">
        <v>205.68</v>
      </c>
      <c r="L625" s="159">
        <f t="shared" si="49"/>
        <v>0.32060666875030847</v>
      </c>
      <c r="M625" s="159">
        <f t="shared" si="49"/>
        <v>0.33833955684229577</v>
      </c>
    </row>
    <row r="626" spans="2:13">
      <c r="B626" t="s">
        <v>165</v>
      </c>
      <c r="C626">
        <f t="shared" si="51"/>
        <v>9</v>
      </c>
      <c r="D626" t="str">
        <f t="shared" si="47"/>
        <v>NANTES9</v>
      </c>
      <c r="E626" t="s">
        <v>166</v>
      </c>
      <c r="F626" t="str">
        <f t="shared" si="48"/>
        <v>NANTES9</v>
      </c>
      <c r="G626" t="s">
        <v>228</v>
      </c>
      <c r="H626" t="s">
        <v>1780</v>
      </c>
      <c r="I626" s="16">
        <v>604.26</v>
      </c>
      <c r="J626" s="16">
        <v>327.36</v>
      </c>
      <c r="K626" s="16">
        <v>3.02</v>
      </c>
      <c r="L626" s="159">
        <f t="shared" si="49"/>
        <v>0.5417535497964453</v>
      </c>
      <c r="M626" s="159">
        <f t="shared" si="49"/>
        <v>4.9978486082150071E-3</v>
      </c>
    </row>
    <row r="627" spans="2:13">
      <c r="B627" t="s">
        <v>165</v>
      </c>
      <c r="C627">
        <f t="shared" si="51"/>
        <v>10</v>
      </c>
      <c r="D627" t="str">
        <f t="shared" si="47"/>
        <v>NANTES10</v>
      </c>
      <c r="E627" t="s">
        <v>166</v>
      </c>
      <c r="F627" t="str">
        <f t="shared" si="48"/>
        <v>NANTES10</v>
      </c>
      <c r="G627" t="s">
        <v>221</v>
      </c>
      <c r="H627" t="s">
        <v>914</v>
      </c>
      <c r="I627" s="16">
        <v>598.04999999999995</v>
      </c>
      <c r="J627" s="16">
        <v>2</v>
      </c>
      <c r="K627" s="16">
        <v>200.21</v>
      </c>
      <c r="L627" s="159">
        <f t="shared" si="49"/>
        <v>3.3442019898001843E-3</v>
      </c>
      <c r="M627" s="159">
        <f t="shared" si="49"/>
        <v>0.33477134018894744</v>
      </c>
    </row>
    <row r="628" spans="2:13">
      <c r="B628" t="s">
        <v>165</v>
      </c>
      <c r="C628">
        <f t="shared" si="51"/>
        <v>11</v>
      </c>
      <c r="D628" t="str">
        <f t="shared" si="47"/>
        <v>NANTES11</v>
      </c>
      <c r="E628" t="s">
        <v>166</v>
      </c>
      <c r="F628" t="str">
        <f t="shared" si="48"/>
        <v>NANTES11</v>
      </c>
      <c r="G628" t="s">
        <v>316</v>
      </c>
      <c r="H628" t="s">
        <v>317</v>
      </c>
      <c r="I628" s="16">
        <v>589.66</v>
      </c>
      <c r="J628" s="16">
        <v>92.42</v>
      </c>
      <c r="K628" s="16">
        <v>511.52</v>
      </c>
      <c r="L628" s="159">
        <f t="shared" si="49"/>
        <v>0.15673438930909339</v>
      </c>
      <c r="M628" s="159">
        <f t="shared" si="49"/>
        <v>0.86748295627989014</v>
      </c>
    </row>
    <row r="629" spans="2:13">
      <c r="B629" t="s">
        <v>165</v>
      </c>
      <c r="C629">
        <f t="shared" si="51"/>
        <v>12</v>
      </c>
      <c r="D629" t="str">
        <f t="shared" si="47"/>
        <v>NANTES12</v>
      </c>
      <c r="E629" t="s">
        <v>166</v>
      </c>
      <c r="F629" t="str">
        <f t="shared" si="48"/>
        <v>NANTES12</v>
      </c>
      <c r="G629" t="s">
        <v>224</v>
      </c>
      <c r="H629" t="s">
        <v>917</v>
      </c>
      <c r="I629" s="16">
        <v>589.64</v>
      </c>
      <c r="J629" s="16">
        <v>276</v>
      </c>
      <c r="K629" s="16">
        <v>199.27</v>
      </c>
      <c r="L629" s="159">
        <f t="shared" si="49"/>
        <v>0.46808221965945324</v>
      </c>
      <c r="M629" s="159">
        <f t="shared" si="49"/>
        <v>0.33795197069398281</v>
      </c>
    </row>
    <row r="630" spans="2:13">
      <c r="B630" t="s">
        <v>165</v>
      </c>
      <c r="C630">
        <f t="shared" si="51"/>
        <v>13</v>
      </c>
      <c r="D630" t="str">
        <f t="shared" si="47"/>
        <v>NANTES13</v>
      </c>
      <c r="E630" t="s">
        <v>166</v>
      </c>
      <c r="F630" t="str">
        <f t="shared" si="48"/>
        <v>NANTES13</v>
      </c>
      <c r="G630" t="s">
        <v>219</v>
      </c>
      <c r="H630" t="s">
        <v>912</v>
      </c>
      <c r="I630" s="16">
        <v>483.29</v>
      </c>
      <c r="J630" s="16">
        <v>15.55</v>
      </c>
      <c r="K630" s="16">
        <v>21.59</v>
      </c>
      <c r="L630" s="159">
        <f t="shared" si="49"/>
        <v>3.2175298475035696E-2</v>
      </c>
      <c r="M630" s="159">
        <f t="shared" si="49"/>
        <v>4.4672970680129938E-2</v>
      </c>
    </row>
    <row r="631" spans="2:13">
      <c r="B631" t="s">
        <v>165</v>
      </c>
      <c r="C631">
        <f t="shared" si="51"/>
        <v>14</v>
      </c>
      <c r="D631" t="str">
        <f t="shared" si="47"/>
        <v>NANTES14</v>
      </c>
      <c r="E631" t="s">
        <v>166</v>
      </c>
      <c r="F631" t="str">
        <f t="shared" si="48"/>
        <v>NANTES14</v>
      </c>
      <c r="G631" t="s">
        <v>241</v>
      </c>
      <c r="H631" t="s">
        <v>927</v>
      </c>
      <c r="I631" s="16">
        <v>465.44</v>
      </c>
      <c r="J631" s="16">
        <v>88.03</v>
      </c>
      <c r="K631" s="16">
        <v>62.13</v>
      </c>
      <c r="L631" s="159">
        <f t="shared" si="49"/>
        <v>0.18913286352698522</v>
      </c>
      <c r="M631" s="159">
        <f t="shared" si="49"/>
        <v>0.1334865933310416</v>
      </c>
    </row>
    <row r="632" spans="2:13">
      <c r="B632" t="s">
        <v>165</v>
      </c>
      <c r="C632">
        <f t="shared" si="51"/>
        <v>15</v>
      </c>
      <c r="D632" t="str">
        <f t="shared" si="47"/>
        <v>NANTES15</v>
      </c>
      <c r="E632" t="s">
        <v>166</v>
      </c>
      <c r="F632" t="str">
        <f t="shared" si="48"/>
        <v>NANTES15</v>
      </c>
      <c r="G632" t="s">
        <v>220</v>
      </c>
      <c r="H632" t="s">
        <v>913</v>
      </c>
      <c r="I632" s="16">
        <v>423.95</v>
      </c>
      <c r="J632" s="16">
        <v>20.47</v>
      </c>
      <c r="K632" s="16">
        <v>124.51</v>
      </c>
      <c r="L632" s="159">
        <f t="shared" si="49"/>
        <v>4.8283995754216297E-2</v>
      </c>
      <c r="M632" s="159">
        <f t="shared" si="49"/>
        <v>0.29369029366670601</v>
      </c>
    </row>
    <row r="633" spans="2:13">
      <c r="B633" t="s">
        <v>165</v>
      </c>
      <c r="C633">
        <f t="shared" si="51"/>
        <v>16</v>
      </c>
      <c r="D633" t="str">
        <f t="shared" si="47"/>
        <v>NANTES16</v>
      </c>
      <c r="E633" t="s">
        <v>166</v>
      </c>
      <c r="F633" t="str">
        <f t="shared" si="48"/>
        <v>NANTES16</v>
      </c>
      <c r="G633" t="s">
        <v>234</v>
      </c>
      <c r="H633" t="s">
        <v>923</v>
      </c>
      <c r="I633" s="16">
        <v>408.23</v>
      </c>
      <c r="J633" s="16">
        <v>84.75</v>
      </c>
      <c r="K633" s="16">
        <v>62.56</v>
      </c>
      <c r="L633" s="159">
        <f t="shared" si="49"/>
        <v>0.20760355681846018</v>
      </c>
      <c r="M633" s="159">
        <f t="shared" si="49"/>
        <v>0.15324694412463563</v>
      </c>
    </row>
    <row r="634" spans="2:13">
      <c r="B634" t="s">
        <v>165</v>
      </c>
      <c r="C634">
        <f t="shared" si="51"/>
        <v>17</v>
      </c>
      <c r="D634" t="str">
        <f t="shared" si="47"/>
        <v>NANTES17</v>
      </c>
      <c r="E634" t="s">
        <v>166</v>
      </c>
      <c r="F634" t="str">
        <f t="shared" si="48"/>
        <v>NANTES17</v>
      </c>
      <c r="G634" t="s">
        <v>213</v>
      </c>
      <c r="H634" t="s">
        <v>919</v>
      </c>
      <c r="I634" s="16">
        <v>382.83</v>
      </c>
      <c r="J634" s="16">
        <v>95.28</v>
      </c>
      <c r="K634" s="16">
        <v>141.26</v>
      </c>
      <c r="L634" s="159">
        <f t="shared" si="49"/>
        <v>0.24888331635451769</v>
      </c>
      <c r="M634" s="159">
        <f t="shared" si="49"/>
        <v>0.36898884622417261</v>
      </c>
    </row>
    <row r="635" spans="2:13">
      <c r="B635" t="s">
        <v>165</v>
      </c>
      <c r="C635">
        <f t="shared" si="51"/>
        <v>18</v>
      </c>
      <c r="D635" t="str">
        <f t="shared" si="47"/>
        <v>NANTES18</v>
      </c>
      <c r="E635" t="s">
        <v>166</v>
      </c>
      <c r="F635" t="str">
        <f t="shared" si="48"/>
        <v>NANTES18</v>
      </c>
      <c r="G635" t="s">
        <v>212</v>
      </c>
      <c r="H635" t="s">
        <v>909</v>
      </c>
      <c r="I635" s="16">
        <v>372.45</v>
      </c>
      <c r="J635" s="16">
        <v>0</v>
      </c>
      <c r="K635" s="16">
        <v>222.77</v>
      </c>
      <c r="L635" s="159">
        <f t="shared" si="49"/>
        <v>0</v>
      </c>
      <c r="M635" s="159">
        <f t="shared" si="49"/>
        <v>0.59812055309437517</v>
      </c>
    </row>
    <row r="636" spans="2:13">
      <c r="B636" t="s">
        <v>165</v>
      </c>
      <c r="C636">
        <f t="shared" si="51"/>
        <v>19</v>
      </c>
      <c r="D636" t="str">
        <f t="shared" si="47"/>
        <v>NANTES19</v>
      </c>
      <c r="E636" t="s">
        <v>166</v>
      </c>
      <c r="F636" t="str">
        <f t="shared" si="48"/>
        <v>NANTES19</v>
      </c>
      <c r="G636" t="s">
        <v>242</v>
      </c>
      <c r="H636" t="s">
        <v>243</v>
      </c>
      <c r="I636" s="16">
        <v>356.25</v>
      </c>
      <c r="J636" s="16">
        <v>44.54</v>
      </c>
      <c r="K636" s="16">
        <v>172.43</v>
      </c>
      <c r="L636" s="159">
        <f t="shared" si="49"/>
        <v>0.12502456140350876</v>
      </c>
      <c r="M636" s="159">
        <f t="shared" si="49"/>
        <v>0.48401403508771934</v>
      </c>
    </row>
    <row r="637" spans="2:13">
      <c r="B637" t="s">
        <v>165</v>
      </c>
      <c r="C637">
        <f t="shared" si="51"/>
        <v>20</v>
      </c>
      <c r="D637" t="str">
        <f t="shared" si="47"/>
        <v>NANTES20</v>
      </c>
      <c r="E637" t="s">
        <v>166</v>
      </c>
      <c r="F637" t="str">
        <f t="shared" si="48"/>
        <v>NANTES20</v>
      </c>
      <c r="G637" t="s">
        <v>402</v>
      </c>
      <c r="H637" t="s">
        <v>1790</v>
      </c>
      <c r="I637" s="16">
        <v>343.18</v>
      </c>
      <c r="J637" s="16">
        <v>154.11000000000001</v>
      </c>
      <c r="K637" s="16">
        <v>0</v>
      </c>
      <c r="L637" s="159">
        <f t="shared" si="49"/>
        <v>0.44906463080599107</v>
      </c>
      <c r="M637" s="159">
        <f t="shared" si="49"/>
        <v>0</v>
      </c>
    </row>
    <row r="638" spans="2:13">
      <c r="B638" t="s">
        <v>165</v>
      </c>
      <c r="C638">
        <f t="shared" si="51"/>
        <v>21</v>
      </c>
      <c r="D638" t="str">
        <f t="shared" si="47"/>
        <v>NANTES21</v>
      </c>
      <c r="E638" t="s">
        <v>166</v>
      </c>
      <c r="F638" t="str">
        <f t="shared" si="48"/>
        <v>NANTES21</v>
      </c>
      <c r="G638" t="s">
        <v>238</v>
      </c>
      <c r="H638" t="s">
        <v>924</v>
      </c>
      <c r="I638" s="16">
        <v>338.86</v>
      </c>
      <c r="J638" s="16">
        <v>70.239999999999995</v>
      </c>
      <c r="K638" s="16">
        <v>81.84</v>
      </c>
      <c r="L638" s="159">
        <f t="shared" si="49"/>
        <v>0.20728324381750574</v>
      </c>
      <c r="M638" s="159">
        <f t="shared" si="49"/>
        <v>0.24151567018827835</v>
      </c>
    </row>
    <row r="639" spans="2:13">
      <c r="B639" t="s">
        <v>165</v>
      </c>
      <c r="C639">
        <f t="shared" si="51"/>
        <v>22</v>
      </c>
      <c r="D639" t="str">
        <f t="shared" si="47"/>
        <v>NANTES22</v>
      </c>
      <c r="E639" t="s">
        <v>166</v>
      </c>
      <c r="F639" t="str">
        <f t="shared" si="48"/>
        <v>NANTES22</v>
      </c>
      <c r="G639" t="s">
        <v>232</v>
      </c>
      <c r="H639" t="s">
        <v>922</v>
      </c>
      <c r="I639" s="16">
        <v>333.63</v>
      </c>
      <c r="J639" s="16">
        <v>218.61</v>
      </c>
      <c r="K639" s="16">
        <v>17.71</v>
      </c>
      <c r="L639" s="159">
        <f t="shared" si="49"/>
        <v>0.65524683032101438</v>
      </c>
      <c r="M639" s="159">
        <f t="shared" si="49"/>
        <v>5.3082756346851306E-2</v>
      </c>
    </row>
    <row r="640" spans="2:13">
      <c r="B640" t="s">
        <v>165</v>
      </c>
      <c r="C640">
        <f t="shared" si="51"/>
        <v>23</v>
      </c>
      <c r="D640" t="str">
        <f t="shared" si="47"/>
        <v>NANTES23</v>
      </c>
      <c r="E640" t="s">
        <v>166</v>
      </c>
      <c r="F640" t="str">
        <f t="shared" si="48"/>
        <v>NANTES23</v>
      </c>
      <c r="G640" t="s">
        <v>276</v>
      </c>
      <c r="H640" t="s">
        <v>933</v>
      </c>
      <c r="I640" s="16">
        <v>331.14</v>
      </c>
      <c r="J640" s="16">
        <v>0</v>
      </c>
      <c r="K640" s="16">
        <v>4.8499999999999996</v>
      </c>
      <c r="L640" s="159">
        <f t="shared" si="49"/>
        <v>0</v>
      </c>
      <c r="M640" s="159">
        <f t="shared" si="49"/>
        <v>1.4646373135229812E-2</v>
      </c>
    </row>
    <row r="641" spans="2:13">
      <c r="B641" t="s">
        <v>165</v>
      </c>
      <c r="C641">
        <f t="shared" si="51"/>
        <v>24</v>
      </c>
      <c r="D641" t="str">
        <f t="shared" si="47"/>
        <v>NANTES24</v>
      </c>
      <c r="E641" t="s">
        <v>166</v>
      </c>
      <c r="F641" t="str">
        <f t="shared" si="48"/>
        <v>NANTES24</v>
      </c>
      <c r="G641" t="s">
        <v>207</v>
      </c>
      <c r="H641" t="s">
        <v>906</v>
      </c>
      <c r="I641" s="16">
        <v>330.75</v>
      </c>
      <c r="J641" s="16">
        <v>137.28</v>
      </c>
      <c r="K641" s="16">
        <v>152.96</v>
      </c>
      <c r="L641" s="159">
        <f t="shared" si="49"/>
        <v>0.41505668934240364</v>
      </c>
      <c r="M641" s="159">
        <f t="shared" si="49"/>
        <v>0.46246409674981104</v>
      </c>
    </row>
    <row r="642" spans="2:13">
      <c r="B642" t="s">
        <v>165</v>
      </c>
      <c r="C642">
        <f t="shared" si="51"/>
        <v>25</v>
      </c>
      <c r="D642" t="str">
        <f t="shared" ref="D642:D705" si="52">CONCATENATE(E642,C642)</f>
        <v>NANTES25</v>
      </c>
      <c r="E642" t="s">
        <v>166</v>
      </c>
      <c r="F642" t="str">
        <f t="shared" si="48"/>
        <v>NANTES25</v>
      </c>
      <c r="G642" t="s">
        <v>379</v>
      </c>
      <c r="H642" t="s">
        <v>944</v>
      </c>
      <c r="I642" s="16">
        <v>293.08</v>
      </c>
      <c r="J642" s="16">
        <v>184.9</v>
      </c>
      <c r="K642" s="16">
        <v>15.92</v>
      </c>
      <c r="L642" s="159">
        <f t="shared" si="49"/>
        <v>0.63088576497884541</v>
      </c>
      <c r="M642" s="159">
        <f t="shared" si="49"/>
        <v>5.4319639688822169E-2</v>
      </c>
    </row>
    <row r="643" spans="2:13">
      <c r="B643" t="s">
        <v>165</v>
      </c>
      <c r="C643">
        <f t="shared" si="51"/>
        <v>26</v>
      </c>
      <c r="D643" t="str">
        <f t="shared" si="52"/>
        <v>NANTES26</v>
      </c>
      <c r="E643" t="s">
        <v>166</v>
      </c>
      <c r="F643" t="str">
        <f t="shared" ref="F643:F706" si="53">D643</f>
        <v>NANTES26</v>
      </c>
      <c r="G643" t="s">
        <v>222</v>
      </c>
      <c r="H643" t="s">
        <v>915</v>
      </c>
      <c r="I643" s="16">
        <v>285.20999999999998</v>
      </c>
      <c r="J643" s="16">
        <v>0</v>
      </c>
      <c r="K643" s="16">
        <v>143.19</v>
      </c>
      <c r="L643" s="159">
        <f t="shared" ref="L643:M706" si="54">J643/$I643</f>
        <v>0</v>
      </c>
      <c r="M643" s="159">
        <f t="shared" si="54"/>
        <v>0.502051120227201</v>
      </c>
    </row>
    <row r="644" spans="2:13">
      <c r="B644" t="s">
        <v>165</v>
      </c>
      <c r="C644">
        <f t="shared" si="51"/>
        <v>27</v>
      </c>
      <c r="D644" t="str">
        <f t="shared" si="52"/>
        <v>NANTES27</v>
      </c>
      <c r="E644" t="s">
        <v>166</v>
      </c>
      <c r="F644" t="str">
        <f t="shared" si="53"/>
        <v>NANTES27</v>
      </c>
      <c r="G644" t="s">
        <v>229</v>
      </c>
      <c r="H644" t="s">
        <v>921</v>
      </c>
      <c r="I644" s="16">
        <v>266.16000000000003</v>
      </c>
      <c r="J644" s="16">
        <v>91.61</v>
      </c>
      <c r="K644" s="16">
        <v>59.74</v>
      </c>
      <c r="L644" s="159">
        <f t="shared" si="54"/>
        <v>0.3441914637811842</v>
      </c>
      <c r="M644" s="159">
        <f t="shared" si="54"/>
        <v>0.22445145776976252</v>
      </c>
    </row>
    <row r="645" spans="2:13">
      <c r="B645" t="s">
        <v>165</v>
      </c>
      <c r="C645">
        <f t="shared" si="51"/>
        <v>28</v>
      </c>
      <c r="D645" t="str">
        <f t="shared" si="52"/>
        <v>NANTES28</v>
      </c>
      <c r="E645" t="s">
        <v>166</v>
      </c>
      <c r="F645" t="str">
        <f t="shared" si="53"/>
        <v>NANTES28</v>
      </c>
      <c r="G645" t="s">
        <v>334</v>
      </c>
      <c r="H645" t="s">
        <v>946</v>
      </c>
      <c r="I645" s="16">
        <v>265.64999999999998</v>
      </c>
      <c r="J645" s="16">
        <v>40.79</v>
      </c>
      <c r="K645" s="16">
        <v>249.82</v>
      </c>
      <c r="L645" s="159">
        <f t="shared" si="54"/>
        <v>0.15354790137398833</v>
      </c>
      <c r="M645" s="159">
        <f t="shared" si="54"/>
        <v>0.94041031432335787</v>
      </c>
    </row>
    <row r="646" spans="2:13">
      <c r="B646" t="s">
        <v>165</v>
      </c>
      <c r="C646">
        <f t="shared" si="51"/>
        <v>29</v>
      </c>
      <c r="D646" t="str">
        <f t="shared" si="52"/>
        <v>NANTES29</v>
      </c>
      <c r="E646" t="s">
        <v>166</v>
      </c>
      <c r="F646" t="str">
        <f t="shared" si="53"/>
        <v>NANTES29</v>
      </c>
      <c r="G646" t="s">
        <v>303</v>
      </c>
      <c r="H646" t="s">
        <v>936</v>
      </c>
      <c r="I646" s="16">
        <v>254.96</v>
      </c>
      <c r="J646" s="16">
        <v>31.95</v>
      </c>
      <c r="K646" s="16">
        <v>0</v>
      </c>
      <c r="L646" s="159">
        <f t="shared" si="54"/>
        <v>0.12531377470975838</v>
      </c>
      <c r="M646" s="159">
        <f t="shared" si="54"/>
        <v>0</v>
      </c>
    </row>
    <row r="647" spans="2:13">
      <c r="B647" t="s">
        <v>165</v>
      </c>
      <c r="C647">
        <f t="shared" si="51"/>
        <v>30</v>
      </c>
      <c r="D647" t="str">
        <f t="shared" si="52"/>
        <v>NANTES30</v>
      </c>
      <c r="E647" t="s">
        <v>166</v>
      </c>
      <c r="F647" t="str">
        <f t="shared" si="53"/>
        <v>NANTES30</v>
      </c>
      <c r="G647" t="s">
        <v>230</v>
      </c>
      <c r="H647" t="s">
        <v>231</v>
      </c>
      <c r="I647" s="16">
        <v>227.35</v>
      </c>
      <c r="J647" s="16">
        <v>61.51</v>
      </c>
      <c r="K647" s="16">
        <v>93.13</v>
      </c>
      <c r="L647" s="159">
        <f t="shared" si="54"/>
        <v>0.27055201231581261</v>
      </c>
      <c r="M647" s="159">
        <f t="shared" si="54"/>
        <v>0.40963272487354296</v>
      </c>
    </row>
    <row r="648" spans="2:13">
      <c r="B648" t="s">
        <v>165</v>
      </c>
      <c r="C648">
        <f t="shared" si="51"/>
        <v>31</v>
      </c>
      <c r="D648" t="str">
        <f t="shared" si="52"/>
        <v>NANTES31</v>
      </c>
      <c r="E648" t="s">
        <v>166</v>
      </c>
      <c r="F648" t="str">
        <f t="shared" si="53"/>
        <v>NANTES31</v>
      </c>
      <c r="G648" t="s">
        <v>290</v>
      </c>
      <c r="H648" t="s">
        <v>291</v>
      </c>
      <c r="I648" s="16">
        <v>227</v>
      </c>
      <c r="J648" s="16">
        <v>118.07</v>
      </c>
      <c r="K648" s="16">
        <v>0</v>
      </c>
      <c r="L648" s="159">
        <f t="shared" si="54"/>
        <v>0.52013215859030837</v>
      </c>
      <c r="M648" s="159">
        <f t="shared" si="54"/>
        <v>0</v>
      </c>
    </row>
    <row r="649" spans="2:13">
      <c r="B649" t="s">
        <v>165</v>
      </c>
      <c r="C649">
        <f t="shared" si="51"/>
        <v>32</v>
      </c>
      <c r="D649" t="str">
        <f t="shared" si="52"/>
        <v>NANTES32</v>
      </c>
      <c r="E649" t="s">
        <v>166</v>
      </c>
      <c r="F649" t="str">
        <f t="shared" si="53"/>
        <v>NANTES32</v>
      </c>
      <c r="G649" t="s">
        <v>265</v>
      </c>
      <c r="I649" s="16">
        <v>221.72</v>
      </c>
      <c r="J649" s="16">
        <v>65.22</v>
      </c>
      <c r="K649" s="16">
        <v>9.75</v>
      </c>
      <c r="L649" s="159">
        <f t="shared" si="54"/>
        <v>0.29415478982500448</v>
      </c>
      <c r="M649" s="159">
        <f t="shared" si="54"/>
        <v>4.3974382103554033E-2</v>
      </c>
    </row>
    <row r="650" spans="2:13">
      <c r="B650" t="s">
        <v>165</v>
      </c>
      <c r="C650">
        <f t="shared" ref="C650:C681" si="55">RANK(I650,$I$617:$I$795,0)</f>
        <v>33</v>
      </c>
      <c r="D650" t="str">
        <f t="shared" si="52"/>
        <v>NANTES33</v>
      </c>
      <c r="E650" t="s">
        <v>166</v>
      </c>
      <c r="F650" t="str">
        <f t="shared" si="53"/>
        <v>NANTES33</v>
      </c>
      <c r="G650" t="s">
        <v>252</v>
      </c>
      <c r="H650" t="s">
        <v>930</v>
      </c>
      <c r="I650" s="16">
        <v>220.18</v>
      </c>
      <c r="J650" s="16">
        <v>93</v>
      </c>
      <c r="K650" s="16">
        <v>28.73</v>
      </c>
      <c r="L650" s="159">
        <f t="shared" si="54"/>
        <v>0.42238168771005541</v>
      </c>
      <c r="M650" s="159">
        <f t="shared" si="54"/>
        <v>0.13048414933236444</v>
      </c>
    </row>
    <row r="651" spans="2:13">
      <c r="B651" t="s">
        <v>165</v>
      </c>
      <c r="C651">
        <f t="shared" si="55"/>
        <v>34</v>
      </c>
      <c r="D651" t="str">
        <f t="shared" si="52"/>
        <v>NANTES34</v>
      </c>
      <c r="E651" t="s">
        <v>166</v>
      </c>
      <c r="F651" t="str">
        <f t="shared" si="53"/>
        <v>NANTES34</v>
      </c>
      <c r="G651" t="s">
        <v>246</v>
      </c>
      <c r="H651" t="s">
        <v>928</v>
      </c>
      <c r="I651" s="16">
        <v>215.1</v>
      </c>
      <c r="J651" s="16">
        <v>138.33000000000001</v>
      </c>
      <c r="K651" s="16">
        <v>0</v>
      </c>
      <c r="L651" s="159">
        <f t="shared" si="54"/>
        <v>0.64309623430962348</v>
      </c>
      <c r="M651" s="159">
        <f t="shared" si="54"/>
        <v>0</v>
      </c>
    </row>
    <row r="652" spans="2:13">
      <c r="B652" t="s">
        <v>165</v>
      </c>
      <c r="C652">
        <f t="shared" si="55"/>
        <v>35</v>
      </c>
      <c r="D652" t="str">
        <f t="shared" si="52"/>
        <v>NANTES35</v>
      </c>
      <c r="E652" t="s">
        <v>166</v>
      </c>
      <c r="F652" t="str">
        <f t="shared" si="53"/>
        <v>NANTES35</v>
      </c>
      <c r="G652" t="s">
        <v>249</v>
      </c>
      <c r="I652" s="16">
        <v>210.37</v>
      </c>
      <c r="J652" s="16">
        <v>59.94</v>
      </c>
      <c r="K652" s="16">
        <v>60.74</v>
      </c>
      <c r="L652" s="159">
        <f t="shared" si="54"/>
        <v>0.28492655796929217</v>
      </c>
      <c r="M652" s="159">
        <f t="shared" si="54"/>
        <v>0.28872938156581263</v>
      </c>
    </row>
    <row r="653" spans="2:13">
      <c r="B653" t="s">
        <v>165</v>
      </c>
      <c r="C653">
        <f t="shared" si="55"/>
        <v>36</v>
      </c>
      <c r="D653" t="str">
        <f t="shared" si="52"/>
        <v>NANTES36</v>
      </c>
      <c r="E653" t="s">
        <v>166</v>
      </c>
      <c r="F653" t="str">
        <f t="shared" si="53"/>
        <v>NANTES36</v>
      </c>
      <c r="G653" t="s">
        <v>214</v>
      </c>
      <c r="H653" t="s">
        <v>215</v>
      </c>
      <c r="I653" s="16">
        <v>197.74</v>
      </c>
      <c r="J653" s="16">
        <v>93.39</v>
      </c>
      <c r="K653" s="16">
        <v>51.75</v>
      </c>
      <c r="L653" s="159">
        <f t="shared" si="54"/>
        <v>0.47228684130676646</v>
      </c>
      <c r="M653" s="159">
        <f t="shared" si="54"/>
        <v>0.26170729240416707</v>
      </c>
    </row>
    <row r="654" spans="2:13">
      <c r="B654" t="s">
        <v>165</v>
      </c>
      <c r="C654">
        <f t="shared" si="55"/>
        <v>37</v>
      </c>
      <c r="D654" t="str">
        <f t="shared" si="52"/>
        <v>NANTES37</v>
      </c>
      <c r="E654" t="s">
        <v>166</v>
      </c>
      <c r="F654" t="str">
        <f t="shared" si="53"/>
        <v>NANTES37</v>
      </c>
      <c r="G654" t="s">
        <v>302</v>
      </c>
      <c r="I654" s="16">
        <v>195.82</v>
      </c>
      <c r="J654" s="16">
        <v>24.81</v>
      </c>
      <c r="K654" s="16">
        <v>87.09</v>
      </c>
      <c r="L654" s="159">
        <f t="shared" si="54"/>
        <v>0.12669798794811563</v>
      </c>
      <c r="M654" s="159">
        <f t="shared" si="54"/>
        <v>0.44474517413951592</v>
      </c>
    </row>
    <row r="655" spans="2:13">
      <c r="B655" t="s">
        <v>165</v>
      </c>
      <c r="C655">
        <f t="shared" si="55"/>
        <v>38</v>
      </c>
      <c r="D655" t="str">
        <f t="shared" si="52"/>
        <v>NANTES38</v>
      </c>
      <c r="E655" t="s">
        <v>166</v>
      </c>
      <c r="F655" t="str">
        <f t="shared" si="53"/>
        <v>NANTES38</v>
      </c>
      <c r="G655" t="s">
        <v>341</v>
      </c>
      <c r="I655" s="16">
        <v>189.88</v>
      </c>
      <c r="J655" s="16">
        <v>80.06</v>
      </c>
      <c r="K655" s="16">
        <v>12.06</v>
      </c>
      <c r="L655" s="159">
        <f t="shared" si="54"/>
        <v>0.42163471666315572</v>
      </c>
      <c r="M655" s="159">
        <f t="shared" si="54"/>
        <v>6.3513798188329473E-2</v>
      </c>
    </row>
    <row r="656" spans="2:13">
      <c r="B656" t="s">
        <v>165</v>
      </c>
      <c r="C656">
        <f t="shared" si="55"/>
        <v>39</v>
      </c>
      <c r="D656" t="str">
        <f t="shared" si="52"/>
        <v>NANTES39</v>
      </c>
      <c r="E656" t="s">
        <v>166</v>
      </c>
      <c r="F656" t="str">
        <f t="shared" si="53"/>
        <v>NANTES39</v>
      </c>
      <c r="G656" t="s">
        <v>340</v>
      </c>
      <c r="H656" t="s">
        <v>945</v>
      </c>
      <c r="I656" s="16">
        <v>189.08</v>
      </c>
      <c r="J656" s="16">
        <v>115.39</v>
      </c>
      <c r="K656" s="16">
        <v>0</v>
      </c>
      <c r="L656" s="159">
        <f t="shared" si="54"/>
        <v>0.61027078485297226</v>
      </c>
      <c r="M656" s="159">
        <f t="shared" si="54"/>
        <v>0</v>
      </c>
    </row>
    <row r="657" spans="2:13">
      <c r="B657" t="s">
        <v>165</v>
      </c>
      <c r="C657">
        <f t="shared" si="55"/>
        <v>40</v>
      </c>
      <c r="D657" t="str">
        <f t="shared" si="52"/>
        <v>NANTES40</v>
      </c>
      <c r="E657" t="s">
        <v>166</v>
      </c>
      <c r="F657" t="str">
        <f t="shared" si="53"/>
        <v>NANTES40</v>
      </c>
      <c r="G657" t="s">
        <v>278</v>
      </c>
      <c r="H657" t="s">
        <v>934</v>
      </c>
      <c r="I657" s="16">
        <v>185.36</v>
      </c>
      <c r="J657" s="16">
        <v>25.26</v>
      </c>
      <c r="K657" s="16">
        <v>0</v>
      </c>
      <c r="L657" s="159">
        <f t="shared" si="54"/>
        <v>0.1362753560638757</v>
      </c>
      <c r="M657" s="159">
        <f t="shared" si="54"/>
        <v>0</v>
      </c>
    </row>
    <row r="658" spans="2:13">
      <c r="B658" t="s">
        <v>165</v>
      </c>
      <c r="C658">
        <f t="shared" si="55"/>
        <v>41</v>
      </c>
      <c r="D658" t="str">
        <f t="shared" si="52"/>
        <v>NANTES41</v>
      </c>
      <c r="E658" t="s">
        <v>166</v>
      </c>
      <c r="F658" t="str">
        <f t="shared" si="53"/>
        <v>NANTES41</v>
      </c>
      <c r="G658" t="s">
        <v>251</v>
      </c>
      <c r="H658" t="s">
        <v>929</v>
      </c>
      <c r="I658" s="16">
        <v>183.72</v>
      </c>
      <c r="J658" s="16">
        <v>89.3</v>
      </c>
      <c r="K658" s="16">
        <v>56.6</v>
      </c>
      <c r="L658" s="159">
        <f t="shared" si="54"/>
        <v>0.48606575223165688</v>
      </c>
      <c r="M658" s="159">
        <f t="shared" si="54"/>
        <v>0.30807750925321142</v>
      </c>
    </row>
    <row r="659" spans="2:13">
      <c r="B659" t="s">
        <v>165</v>
      </c>
      <c r="C659">
        <f t="shared" si="55"/>
        <v>42</v>
      </c>
      <c r="D659" t="str">
        <f t="shared" si="52"/>
        <v>NANTES42</v>
      </c>
      <c r="E659" t="s">
        <v>166</v>
      </c>
      <c r="F659" t="str">
        <f t="shared" si="53"/>
        <v>NANTES42</v>
      </c>
      <c r="G659" t="s">
        <v>298</v>
      </c>
      <c r="I659" s="16">
        <v>183.6</v>
      </c>
      <c r="J659" s="16">
        <v>78.28</v>
      </c>
      <c r="K659" s="16">
        <v>0</v>
      </c>
      <c r="L659" s="159">
        <f t="shared" si="54"/>
        <v>0.4263616557734205</v>
      </c>
      <c r="M659" s="159">
        <f t="shared" si="54"/>
        <v>0</v>
      </c>
    </row>
    <row r="660" spans="2:13">
      <c r="B660" t="s">
        <v>165</v>
      </c>
      <c r="C660">
        <f t="shared" si="55"/>
        <v>43</v>
      </c>
      <c r="D660" t="str">
        <f t="shared" si="52"/>
        <v>NANTES43</v>
      </c>
      <c r="E660" t="s">
        <v>166</v>
      </c>
      <c r="F660" t="str">
        <f t="shared" si="53"/>
        <v>NANTES43</v>
      </c>
      <c r="G660" t="s">
        <v>386</v>
      </c>
      <c r="I660" s="16">
        <v>180.52</v>
      </c>
      <c r="J660" s="16">
        <v>20</v>
      </c>
      <c r="K660" s="16">
        <v>104</v>
      </c>
      <c r="L660" s="159">
        <f t="shared" si="54"/>
        <v>0.11079104808331486</v>
      </c>
      <c r="M660" s="159">
        <f t="shared" si="54"/>
        <v>0.57611345003323733</v>
      </c>
    </row>
    <row r="661" spans="2:13">
      <c r="B661" t="s">
        <v>165</v>
      </c>
      <c r="C661">
        <f t="shared" si="55"/>
        <v>44</v>
      </c>
      <c r="D661" t="str">
        <f t="shared" si="52"/>
        <v>NANTES44</v>
      </c>
      <c r="E661" t="s">
        <v>166</v>
      </c>
      <c r="F661" t="str">
        <f t="shared" si="53"/>
        <v>NANTES44</v>
      </c>
      <c r="G661" t="s">
        <v>226</v>
      </c>
      <c r="H661" t="s">
        <v>227</v>
      </c>
      <c r="I661" s="16">
        <v>149.74</v>
      </c>
      <c r="J661" s="16">
        <v>71.44</v>
      </c>
      <c r="K661" s="16">
        <v>42.86</v>
      </c>
      <c r="L661" s="159">
        <f t="shared" si="54"/>
        <v>0.47709362895685853</v>
      </c>
      <c r="M661" s="159">
        <f t="shared" si="54"/>
        <v>0.2862294644049686</v>
      </c>
    </row>
    <row r="662" spans="2:13">
      <c r="B662" t="s">
        <v>165</v>
      </c>
      <c r="C662">
        <f t="shared" si="55"/>
        <v>45</v>
      </c>
      <c r="D662" t="str">
        <f t="shared" si="52"/>
        <v>NANTES45</v>
      </c>
      <c r="E662" t="s">
        <v>166</v>
      </c>
      <c r="F662" t="str">
        <f t="shared" si="53"/>
        <v>NANTES45</v>
      </c>
      <c r="G662" t="s">
        <v>247</v>
      </c>
      <c r="H662" t="s">
        <v>248</v>
      </c>
      <c r="I662" s="16">
        <v>140.07</v>
      </c>
      <c r="J662" s="16">
        <v>22.59</v>
      </c>
      <c r="K662" s="16">
        <v>0</v>
      </c>
      <c r="L662" s="159">
        <f t="shared" si="54"/>
        <v>0.16127650460484044</v>
      </c>
      <c r="M662" s="159">
        <f t="shared" si="54"/>
        <v>0</v>
      </c>
    </row>
    <row r="663" spans="2:13">
      <c r="B663" t="s">
        <v>165</v>
      </c>
      <c r="C663">
        <f t="shared" si="55"/>
        <v>46</v>
      </c>
      <c r="D663" t="str">
        <f t="shared" si="52"/>
        <v>NANTES46</v>
      </c>
      <c r="E663" t="s">
        <v>166</v>
      </c>
      <c r="F663" t="str">
        <f t="shared" si="53"/>
        <v>NANTES46</v>
      </c>
      <c r="G663" t="s">
        <v>325</v>
      </c>
      <c r="H663" t="s">
        <v>938</v>
      </c>
      <c r="I663" s="16">
        <v>139.47999999999999</v>
      </c>
      <c r="J663" s="16">
        <v>64.819999999999993</v>
      </c>
      <c r="K663" s="16">
        <v>0</v>
      </c>
      <c r="L663" s="159">
        <f t="shared" si="54"/>
        <v>0.46472612560940635</v>
      </c>
      <c r="M663" s="159">
        <f t="shared" si="54"/>
        <v>0</v>
      </c>
    </row>
    <row r="664" spans="2:13">
      <c r="B664" t="s">
        <v>165</v>
      </c>
      <c r="C664">
        <f t="shared" si="55"/>
        <v>47</v>
      </c>
      <c r="D664" t="str">
        <f t="shared" si="52"/>
        <v>NANTES47</v>
      </c>
      <c r="E664" t="s">
        <v>166</v>
      </c>
      <c r="F664" t="str">
        <f t="shared" si="53"/>
        <v>NANTES47</v>
      </c>
      <c r="G664" t="s">
        <v>289</v>
      </c>
      <c r="H664" t="s">
        <v>935</v>
      </c>
      <c r="I664" s="16">
        <v>130.82</v>
      </c>
      <c r="J664" s="16">
        <v>84.98</v>
      </c>
      <c r="K664" s="16">
        <v>27.33</v>
      </c>
      <c r="L664" s="159">
        <f t="shared" si="54"/>
        <v>0.64959486317076909</v>
      </c>
      <c r="M664" s="159">
        <f t="shared" si="54"/>
        <v>0.20891301024308209</v>
      </c>
    </row>
    <row r="665" spans="2:13">
      <c r="B665" t="s">
        <v>165</v>
      </c>
      <c r="C665">
        <f t="shared" si="55"/>
        <v>48</v>
      </c>
      <c r="D665" t="str">
        <f t="shared" si="52"/>
        <v>NANTES48</v>
      </c>
      <c r="E665" t="s">
        <v>166</v>
      </c>
      <c r="F665" t="str">
        <f t="shared" si="53"/>
        <v>NANTES48</v>
      </c>
      <c r="G665" t="s">
        <v>287</v>
      </c>
      <c r="I665" s="16">
        <v>130.22</v>
      </c>
      <c r="J665" s="16">
        <v>67.06</v>
      </c>
      <c r="K665" s="16">
        <v>0</v>
      </c>
      <c r="L665" s="159">
        <f t="shared" si="54"/>
        <v>0.51497465827061895</v>
      </c>
      <c r="M665" s="159">
        <f t="shared" si="54"/>
        <v>0</v>
      </c>
    </row>
    <row r="666" spans="2:13">
      <c r="B666" t="s">
        <v>165</v>
      </c>
      <c r="C666">
        <f t="shared" si="55"/>
        <v>49</v>
      </c>
      <c r="D666" t="str">
        <f t="shared" si="52"/>
        <v>NANTES49</v>
      </c>
      <c r="E666" t="s">
        <v>166</v>
      </c>
      <c r="F666" t="str">
        <f t="shared" si="53"/>
        <v>NANTES49</v>
      </c>
      <c r="G666" t="s">
        <v>305</v>
      </c>
      <c r="H666" t="s">
        <v>937</v>
      </c>
      <c r="I666" s="16">
        <v>129.18</v>
      </c>
      <c r="J666" s="16">
        <v>102.33</v>
      </c>
      <c r="K666" s="16">
        <v>26.56</v>
      </c>
      <c r="L666" s="159">
        <f t="shared" si="54"/>
        <v>0.79215048769159302</v>
      </c>
      <c r="M666" s="159">
        <f t="shared" si="54"/>
        <v>0.20560458275274809</v>
      </c>
    </row>
    <row r="667" spans="2:13">
      <c r="B667" t="s">
        <v>165</v>
      </c>
      <c r="C667">
        <f t="shared" si="55"/>
        <v>50</v>
      </c>
      <c r="D667" t="str">
        <f t="shared" si="52"/>
        <v>NANTES50</v>
      </c>
      <c r="E667" t="s">
        <v>166</v>
      </c>
      <c r="F667" t="str">
        <f t="shared" si="53"/>
        <v>NANTES50</v>
      </c>
      <c r="G667" t="s">
        <v>266</v>
      </c>
      <c r="H667" t="s">
        <v>267</v>
      </c>
      <c r="I667" s="16">
        <v>126.69</v>
      </c>
      <c r="J667" s="16">
        <v>0</v>
      </c>
      <c r="K667" s="16">
        <v>17.41</v>
      </c>
      <c r="L667" s="159">
        <f t="shared" si="54"/>
        <v>0</v>
      </c>
      <c r="M667" s="159">
        <f t="shared" si="54"/>
        <v>0.13742205383218881</v>
      </c>
    </row>
    <row r="668" spans="2:13">
      <c r="B668" t="s">
        <v>165</v>
      </c>
      <c r="C668">
        <f t="shared" si="55"/>
        <v>51</v>
      </c>
      <c r="D668" t="str">
        <f t="shared" si="52"/>
        <v>NANTES51</v>
      </c>
      <c r="E668" t="s">
        <v>166</v>
      </c>
      <c r="F668" t="str">
        <f t="shared" si="53"/>
        <v>NANTES51</v>
      </c>
      <c r="G668" t="s">
        <v>349</v>
      </c>
      <c r="I668" s="16">
        <v>123.52</v>
      </c>
      <c r="J668" s="16">
        <v>33.74</v>
      </c>
      <c r="K668" s="16">
        <v>5.85</v>
      </c>
      <c r="L668" s="159">
        <f t="shared" si="54"/>
        <v>0.27315414507772023</v>
      </c>
      <c r="M668" s="159">
        <f t="shared" si="54"/>
        <v>4.7360751295336789E-2</v>
      </c>
    </row>
    <row r="669" spans="2:13">
      <c r="B669" t="s">
        <v>165</v>
      </c>
      <c r="C669">
        <f t="shared" si="55"/>
        <v>52</v>
      </c>
      <c r="D669" t="str">
        <f t="shared" si="52"/>
        <v>NANTES52</v>
      </c>
      <c r="E669" t="s">
        <v>166</v>
      </c>
      <c r="F669" t="str">
        <f t="shared" si="53"/>
        <v>NANTES52</v>
      </c>
      <c r="G669" t="s">
        <v>235</v>
      </c>
      <c r="H669" t="s">
        <v>236</v>
      </c>
      <c r="I669" s="16">
        <v>123.03</v>
      </c>
      <c r="J669" s="16">
        <v>14.55</v>
      </c>
      <c r="K669" s="16">
        <v>24.26</v>
      </c>
      <c r="L669" s="159">
        <f t="shared" si="54"/>
        <v>0.11826383808827116</v>
      </c>
      <c r="M669" s="159">
        <f t="shared" si="54"/>
        <v>0.19718767780216209</v>
      </c>
    </row>
    <row r="670" spans="2:13">
      <c r="B670" t="s">
        <v>165</v>
      </c>
      <c r="C670">
        <f t="shared" si="55"/>
        <v>53</v>
      </c>
      <c r="D670" t="str">
        <f t="shared" si="52"/>
        <v>NANTES53</v>
      </c>
      <c r="E670" t="s">
        <v>166</v>
      </c>
      <c r="F670" t="str">
        <f t="shared" si="53"/>
        <v>NANTES53</v>
      </c>
      <c r="G670" t="s">
        <v>304</v>
      </c>
      <c r="I670" s="16">
        <v>121.96</v>
      </c>
      <c r="J670" s="16">
        <v>17.16</v>
      </c>
      <c r="K670" s="16">
        <v>16.559999999999999</v>
      </c>
      <c r="L670" s="159">
        <f t="shared" si="54"/>
        <v>0.1407018694653985</v>
      </c>
      <c r="M670" s="159">
        <f t="shared" si="54"/>
        <v>0.13578222367989504</v>
      </c>
    </row>
    <row r="671" spans="2:13">
      <c r="B671" t="s">
        <v>165</v>
      </c>
      <c r="C671">
        <f t="shared" si="55"/>
        <v>54</v>
      </c>
      <c r="D671" t="str">
        <f t="shared" si="52"/>
        <v>NANTES54</v>
      </c>
      <c r="E671" t="s">
        <v>166</v>
      </c>
      <c r="F671" t="str">
        <f t="shared" si="53"/>
        <v>NANTES54</v>
      </c>
      <c r="G671" t="s">
        <v>330</v>
      </c>
      <c r="I671" s="16">
        <v>117.22</v>
      </c>
      <c r="J671" s="16">
        <v>53.31</v>
      </c>
      <c r="K671" s="16">
        <v>18.89</v>
      </c>
      <c r="L671" s="159">
        <f t="shared" si="54"/>
        <v>0.45478587271796622</v>
      </c>
      <c r="M671" s="159">
        <f t="shared" si="54"/>
        <v>0.16114997440709777</v>
      </c>
    </row>
    <row r="672" spans="2:13">
      <c r="B672" t="s">
        <v>165</v>
      </c>
      <c r="C672">
        <f t="shared" si="55"/>
        <v>55</v>
      </c>
      <c r="D672" t="str">
        <f t="shared" si="52"/>
        <v>NANTES55</v>
      </c>
      <c r="E672" t="s">
        <v>166</v>
      </c>
      <c r="F672" t="str">
        <f t="shared" si="53"/>
        <v>NANTES55</v>
      </c>
      <c r="G672" t="s">
        <v>270</v>
      </c>
      <c r="I672" s="16">
        <v>109.63</v>
      </c>
      <c r="J672" s="16">
        <v>82.49</v>
      </c>
      <c r="K672" s="16">
        <v>0</v>
      </c>
      <c r="L672" s="159">
        <f t="shared" si="54"/>
        <v>0.75244002554045419</v>
      </c>
      <c r="M672" s="159">
        <f t="shared" si="54"/>
        <v>0</v>
      </c>
    </row>
    <row r="673" spans="2:13">
      <c r="B673" t="s">
        <v>165</v>
      </c>
      <c r="C673">
        <f t="shared" si="55"/>
        <v>56</v>
      </c>
      <c r="D673" t="str">
        <f t="shared" si="52"/>
        <v>NANTES56</v>
      </c>
      <c r="E673" t="s">
        <v>166</v>
      </c>
      <c r="F673" t="str">
        <f t="shared" si="53"/>
        <v>NANTES56</v>
      </c>
      <c r="G673" t="s">
        <v>345</v>
      </c>
      <c r="I673" s="16">
        <v>107.53</v>
      </c>
      <c r="J673" s="16">
        <v>34.54</v>
      </c>
      <c r="K673" s="16">
        <v>0</v>
      </c>
      <c r="L673" s="159">
        <f t="shared" si="54"/>
        <v>0.32121268483213988</v>
      </c>
      <c r="M673" s="159">
        <f t="shared" si="54"/>
        <v>0</v>
      </c>
    </row>
    <row r="674" spans="2:13">
      <c r="B674" t="s">
        <v>165</v>
      </c>
      <c r="C674">
        <f t="shared" si="55"/>
        <v>57</v>
      </c>
      <c r="D674" t="str">
        <f t="shared" si="52"/>
        <v>NANTES57</v>
      </c>
      <c r="E674" t="s">
        <v>166</v>
      </c>
      <c r="F674" t="str">
        <f t="shared" si="53"/>
        <v>NANTES57</v>
      </c>
      <c r="G674" t="s">
        <v>336</v>
      </c>
      <c r="H674" t="s">
        <v>941</v>
      </c>
      <c r="I674" s="16">
        <v>106.88</v>
      </c>
      <c r="J674" s="16">
        <v>55.45</v>
      </c>
      <c r="K674" s="16">
        <v>0</v>
      </c>
      <c r="L674" s="159">
        <f t="shared" si="54"/>
        <v>0.51880613772455098</v>
      </c>
      <c r="M674" s="159">
        <f t="shared" si="54"/>
        <v>0</v>
      </c>
    </row>
    <row r="675" spans="2:13">
      <c r="B675" t="s">
        <v>165</v>
      </c>
      <c r="C675">
        <f t="shared" si="55"/>
        <v>58</v>
      </c>
      <c r="D675" t="str">
        <f t="shared" si="52"/>
        <v>NANTES58</v>
      </c>
      <c r="E675" t="s">
        <v>166</v>
      </c>
      <c r="F675" t="str">
        <f t="shared" si="53"/>
        <v>NANTES58</v>
      </c>
      <c r="G675" t="s">
        <v>259</v>
      </c>
      <c r="I675" s="16">
        <v>105.32</v>
      </c>
      <c r="J675" s="16">
        <v>0</v>
      </c>
      <c r="K675" s="16">
        <v>49.8</v>
      </c>
      <c r="L675" s="159">
        <f t="shared" si="54"/>
        <v>0</v>
      </c>
      <c r="M675" s="159">
        <f t="shared" si="54"/>
        <v>0.47284466388150398</v>
      </c>
    </row>
    <row r="676" spans="2:13">
      <c r="B676" t="s">
        <v>165</v>
      </c>
      <c r="C676">
        <f t="shared" si="55"/>
        <v>59</v>
      </c>
      <c r="D676" t="str">
        <f t="shared" si="52"/>
        <v>NANTES59</v>
      </c>
      <c r="E676" t="s">
        <v>166</v>
      </c>
      <c r="F676" t="str">
        <f t="shared" si="53"/>
        <v>NANTES59</v>
      </c>
      <c r="G676" t="s">
        <v>209</v>
      </c>
      <c r="H676" t="s">
        <v>210</v>
      </c>
      <c r="I676" s="16">
        <v>104.23</v>
      </c>
      <c r="J676" s="16">
        <v>27.4</v>
      </c>
      <c r="K676" s="16">
        <v>23.33</v>
      </c>
      <c r="L676" s="159">
        <f t="shared" si="54"/>
        <v>0.26288016885733473</v>
      </c>
      <c r="M676" s="159">
        <f t="shared" si="54"/>
        <v>0.22383191019859922</v>
      </c>
    </row>
    <row r="677" spans="2:13">
      <c r="B677" t="s">
        <v>165</v>
      </c>
      <c r="C677">
        <f t="shared" si="55"/>
        <v>60</v>
      </c>
      <c r="D677" t="str">
        <f t="shared" si="52"/>
        <v>NANTES60</v>
      </c>
      <c r="E677" t="s">
        <v>166</v>
      </c>
      <c r="F677" t="str">
        <f t="shared" si="53"/>
        <v>NANTES60</v>
      </c>
      <c r="G677" t="s">
        <v>310</v>
      </c>
      <c r="I677" s="16">
        <v>102.56</v>
      </c>
      <c r="J677" s="16">
        <v>42.44</v>
      </c>
      <c r="K677" s="16">
        <v>0</v>
      </c>
      <c r="L677" s="159">
        <f t="shared" si="54"/>
        <v>0.41380655226209045</v>
      </c>
      <c r="M677" s="159">
        <f t="shared" si="54"/>
        <v>0</v>
      </c>
    </row>
    <row r="678" spans="2:13">
      <c r="B678" t="s">
        <v>165</v>
      </c>
      <c r="C678">
        <f t="shared" si="55"/>
        <v>61</v>
      </c>
      <c r="D678" t="str">
        <f t="shared" si="52"/>
        <v>NANTES61</v>
      </c>
      <c r="E678" t="s">
        <v>166</v>
      </c>
      <c r="F678" t="str">
        <f t="shared" si="53"/>
        <v>NANTES61</v>
      </c>
      <c r="G678" t="s">
        <v>374</v>
      </c>
      <c r="I678" s="16">
        <v>101.44</v>
      </c>
      <c r="J678" s="16">
        <v>53.03</v>
      </c>
      <c r="K678" s="16">
        <v>0</v>
      </c>
      <c r="L678" s="159">
        <f t="shared" si="54"/>
        <v>0.52277208201892744</v>
      </c>
      <c r="M678" s="159">
        <f t="shared" si="54"/>
        <v>0</v>
      </c>
    </row>
    <row r="679" spans="2:13">
      <c r="B679" t="s">
        <v>165</v>
      </c>
      <c r="C679">
        <f t="shared" si="55"/>
        <v>62</v>
      </c>
      <c r="D679" t="str">
        <f t="shared" si="52"/>
        <v>NANTES62</v>
      </c>
      <c r="E679" t="s">
        <v>166</v>
      </c>
      <c r="F679" t="str">
        <f t="shared" si="53"/>
        <v>NANTES62</v>
      </c>
      <c r="G679" t="s">
        <v>282</v>
      </c>
      <c r="H679" t="s">
        <v>920</v>
      </c>
      <c r="I679" s="16">
        <v>97.6</v>
      </c>
      <c r="J679" s="16">
        <v>34.08</v>
      </c>
      <c r="K679" s="16">
        <v>10.54</v>
      </c>
      <c r="L679" s="159">
        <f t="shared" si="54"/>
        <v>0.34918032786885245</v>
      </c>
      <c r="M679" s="159">
        <f t="shared" si="54"/>
        <v>0.10799180327868853</v>
      </c>
    </row>
    <row r="680" spans="2:13">
      <c r="B680" t="s">
        <v>165</v>
      </c>
      <c r="C680">
        <f t="shared" si="55"/>
        <v>63</v>
      </c>
      <c r="D680" t="str">
        <f t="shared" si="52"/>
        <v>NANTES63</v>
      </c>
      <c r="E680" t="s">
        <v>166</v>
      </c>
      <c r="F680" t="str">
        <f t="shared" si="53"/>
        <v>NANTES63</v>
      </c>
      <c r="G680" t="s">
        <v>240</v>
      </c>
      <c r="H680" t="s">
        <v>926</v>
      </c>
      <c r="I680" s="16">
        <v>94.92</v>
      </c>
      <c r="J680" s="16">
        <v>94.92</v>
      </c>
      <c r="K680" s="16">
        <v>10.9</v>
      </c>
      <c r="L680" s="159">
        <f t="shared" si="54"/>
        <v>1</v>
      </c>
      <c r="M680" s="159">
        <f t="shared" si="54"/>
        <v>0.11483354403708386</v>
      </c>
    </row>
    <row r="681" spans="2:13">
      <c r="B681" t="s">
        <v>165</v>
      </c>
      <c r="C681">
        <f t="shared" si="55"/>
        <v>64</v>
      </c>
      <c r="D681" t="str">
        <f t="shared" si="52"/>
        <v>NANTES64</v>
      </c>
      <c r="E681" t="s">
        <v>166</v>
      </c>
      <c r="F681" t="str">
        <f t="shared" si="53"/>
        <v>NANTES64</v>
      </c>
      <c r="G681" t="s">
        <v>417</v>
      </c>
      <c r="I681" s="16">
        <v>94.49</v>
      </c>
      <c r="J681" s="16">
        <v>12.28</v>
      </c>
      <c r="K681" s="16">
        <v>7.14</v>
      </c>
      <c r="L681" s="159">
        <f t="shared" si="54"/>
        <v>0.129960842417187</v>
      </c>
      <c r="M681" s="159">
        <f t="shared" si="54"/>
        <v>7.556355169859244E-2</v>
      </c>
    </row>
    <row r="682" spans="2:13">
      <c r="B682" t="s">
        <v>165</v>
      </c>
      <c r="C682">
        <f t="shared" ref="C682:C713" si="56">RANK(I682,$I$617:$I$795,0)</f>
        <v>65</v>
      </c>
      <c r="D682" t="str">
        <f t="shared" si="52"/>
        <v>NANTES65</v>
      </c>
      <c r="E682" t="s">
        <v>166</v>
      </c>
      <c r="F682" t="str">
        <f t="shared" si="53"/>
        <v>NANTES65</v>
      </c>
      <c r="G682" t="s">
        <v>312</v>
      </c>
      <c r="I682" s="16">
        <v>92.36</v>
      </c>
      <c r="J682" s="16">
        <v>46.86</v>
      </c>
      <c r="K682" s="16">
        <v>14.53</v>
      </c>
      <c r="L682" s="159">
        <f t="shared" si="54"/>
        <v>0.50736249458640104</v>
      </c>
      <c r="M682" s="159">
        <f t="shared" si="54"/>
        <v>0.15731918579471632</v>
      </c>
    </row>
    <row r="683" spans="2:13">
      <c r="B683" t="s">
        <v>165</v>
      </c>
      <c r="C683">
        <f t="shared" si="56"/>
        <v>66</v>
      </c>
      <c r="D683" t="str">
        <f t="shared" si="52"/>
        <v>NANTES66</v>
      </c>
      <c r="E683" t="s">
        <v>166</v>
      </c>
      <c r="F683" t="str">
        <f t="shared" si="53"/>
        <v>NANTES66</v>
      </c>
      <c r="G683" t="s">
        <v>347</v>
      </c>
      <c r="I683" s="16">
        <v>91.68</v>
      </c>
      <c r="J683" s="16">
        <v>48.3</v>
      </c>
      <c r="K683" s="16">
        <v>40.74</v>
      </c>
      <c r="L683" s="159">
        <f t="shared" si="54"/>
        <v>0.52683246073298418</v>
      </c>
      <c r="M683" s="159">
        <f t="shared" si="54"/>
        <v>0.4443717277486911</v>
      </c>
    </row>
    <row r="684" spans="2:13">
      <c r="B684" t="s">
        <v>165</v>
      </c>
      <c r="C684">
        <f t="shared" si="56"/>
        <v>67</v>
      </c>
      <c r="D684" t="str">
        <f t="shared" si="52"/>
        <v>NANTES67</v>
      </c>
      <c r="E684" t="s">
        <v>166</v>
      </c>
      <c r="F684" t="str">
        <f t="shared" si="53"/>
        <v>NANTES67</v>
      </c>
      <c r="G684" t="s">
        <v>360</v>
      </c>
      <c r="I684" s="16">
        <v>87.89</v>
      </c>
      <c r="J684" s="16">
        <v>71.37</v>
      </c>
      <c r="K684" s="16">
        <v>10.88</v>
      </c>
      <c r="L684" s="159">
        <f t="shared" si="54"/>
        <v>0.81203777449084091</v>
      </c>
      <c r="M684" s="159">
        <f t="shared" si="54"/>
        <v>0.12379110251450678</v>
      </c>
    </row>
    <row r="685" spans="2:13">
      <c r="B685" t="s">
        <v>165</v>
      </c>
      <c r="C685">
        <f t="shared" si="56"/>
        <v>68</v>
      </c>
      <c r="D685" t="str">
        <f t="shared" si="52"/>
        <v>NANTES68</v>
      </c>
      <c r="E685" t="s">
        <v>166</v>
      </c>
      <c r="F685" t="str">
        <f t="shared" si="53"/>
        <v>NANTES68</v>
      </c>
      <c r="G685" t="s">
        <v>239</v>
      </c>
      <c r="H685" t="s">
        <v>925</v>
      </c>
      <c r="I685" s="16">
        <v>83.19</v>
      </c>
      <c r="J685" s="16">
        <v>22.15</v>
      </c>
      <c r="K685" s="16">
        <v>27.52</v>
      </c>
      <c r="L685" s="159">
        <f t="shared" si="54"/>
        <v>0.26625796369755977</v>
      </c>
      <c r="M685" s="159">
        <f t="shared" si="54"/>
        <v>0.33080899146532033</v>
      </c>
    </row>
    <row r="686" spans="2:13">
      <c r="B686" t="s">
        <v>165</v>
      </c>
      <c r="C686">
        <f t="shared" si="56"/>
        <v>69</v>
      </c>
      <c r="D686" t="str">
        <f t="shared" si="52"/>
        <v>NANTES69</v>
      </c>
      <c r="E686" t="s">
        <v>166</v>
      </c>
      <c r="F686" t="str">
        <f t="shared" si="53"/>
        <v>NANTES69</v>
      </c>
      <c r="G686" t="s">
        <v>244</v>
      </c>
      <c r="I686" s="16">
        <v>82.87</v>
      </c>
      <c r="J686" s="16">
        <v>24.2</v>
      </c>
      <c r="K686" s="16">
        <v>6.61</v>
      </c>
      <c r="L686" s="159">
        <f t="shared" si="54"/>
        <v>0.29202365150235304</v>
      </c>
      <c r="M686" s="159">
        <f t="shared" si="54"/>
        <v>7.9763484976469165E-2</v>
      </c>
    </row>
    <row r="687" spans="2:13">
      <c r="B687" t="s">
        <v>165</v>
      </c>
      <c r="C687">
        <f t="shared" si="56"/>
        <v>70</v>
      </c>
      <c r="D687" t="str">
        <f t="shared" si="52"/>
        <v>NANTES70</v>
      </c>
      <c r="E687" t="s">
        <v>166</v>
      </c>
      <c r="F687" t="str">
        <f t="shared" si="53"/>
        <v>NANTES70</v>
      </c>
      <c r="G687" t="s">
        <v>416</v>
      </c>
      <c r="I687" s="16">
        <v>75.790000000000006</v>
      </c>
      <c r="J687" s="16">
        <v>28.21</v>
      </c>
      <c r="K687" s="16">
        <v>14.93</v>
      </c>
      <c r="L687" s="159">
        <f t="shared" si="54"/>
        <v>0.37221269296740994</v>
      </c>
      <c r="M687" s="159">
        <f t="shared" si="54"/>
        <v>0.19699168755772528</v>
      </c>
    </row>
    <row r="688" spans="2:13">
      <c r="B688" t="s">
        <v>165</v>
      </c>
      <c r="C688">
        <f t="shared" si="56"/>
        <v>71</v>
      </c>
      <c r="D688" t="str">
        <f t="shared" si="52"/>
        <v>NANTES71</v>
      </c>
      <c r="E688" t="s">
        <v>166</v>
      </c>
      <c r="F688" t="str">
        <f t="shared" si="53"/>
        <v>NANTES71</v>
      </c>
      <c r="G688" t="s">
        <v>280</v>
      </c>
      <c r="I688" s="16">
        <v>74.28</v>
      </c>
      <c r="J688" s="16">
        <v>40.58</v>
      </c>
      <c r="K688" s="16">
        <v>9.76</v>
      </c>
      <c r="L688" s="159">
        <f t="shared" si="54"/>
        <v>0.5463112547119009</v>
      </c>
      <c r="M688" s="159">
        <f t="shared" si="54"/>
        <v>0.13139472267097468</v>
      </c>
    </row>
    <row r="689" spans="2:13">
      <c r="B689" t="s">
        <v>165</v>
      </c>
      <c r="C689">
        <f t="shared" si="56"/>
        <v>72</v>
      </c>
      <c r="D689" t="str">
        <f t="shared" si="52"/>
        <v>NANTES72</v>
      </c>
      <c r="E689" t="s">
        <v>166</v>
      </c>
      <c r="F689" t="str">
        <f t="shared" si="53"/>
        <v>NANTES72</v>
      </c>
      <c r="G689" t="s">
        <v>308</v>
      </c>
      <c r="I689" s="16">
        <v>73.94</v>
      </c>
      <c r="J689" s="16">
        <v>10.88</v>
      </c>
      <c r="K689" s="16">
        <v>10.88</v>
      </c>
      <c r="L689" s="159">
        <f t="shared" si="54"/>
        <v>0.14714633486610768</v>
      </c>
      <c r="M689" s="159">
        <f t="shared" si="54"/>
        <v>0.14714633486610768</v>
      </c>
    </row>
    <row r="690" spans="2:13">
      <c r="B690" t="s">
        <v>165</v>
      </c>
      <c r="C690">
        <f t="shared" si="56"/>
        <v>73</v>
      </c>
      <c r="D690" t="str">
        <f t="shared" si="52"/>
        <v>NANTES73</v>
      </c>
      <c r="E690" t="s">
        <v>166</v>
      </c>
      <c r="F690" t="str">
        <f t="shared" si="53"/>
        <v>NANTES73</v>
      </c>
      <c r="G690" t="s">
        <v>260</v>
      </c>
      <c r="H690" t="s">
        <v>932</v>
      </c>
      <c r="I690" s="16">
        <v>70.78</v>
      </c>
      <c r="J690" s="16">
        <v>13.02</v>
      </c>
      <c r="K690" s="16">
        <v>6.51</v>
      </c>
      <c r="L690" s="159">
        <f t="shared" si="54"/>
        <v>0.18395026843741169</v>
      </c>
      <c r="M690" s="159">
        <f t="shared" si="54"/>
        <v>9.1975134218705845E-2</v>
      </c>
    </row>
    <row r="691" spans="2:13">
      <c r="B691" t="s">
        <v>165</v>
      </c>
      <c r="C691">
        <f t="shared" si="56"/>
        <v>74</v>
      </c>
      <c r="D691" t="str">
        <f t="shared" si="52"/>
        <v>NANTES74</v>
      </c>
      <c r="E691" t="s">
        <v>166</v>
      </c>
      <c r="F691" t="str">
        <f t="shared" si="53"/>
        <v>NANTES74</v>
      </c>
      <c r="G691" t="s">
        <v>268</v>
      </c>
      <c r="H691" t="s">
        <v>269</v>
      </c>
      <c r="I691" s="16">
        <v>68.5</v>
      </c>
      <c r="J691" s="16">
        <v>45.75</v>
      </c>
      <c r="K691" s="16">
        <v>0</v>
      </c>
      <c r="L691" s="159">
        <f t="shared" si="54"/>
        <v>0.66788321167883213</v>
      </c>
      <c r="M691" s="159">
        <f t="shared" si="54"/>
        <v>0</v>
      </c>
    </row>
    <row r="692" spans="2:13">
      <c r="B692" t="s">
        <v>165</v>
      </c>
      <c r="C692">
        <f t="shared" si="56"/>
        <v>75</v>
      </c>
      <c r="D692" t="str">
        <f t="shared" si="52"/>
        <v>NANTES75</v>
      </c>
      <c r="E692" t="s">
        <v>166</v>
      </c>
      <c r="F692" t="str">
        <f t="shared" si="53"/>
        <v>NANTES75</v>
      </c>
      <c r="G692" t="s">
        <v>284</v>
      </c>
      <c r="I692" s="16">
        <v>67.86</v>
      </c>
      <c r="J692" s="16">
        <v>47.23</v>
      </c>
      <c r="K692" s="16">
        <v>35</v>
      </c>
      <c r="L692" s="159">
        <f t="shared" si="54"/>
        <v>0.69599174771588557</v>
      </c>
      <c r="M692" s="159">
        <f t="shared" si="54"/>
        <v>0.51576775714706746</v>
      </c>
    </row>
    <row r="693" spans="2:13">
      <c r="B693" t="s">
        <v>165</v>
      </c>
      <c r="C693">
        <f t="shared" si="56"/>
        <v>76</v>
      </c>
      <c r="D693" t="str">
        <f t="shared" si="52"/>
        <v>NANTES76</v>
      </c>
      <c r="E693" t="s">
        <v>166</v>
      </c>
      <c r="F693" t="str">
        <f t="shared" si="53"/>
        <v>NANTES76</v>
      </c>
      <c r="G693" t="s">
        <v>343</v>
      </c>
      <c r="I693" s="16">
        <v>65.03</v>
      </c>
      <c r="J693" s="16">
        <v>43.47</v>
      </c>
      <c r="K693" s="16">
        <v>0</v>
      </c>
      <c r="L693" s="159">
        <f t="shared" si="54"/>
        <v>0.6684607104413347</v>
      </c>
      <c r="M693" s="159">
        <f t="shared" si="54"/>
        <v>0</v>
      </c>
    </row>
    <row r="694" spans="2:13">
      <c r="B694" t="s">
        <v>165</v>
      </c>
      <c r="C694">
        <f t="shared" si="56"/>
        <v>77</v>
      </c>
      <c r="D694" t="str">
        <f t="shared" si="52"/>
        <v>NANTES77</v>
      </c>
      <c r="E694" t="s">
        <v>166</v>
      </c>
      <c r="F694" t="str">
        <f t="shared" si="53"/>
        <v>NANTES77</v>
      </c>
      <c r="G694" t="s">
        <v>293</v>
      </c>
      <c r="I694" s="16">
        <v>64.28</v>
      </c>
      <c r="J694" s="16">
        <v>16.149999999999999</v>
      </c>
      <c r="K694" s="16">
        <v>26.3</v>
      </c>
      <c r="L694" s="159">
        <f t="shared" si="54"/>
        <v>0.2512445550715619</v>
      </c>
      <c r="M694" s="159">
        <f t="shared" si="54"/>
        <v>0.40914747977598009</v>
      </c>
    </row>
    <row r="695" spans="2:13">
      <c r="B695" t="s">
        <v>165</v>
      </c>
      <c r="C695">
        <f t="shared" si="56"/>
        <v>78</v>
      </c>
      <c r="D695" t="str">
        <f t="shared" si="52"/>
        <v>NANTES78</v>
      </c>
      <c r="E695" t="s">
        <v>166</v>
      </c>
      <c r="F695" t="str">
        <f t="shared" si="53"/>
        <v>NANTES78</v>
      </c>
      <c r="G695" t="s">
        <v>337</v>
      </c>
      <c r="I695" s="16">
        <v>60.33</v>
      </c>
      <c r="J695" s="16">
        <v>24.74</v>
      </c>
      <c r="K695" s="16">
        <v>0</v>
      </c>
      <c r="L695" s="159">
        <f t="shared" si="54"/>
        <v>0.41007790485662188</v>
      </c>
      <c r="M695" s="159">
        <f t="shared" si="54"/>
        <v>0</v>
      </c>
    </row>
    <row r="696" spans="2:13">
      <c r="B696" t="s">
        <v>165</v>
      </c>
      <c r="C696">
        <f t="shared" si="56"/>
        <v>79</v>
      </c>
      <c r="D696" t="str">
        <f t="shared" si="52"/>
        <v>NANTES79</v>
      </c>
      <c r="E696" t="s">
        <v>166</v>
      </c>
      <c r="F696" t="str">
        <f t="shared" si="53"/>
        <v>NANTES79</v>
      </c>
      <c r="G696" t="s">
        <v>380</v>
      </c>
      <c r="I696" s="16">
        <v>59.64</v>
      </c>
      <c r="J696" s="16">
        <v>6.41</v>
      </c>
      <c r="K696" s="16">
        <v>0</v>
      </c>
      <c r="L696" s="159">
        <f t="shared" si="54"/>
        <v>0.10747820254862508</v>
      </c>
      <c r="M696" s="159">
        <f t="shared" si="54"/>
        <v>0</v>
      </c>
    </row>
    <row r="697" spans="2:13">
      <c r="B697" t="s">
        <v>165</v>
      </c>
      <c r="C697">
        <f t="shared" si="56"/>
        <v>80</v>
      </c>
      <c r="D697" t="str">
        <f t="shared" si="52"/>
        <v>NANTES80</v>
      </c>
      <c r="E697" t="s">
        <v>166</v>
      </c>
      <c r="F697" t="str">
        <f t="shared" si="53"/>
        <v>NANTES80</v>
      </c>
      <c r="G697" t="s">
        <v>328</v>
      </c>
      <c r="H697" t="s">
        <v>939</v>
      </c>
      <c r="I697" s="16">
        <v>59</v>
      </c>
      <c r="J697" s="16">
        <v>35.020000000000003</v>
      </c>
      <c r="K697" s="16">
        <v>0</v>
      </c>
      <c r="L697" s="159">
        <f t="shared" si="54"/>
        <v>0.59355932203389838</v>
      </c>
      <c r="M697" s="159">
        <f t="shared" si="54"/>
        <v>0</v>
      </c>
    </row>
    <row r="698" spans="2:13">
      <c r="B698" t="s">
        <v>165</v>
      </c>
      <c r="C698">
        <f t="shared" si="56"/>
        <v>81</v>
      </c>
      <c r="D698" t="str">
        <f t="shared" si="52"/>
        <v>NANTES81</v>
      </c>
      <c r="E698" t="s">
        <v>166</v>
      </c>
      <c r="F698" t="str">
        <f t="shared" si="53"/>
        <v>NANTES81</v>
      </c>
      <c r="G698" t="s">
        <v>353</v>
      </c>
      <c r="I698" s="16">
        <v>58.92</v>
      </c>
      <c r="J698" s="16">
        <v>44.37</v>
      </c>
      <c r="K698" s="16">
        <v>12.35</v>
      </c>
      <c r="L698" s="159">
        <f t="shared" si="54"/>
        <v>0.75305498981670049</v>
      </c>
      <c r="M698" s="159">
        <f t="shared" si="54"/>
        <v>0.20960624575695858</v>
      </c>
    </row>
    <row r="699" spans="2:13">
      <c r="B699" t="s">
        <v>165</v>
      </c>
      <c r="C699">
        <f t="shared" si="56"/>
        <v>82</v>
      </c>
      <c r="D699" t="str">
        <f t="shared" si="52"/>
        <v>NANTES82</v>
      </c>
      <c r="E699" t="s">
        <v>166</v>
      </c>
      <c r="F699" t="str">
        <f t="shared" si="53"/>
        <v>NANTES82</v>
      </c>
      <c r="G699" t="s">
        <v>362</v>
      </c>
      <c r="H699" t="s">
        <v>943</v>
      </c>
      <c r="I699" s="16">
        <v>57.25</v>
      </c>
      <c r="J699" s="16">
        <v>0</v>
      </c>
      <c r="K699" s="16">
        <v>0</v>
      </c>
      <c r="L699" s="159">
        <f t="shared" si="54"/>
        <v>0</v>
      </c>
      <c r="M699" s="159">
        <f t="shared" si="54"/>
        <v>0</v>
      </c>
    </row>
    <row r="700" spans="2:13">
      <c r="B700" t="s">
        <v>165</v>
      </c>
      <c r="C700">
        <f t="shared" si="56"/>
        <v>83</v>
      </c>
      <c r="D700" t="str">
        <f t="shared" si="52"/>
        <v>NANTES83</v>
      </c>
      <c r="E700" t="s">
        <v>166</v>
      </c>
      <c r="F700" t="str">
        <f t="shared" si="53"/>
        <v>NANTES83</v>
      </c>
      <c r="G700" t="s">
        <v>261</v>
      </c>
      <c r="I700" s="16">
        <v>54.63</v>
      </c>
      <c r="J700" s="16">
        <v>0</v>
      </c>
      <c r="K700" s="16">
        <v>54.63</v>
      </c>
      <c r="L700" s="159">
        <f t="shared" si="54"/>
        <v>0</v>
      </c>
      <c r="M700" s="159">
        <f t="shared" si="54"/>
        <v>1</v>
      </c>
    </row>
    <row r="701" spans="2:13">
      <c r="B701" t="s">
        <v>165</v>
      </c>
      <c r="C701">
        <f t="shared" si="56"/>
        <v>84</v>
      </c>
      <c r="D701" t="str">
        <f t="shared" si="52"/>
        <v>NANTES84</v>
      </c>
      <c r="E701" t="s">
        <v>166</v>
      </c>
      <c r="F701" t="str">
        <f t="shared" si="53"/>
        <v>NANTES84</v>
      </c>
      <c r="G701" t="s">
        <v>381</v>
      </c>
      <c r="I701" s="16">
        <v>52.24</v>
      </c>
      <c r="J701" s="16">
        <v>26.05</v>
      </c>
      <c r="K701" s="16">
        <v>13.13</v>
      </c>
      <c r="L701" s="159">
        <f t="shared" si="54"/>
        <v>0.49866003062787134</v>
      </c>
      <c r="M701" s="159">
        <f t="shared" si="54"/>
        <v>0.25133996937212866</v>
      </c>
    </row>
    <row r="702" spans="2:13">
      <c r="B702" t="s">
        <v>165</v>
      </c>
      <c r="C702">
        <f t="shared" si="56"/>
        <v>85</v>
      </c>
      <c r="D702" t="str">
        <f t="shared" si="52"/>
        <v>NANTES85</v>
      </c>
      <c r="E702" t="s">
        <v>166</v>
      </c>
      <c r="F702" t="str">
        <f t="shared" si="53"/>
        <v>NANTES85</v>
      </c>
      <c r="G702" t="s">
        <v>320</v>
      </c>
      <c r="I702" s="16">
        <v>50.79</v>
      </c>
      <c r="J702" s="16">
        <v>21.47</v>
      </c>
      <c r="K702" s="16">
        <v>9.6199999999999992</v>
      </c>
      <c r="L702" s="159">
        <f t="shared" si="54"/>
        <v>0.42272100807245522</v>
      </c>
      <c r="M702" s="159">
        <f t="shared" si="54"/>
        <v>0.18940736365426264</v>
      </c>
    </row>
    <row r="703" spans="2:13">
      <c r="B703" t="s">
        <v>165</v>
      </c>
      <c r="C703">
        <f t="shared" si="56"/>
        <v>86</v>
      </c>
      <c r="D703" t="str">
        <f t="shared" si="52"/>
        <v>NANTES86</v>
      </c>
      <c r="E703" t="s">
        <v>166</v>
      </c>
      <c r="F703" t="str">
        <f t="shared" si="53"/>
        <v>NANTES86</v>
      </c>
      <c r="G703" t="s">
        <v>433</v>
      </c>
      <c r="I703" s="16">
        <v>45.77</v>
      </c>
      <c r="J703" s="16">
        <v>15</v>
      </c>
      <c r="K703" s="16">
        <v>3.02</v>
      </c>
      <c r="L703" s="159">
        <f t="shared" si="54"/>
        <v>0.32772558444395888</v>
      </c>
      <c r="M703" s="159">
        <f t="shared" si="54"/>
        <v>6.5982084334717056E-2</v>
      </c>
    </row>
    <row r="704" spans="2:13">
      <c r="B704" t="s">
        <v>165</v>
      </c>
      <c r="C704">
        <f t="shared" si="56"/>
        <v>87</v>
      </c>
      <c r="D704" t="str">
        <f t="shared" si="52"/>
        <v>NANTES87</v>
      </c>
      <c r="E704" t="s">
        <v>166</v>
      </c>
      <c r="F704" t="str">
        <f t="shared" si="53"/>
        <v>NANTES87</v>
      </c>
      <c r="G704" t="s">
        <v>396</v>
      </c>
      <c r="I704" s="16">
        <v>45.35</v>
      </c>
      <c r="J704" s="16">
        <v>21.78</v>
      </c>
      <c r="K704" s="16">
        <v>0</v>
      </c>
      <c r="L704" s="159">
        <f t="shared" si="54"/>
        <v>0.48026460859977949</v>
      </c>
      <c r="M704" s="159">
        <f t="shared" si="54"/>
        <v>0</v>
      </c>
    </row>
    <row r="705" spans="2:13">
      <c r="B705" t="s">
        <v>165</v>
      </c>
      <c r="C705">
        <f t="shared" si="56"/>
        <v>88</v>
      </c>
      <c r="D705" t="str">
        <f t="shared" si="52"/>
        <v>NANTES88</v>
      </c>
      <c r="E705" t="s">
        <v>166</v>
      </c>
      <c r="F705" t="str">
        <f t="shared" si="53"/>
        <v>NANTES88</v>
      </c>
      <c r="G705" t="s">
        <v>279</v>
      </c>
      <c r="I705" s="16">
        <v>43.54</v>
      </c>
      <c r="J705" s="16">
        <v>9.6999999999999993</v>
      </c>
      <c r="K705" s="16">
        <v>4.8499999999999996</v>
      </c>
      <c r="L705" s="159">
        <f t="shared" si="54"/>
        <v>0.22278364722094623</v>
      </c>
      <c r="M705" s="159">
        <f t="shared" si="54"/>
        <v>0.11139182361047312</v>
      </c>
    </row>
    <row r="706" spans="2:13">
      <c r="B706" t="s">
        <v>165</v>
      </c>
      <c r="C706">
        <f t="shared" si="56"/>
        <v>89</v>
      </c>
      <c r="D706" t="str">
        <f t="shared" ref="D706:D769" si="57">CONCATENATE(E706,C706)</f>
        <v>NANTES89</v>
      </c>
      <c r="E706" t="s">
        <v>166</v>
      </c>
      <c r="F706" t="str">
        <f t="shared" si="53"/>
        <v>NANTES89</v>
      </c>
      <c r="G706" t="s">
        <v>355</v>
      </c>
      <c r="I706" s="16">
        <v>41.63</v>
      </c>
      <c r="J706" s="16">
        <v>0</v>
      </c>
      <c r="K706" s="16">
        <v>0</v>
      </c>
      <c r="L706" s="159">
        <f t="shared" si="54"/>
        <v>0</v>
      </c>
      <c r="M706" s="159">
        <f t="shared" si="54"/>
        <v>0</v>
      </c>
    </row>
    <row r="707" spans="2:13">
      <c r="B707" t="s">
        <v>165</v>
      </c>
      <c r="C707">
        <f t="shared" si="56"/>
        <v>90</v>
      </c>
      <c r="D707" t="str">
        <f t="shared" si="57"/>
        <v>NANTES90</v>
      </c>
      <c r="E707" t="s">
        <v>166</v>
      </c>
      <c r="F707" t="str">
        <f t="shared" ref="F707:F770" si="58">D707</f>
        <v>NANTES90</v>
      </c>
      <c r="G707" t="s">
        <v>255</v>
      </c>
      <c r="H707" t="s">
        <v>256</v>
      </c>
      <c r="I707" s="16">
        <v>40.31</v>
      </c>
      <c r="J707" s="16">
        <v>9.1999999999999993</v>
      </c>
      <c r="K707" s="16">
        <v>11.35</v>
      </c>
      <c r="L707" s="159">
        <f t="shared" ref="L707:M770" si="59">J707/$I707</f>
        <v>0.2282312081369387</v>
      </c>
      <c r="M707" s="159">
        <f t="shared" si="59"/>
        <v>0.28156784916894068</v>
      </c>
    </row>
    <row r="708" spans="2:13">
      <c r="B708" t="s">
        <v>165</v>
      </c>
      <c r="C708">
        <f t="shared" si="56"/>
        <v>91</v>
      </c>
      <c r="D708" t="str">
        <f t="shared" si="57"/>
        <v>NANTES91</v>
      </c>
      <c r="E708" t="s">
        <v>166</v>
      </c>
      <c r="F708" t="str">
        <f t="shared" si="58"/>
        <v>NANTES91</v>
      </c>
      <c r="G708" t="s">
        <v>448</v>
      </c>
      <c r="I708" s="16">
        <v>40</v>
      </c>
      <c r="J708" s="16">
        <v>0</v>
      </c>
      <c r="K708" s="16">
        <v>40</v>
      </c>
      <c r="L708" s="159">
        <f t="shared" si="59"/>
        <v>0</v>
      </c>
      <c r="M708" s="159">
        <f t="shared" si="59"/>
        <v>1</v>
      </c>
    </row>
    <row r="709" spans="2:13">
      <c r="B709" t="s">
        <v>165</v>
      </c>
      <c r="C709">
        <f t="shared" si="56"/>
        <v>92</v>
      </c>
      <c r="D709" t="str">
        <f t="shared" si="57"/>
        <v>NANTES92</v>
      </c>
      <c r="E709" t="s">
        <v>166</v>
      </c>
      <c r="F709" t="str">
        <f t="shared" si="58"/>
        <v>NANTES92</v>
      </c>
      <c r="G709" t="s">
        <v>272</v>
      </c>
      <c r="I709" s="16">
        <v>39.9</v>
      </c>
      <c r="J709" s="16">
        <v>8.32</v>
      </c>
      <c r="K709" s="16">
        <v>2.94</v>
      </c>
      <c r="L709" s="159">
        <f t="shared" si="59"/>
        <v>0.20852130325814539</v>
      </c>
      <c r="M709" s="159">
        <f t="shared" si="59"/>
        <v>7.3684210526315796E-2</v>
      </c>
    </row>
    <row r="710" spans="2:13">
      <c r="B710" t="s">
        <v>165</v>
      </c>
      <c r="C710">
        <f t="shared" si="56"/>
        <v>93</v>
      </c>
      <c r="D710" t="str">
        <f t="shared" si="57"/>
        <v>NANTES93</v>
      </c>
      <c r="E710" t="s">
        <v>166</v>
      </c>
      <c r="F710" t="str">
        <f t="shared" si="58"/>
        <v>NANTES93</v>
      </c>
      <c r="G710" t="s">
        <v>412</v>
      </c>
      <c r="I710" s="16">
        <v>39.76</v>
      </c>
      <c r="J710" s="16">
        <v>17.7</v>
      </c>
      <c r="K710" s="16">
        <v>0</v>
      </c>
      <c r="L710" s="159">
        <f t="shared" si="59"/>
        <v>0.44517102615694165</v>
      </c>
      <c r="M710" s="159">
        <f t="shared" si="59"/>
        <v>0</v>
      </c>
    </row>
    <row r="711" spans="2:13">
      <c r="B711" t="s">
        <v>165</v>
      </c>
      <c r="C711">
        <f t="shared" si="56"/>
        <v>94</v>
      </c>
      <c r="D711" t="str">
        <f t="shared" si="57"/>
        <v>NANTES94</v>
      </c>
      <c r="E711" t="s">
        <v>166</v>
      </c>
      <c r="F711" t="str">
        <f t="shared" si="58"/>
        <v>NANTES94</v>
      </c>
      <c r="G711" t="s">
        <v>363</v>
      </c>
      <c r="I711" s="16">
        <v>37.54</v>
      </c>
      <c r="J711" s="16">
        <v>5.4</v>
      </c>
      <c r="K711" s="16">
        <v>0</v>
      </c>
      <c r="L711" s="159">
        <f t="shared" si="59"/>
        <v>0.14384656366542356</v>
      </c>
      <c r="M711" s="159">
        <f t="shared" si="59"/>
        <v>0</v>
      </c>
    </row>
    <row r="712" spans="2:13">
      <c r="B712" t="s">
        <v>165</v>
      </c>
      <c r="C712">
        <f t="shared" si="56"/>
        <v>95</v>
      </c>
      <c r="D712" t="str">
        <f t="shared" si="57"/>
        <v>NANTES95</v>
      </c>
      <c r="E712" t="s">
        <v>166</v>
      </c>
      <c r="F712" t="str">
        <f t="shared" si="58"/>
        <v>NANTES95</v>
      </c>
      <c r="G712" t="s">
        <v>420</v>
      </c>
      <c r="I712" s="16">
        <v>37.119999999999997</v>
      </c>
      <c r="J712" s="16">
        <v>0</v>
      </c>
      <c r="K712" s="16">
        <v>0</v>
      </c>
      <c r="L712" s="159">
        <f t="shared" si="59"/>
        <v>0</v>
      </c>
      <c r="M712" s="159">
        <f t="shared" si="59"/>
        <v>0</v>
      </c>
    </row>
    <row r="713" spans="2:13">
      <c r="B713" t="s">
        <v>165</v>
      </c>
      <c r="C713">
        <f t="shared" si="56"/>
        <v>96</v>
      </c>
      <c r="D713" t="str">
        <f t="shared" si="57"/>
        <v>NANTES96</v>
      </c>
      <c r="E713" t="s">
        <v>166</v>
      </c>
      <c r="F713" t="str">
        <f t="shared" si="58"/>
        <v>NANTES96</v>
      </c>
      <c r="G713" t="s">
        <v>254</v>
      </c>
      <c r="H713" t="s">
        <v>931</v>
      </c>
      <c r="I713" s="16">
        <v>36.21</v>
      </c>
      <c r="J713" s="16">
        <v>6.51</v>
      </c>
      <c r="K713" s="16">
        <v>19.53</v>
      </c>
      <c r="L713" s="159">
        <f t="shared" si="59"/>
        <v>0.17978458989229493</v>
      </c>
      <c r="M713" s="159">
        <f t="shared" si="59"/>
        <v>0.53935376967688486</v>
      </c>
    </row>
    <row r="714" spans="2:13">
      <c r="B714" t="s">
        <v>165</v>
      </c>
      <c r="C714">
        <f t="shared" ref="C714:C745" si="60">RANK(I714,$I$617:$I$795,0)</f>
        <v>97</v>
      </c>
      <c r="D714" t="str">
        <f t="shared" si="57"/>
        <v>NANTES97</v>
      </c>
      <c r="E714" t="s">
        <v>166</v>
      </c>
      <c r="F714" t="str">
        <f t="shared" si="58"/>
        <v>NANTES97</v>
      </c>
      <c r="G714" t="s">
        <v>429</v>
      </c>
      <c r="I714" s="16">
        <v>35.840000000000003</v>
      </c>
      <c r="J714" s="16">
        <v>2.02</v>
      </c>
      <c r="K714" s="16">
        <v>0</v>
      </c>
      <c r="L714" s="159">
        <f t="shared" si="59"/>
        <v>5.6361607142857137E-2</v>
      </c>
      <c r="M714" s="159">
        <f t="shared" si="59"/>
        <v>0</v>
      </c>
    </row>
    <row r="715" spans="2:13">
      <c r="B715" t="s">
        <v>165</v>
      </c>
      <c r="C715">
        <f t="shared" si="60"/>
        <v>98</v>
      </c>
      <c r="D715" t="str">
        <f t="shared" si="57"/>
        <v>NANTES98</v>
      </c>
      <c r="E715" t="s">
        <v>166</v>
      </c>
      <c r="F715" t="str">
        <f t="shared" si="58"/>
        <v>NANTES98</v>
      </c>
      <c r="G715" t="s">
        <v>257</v>
      </c>
      <c r="I715" s="16">
        <v>34.950000000000003</v>
      </c>
      <c r="J715" s="16">
        <v>10.32</v>
      </c>
      <c r="K715" s="16">
        <v>0</v>
      </c>
      <c r="L715" s="159">
        <f t="shared" si="59"/>
        <v>0.29527896995708153</v>
      </c>
      <c r="M715" s="159">
        <f t="shared" si="59"/>
        <v>0</v>
      </c>
    </row>
    <row r="716" spans="2:13">
      <c r="B716" t="s">
        <v>165</v>
      </c>
      <c r="C716">
        <f t="shared" si="60"/>
        <v>99</v>
      </c>
      <c r="D716" t="str">
        <f t="shared" si="57"/>
        <v>NANTES99</v>
      </c>
      <c r="E716" t="s">
        <v>166</v>
      </c>
      <c r="F716" t="str">
        <f t="shared" si="58"/>
        <v>NANTES99</v>
      </c>
      <c r="G716" t="s">
        <v>277</v>
      </c>
      <c r="I716" s="16">
        <v>32.99</v>
      </c>
      <c r="J716" s="16">
        <v>14.01</v>
      </c>
      <c r="K716" s="16">
        <v>0</v>
      </c>
      <c r="L716" s="159">
        <f t="shared" si="59"/>
        <v>0.42467414367990297</v>
      </c>
      <c r="M716" s="159">
        <f t="shared" si="59"/>
        <v>0</v>
      </c>
    </row>
    <row r="717" spans="2:13">
      <c r="B717" t="s">
        <v>165</v>
      </c>
      <c r="C717">
        <f t="shared" si="60"/>
        <v>100</v>
      </c>
      <c r="D717" t="str">
        <f t="shared" si="57"/>
        <v>NANTES100</v>
      </c>
      <c r="E717" t="s">
        <v>166</v>
      </c>
      <c r="F717" t="str">
        <f t="shared" si="58"/>
        <v>NANTES100</v>
      </c>
      <c r="G717" t="s">
        <v>398</v>
      </c>
      <c r="I717" s="16">
        <v>31.77</v>
      </c>
      <c r="J717" s="16">
        <v>8.75</v>
      </c>
      <c r="K717" s="16">
        <v>8.75</v>
      </c>
      <c r="L717" s="159">
        <f t="shared" si="59"/>
        <v>0.2754170601196097</v>
      </c>
      <c r="M717" s="159">
        <f t="shared" si="59"/>
        <v>0.2754170601196097</v>
      </c>
    </row>
    <row r="718" spans="2:13">
      <c r="B718" t="s">
        <v>165</v>
      </c>
      <c r="C718">
        <f t="shared" si="60"/>
        <v>101</v>
      </c>
      <c r="D718" t="str">
        <f t="shared" si="57"/>
        <v>NANTES101</v>
      </c>
      <c r="E718" t="s">
        <v>166</v>
      </c>
      <c r="F718" t="str">
        <f t="shared" si="58"/>
        <v>NANTES101</v>
      </c>
      <c r="G718" t="s">
        <v>357</v>
      </c>
      <c r="I718" s="16">
        <v>31.68</v>
      </c>
      <c r="J718" s="16">
        <v>16.670000000000002</v>
      </c>
      <c r="K718" s="16">
        <v>0</v>
      </c>
      <c r="L718" s="159">
        <f t="shared" si="59"/>
        <v>0.52619949494949503</v>
      </c>
      <c r="M718" s="159">
        <f t="shared" si="59"/>
        <v>0</v>
      </c>
    </row>
    <row r="719" spans="2:13">
      <c r="B719" t="s">
        <v>165</v>
      </c>
      <c r="C719">
        <f t="shared" si="60"/>
        <v>102</v>
      </c>
      <c r="D719" t="str">
        <f t="shared" si="57"/>
        <v>NANTES102</v>
      </c>
      <c r="E719" t="s">
        <v>166</v>
      </c>
      <c r="F719" t="str">
        <f t="shared" si="58"/>
        <v>NANTES102</v>
      </c>
      <c r="G719" t="s">
        <v>365</v>
      </c>
      <c r="I719" s="16">
        <v>31.25</v>
      </c>
      <c r="J719" s="16">
        <v>10.41</v>
      </c>
      <c r="K719" s="16">
        <v>0</v>
      </c>
      <c r="L719" s="159">
        <f t="shared" si="59"/>
        <v>0.33312000000000003</v>
      </c>
      <c r="M719" s="159">
        <f t="shared" si="59"/>
        <v>0</v>
      </c>
    </row>
    <row r="720" spans="2:13">
      <c r="B720" t="s">
        <v>165</v>
      </c>
      <c r="C720">
        <f t="shared" si="60"/>
        <v>103</v>
      </c>
      <c r="D720" t="str">
        <f t="shared" si="57"/>
        <v>NANTES103</v>
      </c>
      <c r="E720" t="s">
        <v>166</v>
      </c>
      <c r="F720" t="str">
        <f t="shared" si="58"/>
        <v>NANTES103</v>
      </c>
      <c r="G720" t="s">
        <v>318</v>
      </c>
      <c r="I720" s="16">
        <v>30.64</v>
      </c>
      <c r="J720" s="16">
        <v>6.26</v>
      </c>
      <c r="K720" s="16">
        <v>0</v>
      </c>
      <c r="L720" s="159">
        <f t="shared" si="59"/>
        <v>0.20430809399477806</v>
      </c>
      <c r="M720" s="159">
        <f t="shared" si="59"/>
        <v>0</v>
      </c>
    </row>
    <row r="721" spans="2:13">
      <c r="B721" t="s">
        <v>165</v>
      </c>
      <c r="C721">
        <f t="shared" si="60"/>
        <v>104</v>
      </c>
      <c r="D721" t="str">
        <f t="shared" si="57"/>
        <v>NANTES104</v>
      </c>
      <c r="E721" t="s">
        <v>166</v>
      </c>
      <c r="F721" t="str">
        <f t="shared" si="58"/>
        <v>NANTES104</v>
      </c>
      <c r="G721" t="s">
        <v>253</v>
      </c>
      <c r="I721" s="16">
        <v>30.13</v>
      </c>
      <c r="J721" s="16">
        <v>8.36</v>
      </c>
      <c r="K721" s="16">
        <v>0</v>
      </c>
      <c r="L721" s="159">
        <f t="shared" si="59"/>
        <v>0.27746432127447723</v>
      </c>
      <c r="M721" s="159">
        <f t="shared" si="59"/>
        <v>0</v>
      </c>
    </row>
    <row r="722" spans="2:13">
      <c r="B722" t="s">
        <v>165</v>
      </c>
      <c r="C722">
        <f t="shared" si="60"/>
        <v>105</v>
      </c>
      <c r="D722" t="str">
        <f t="shared" si="57"/>
        <v>NANTES105</v>
      </c>
      <c r="E722" t="s">
        <v>166</v>
      </c>
      <c r="F722" t="str">
        <f t="shared" si="58"/>
        <v>NANTES105</v>
      </c>
      <c r="G722" t="s">
        <v>233</v>
      </c>
      <c r="I722" s="16">
        <v>30.08</v>
      </c>
      <c r="J722" s="16">
        <v>21.45</v>
      </c>
      <c r="K722" s="16">
        <v>11.69</v>
      </c>
      <c r="L722" s="159">
        <f t="shared" si="59"/>
        <v>0.71309840425531912</v>
      </c>
      <c r="M722" s="159">
        <f t="shared" si="59"/>
        <v>0.3886303191489362</v>
      </c>
    </row>
    <row r="723" spans="2:13">
      <c r="B723" t="s">
        <v>165</v>
      </c>
      <c r="C723">
        <f t="shared" si="60"/>
        <v>106</v>
      </c>
      <c r="D723" t="str">
        <f t="shared" si="57"/>
        <v>NANTES106</v>
      </c>
      <c r="E723" t="s">
        <v>166</v>
      </c>
      <c r="F723" t="str">
        <f t="shared" si="58"/>
        <v>NANTES106</v>
      </c>
      <c r="G723" t="s">
        <v>439</v>
      </c>
      <c r="H723" t="s">
        <v>440</v>
      </c>
      <c r="I723" s="16">
        <v>29.85</v>
      </c>
      <c r="J723" s="16">
        <v>0</v>
      </c>
      <c r="K723" s="16">
        <v>29.85</v>
      </c>
      <c r="L723" s="159">
        <f t="shared" si="59"/>
        <v>0</v>
      </c>
      <c r="M723" s="159">
        <f t="shared" si="59"/>
        <v>1</v>
      </c>
    </row>
    <row r="724" spans="2:13">
      <c r="B724" t="s">
        <v>165</v>
      </c>
      <c r="C724">
        <f t="shared" si="60"/>
        <v>107</v>
      </c>
      <c r="D724" t="str">
        <f t="shared" si="57"/>
        <v>NANTES107</v>
      </c>
      <c r="E724" t="s">
        <v>166</v>
      </c>
      <c r="F724" t="str">
        <f t="shared" si="58"/>
        <v>NANTES107</v>
      </c>
      <c r="G724" t="s">
        <v>397</v>
      </c>
      <c r="I724" s="16">
        <v>29.59</v>
      </c>
      <c r="J724" s="16">
        <v>26.71</v>
      </c>
      <c r="K724" s="16">
        <v>0</v>
      </c>
      <c r="L724" s="159">
        <f t="shared" si="59"/>
        <v>0.90266982088543435</v>
      </c>
      <c r="M724" s="159">
        <f t="shared" si="59"/>
        <v>0</v>
      </c>
    </row>
    <row r="725" spans="2:13">
      <c r="B725" t="s">
        <v>165</v>
      </c>
      <c r="C725">
        <f t="shared" si="60"/>
        <v>108</v>
      </c>
      <c r="D725" t="str">
        <f t="shared" si="57"/>
        <v>NANTES108</v>
      </c>
      <c r="E725" t="s">
        <v>166</v>
      </c>
      <c r="F725" t="str">
        <f t="shared" si="58"/>
        <v>NANTES108</v>
      </c>
      <c r="G725" t="s">
        <v>352</v>
      </c>
      <c r="I725" s="16">
        <v>29.04</v>
      </c>
      <c r="J725" s="16">
        <v>0</v>
      </c>
      <c r="K725" s="16">
        <v>0</v>
      </c>
      <c r="L725" s="159">
        <f t="shared" si="59"/>
        <v>0</v>
      </c>
      <c r="M725" s="159">
        <f t="shared" si="59"/>
        <v>0</v>
      </c>
    </row>
    <row r="726" spans="2:13">
      <c r="B726" t="s">
        <v>165</v>
      </c>
      <c r="C726">
        <f t="shared" si="60"/>
        <v>109</v>
      </c>
      <c r="D726" t="str">
        <f t="shared" si="57"/>
        <v>NANTES109</v>
      </c>
      <c r="E726" t="s">
        <v>166</v>
      </c>
      <c r="F726" t="str">
        <f t="shared" si="58"/>
        <v>NANTES109</v>
      </c>
      <c r="G726" t="s">
        <v>419</v>
      </c>
      <c r="I726" s="16">
        <v>28.79</v>
      </c>
      <c r="J726" s="16">
        <v>0</v>
      </c>
      <c r="K726" s="16">
        <v>0</v>
      </c>
      <c r="L726" s="159">
        <f t="shared" si="59"/>
        <v>0</v>
      </c>
      <c r="M726" s="159">
        <f t="shared" si="59"/>
        <v>0</v>
      </c>
    </row>
    <row r="727" spans="2:13">
      <c r="B727" t="s">
        <v>165</v>
      </c>
      <c r="C727">
        <f t="shared" si="60"/>
        <v>110</v>
      </c>
      <c r="D727" t="str">
        <f t="shared" si="57"/>
        <v>NANTES110</v>
      </c>
      <c r="E727" t="s">
        <v>166</v>
      </c>
      <c r="F727" t="str">
        <f t="shared" si="58"/>
        <v>NANTES110</v>
      </c>
      <c r="G727" t="s">
        <v>436</v>
      </c>
      <c r="I727" s="16">
        <v>27.2</v>
      </c>
      <c r="J727" s="16">
        <v>10.32</v>
      </c>
      <c r="K727" s="16">
        <v>0</v>
      </c>
      <c r="L727" s="159">
        <f t="shared" si="59"/>
        <v>0.37941176470588239</v>
      </c>
      <c r="M727" s="159">
        <f t="shared" si="59"/>
        <v>0</v>
      </c>
    </row>
    <row r="728" spans="2:13">
      <c r="B728" t="s">
        <v>165</v>
      </c>
      <c r="C728">
        <f t="shared" si="60"/>
        <v>111</v>
      </c>
      <c r="D728" t="str">
        <f t="shared" si="57"/>
        <v>NANTES111</v>
      </c>
      <c r="E728" t="s">
        <v>166</v>
      </c>
      <c r="F728" t="str">
        <f t="shared" si="58"/>
        <v>NANTES111</v>
      </c>
      <c r="G728" t="s">
        <v>313</v>
      </c>
      <c r="I728" s="16">
        <v>24.38</v>
      </c>
      <c r="J728" s="16">
        <v>5.39</v>
      </c>
      <c r="K728" s="16">
        <v>5.39</v>
      </c>
      <c r="L728" s="159">
        <f t="shared" si="59"/>
        <v>0.22108285479901557</v>
      </c>
      <c r="M728" s="159">
        <f t="shared" si="59"/>
        <v>0.22108285479901557</v>
      </c>
    </row>
    <row r="729" spans="2:13">
      <c r="B729" t="s">
        <v>165</v>
      </c>
      <c r="C729">
        <f t="shared" si="60"/>
        <v>112</v>
      </c>
      <c r="D729" t="str">
        <f t="shared" si="57"/>
        <v>NANTES112</v>
      </c>
      <c r="E729" t="s">
        <v>166</v>
      </c>
      <c r="F729" t="str">
        <f t="shared" si="58"/>
        <v>NANTES112</v>
      </c>
      <c r="G729" t="s">
        <v>237</v>
      </c>
      <c r="I729" s="16">
        <v>23.19</v>
      </c>
      <c r="J729" s="16">
        <v>18.21</v>
      </c>
      <c r="K729" s="16">
        <v>0</v>
      </c>
      <c r="L729" s="159">
        <f t="shared" si="59"/>
        <v>0.78525226390685643</v>
      </c>
      <c r="M729" s="159">
        <f t="shared" si="59"/>
        <v>0</v>
      </c>
    </row>
    <row r="730" spans="2:13">
      <c r="B730" t="s">
        <v>165</v>
      </c>
      <c r="C730">
        <f t="shared" si="60"/>
        <v>113</v>
      </c>
      <c r="D730" t="str">
        <f t="shared" si="57"/>
        <v>NANTES113</v>
      </c>
      <c r="E730" t="s">
        <v>166</v>
      </c>
      <c r="F730" t="str">
        <f t="shared" si="58"/>
        <v>NANTES113</v>
      </c>
      <c r="G730" t="s">
        <v>263</v>
      </c>
      <c r="I730" s="16">
        <v>22.67</v>
      </c>
      <c r="J730" s="16">
        <v>13.95</v>
      </c>
      <c r="K730" s="16">
        <v>1.76</v>
      </c>
      <c r="L730" s="159">
        <f t="shared" si="59"/>
        <v>0.61535068372298185</v>
      </c>
      <c r="M730" s="159">
        <f t="shared" si="59"/>
        <v>7.7635641817379794E-2</v>
      </c>
    </row>
    <row r="731" spans="2:13">
      <c r="B731" t="s">
        <v>165</v>
      </c>
      <c r="C731">
        <f t="shared" si="60"/>
        <v>114</v>
      </c>
      <c r="D731" t="str">
        <f t="shared" si="57"/>
        <v>NANTES114</v>
      </c>
      <c r="E731" t="s">
        <v>166</v>
      </c>
      <c r="F731" t="str">
        <f t="shared" si="58"/>
        <v>NANTES114</v>
      </c>
      <c r="G731" t="s">
        <v>332</v>
      </c>
      <c r="H731" t="s">
        <v>940</v>
      </c>
      <c r="I731" s="16">
        <v>21.45</v>
      </c>
      <c r="J731" s="16">
        <v>13.11</v>
      </c>
      <c r="K731" s="16">
        <v>5.4</v>
      </c>
      <c r="L731" s="159">
        <f t="shared" si="59"/>
        <v>0.61118881118881119</v>
      </c>
      <c r="M731" s="159">
        <f t="shared" si="59"/>
        <v>0.25174825174825177</v>
      </c>
    </row>
    <row r="732" spans="2:13">
      <c r="B732" t="s">
        <v>165</v>
      </c>
      <c r="C732">
        <f t="shared" si="60"/>
        <v>115</v>
      </c>
      <c r="D732" t="str">
        <f t="shared" si="57"/>
        <v>NANTES115</v>
      </c>
      <c r="E732" t="s">
        <v>166</v>
      </c>
      <c r="F732" t="str">
        <f t="shared" si="58"/>
        <v>NANTES115</v>
      </c>
      <c r="G732" t="s">
        <v>245</v>
      </c>
      <c r="I732" s="16">
        <v>20.8</v>
      </c>
      <c r="J732" s="16">
        <v>17.850000000000001</v>
      </c>
      <c r="K732" s="16">
        <v>2.94</v>
      </c>
      <c r="L732" s="159">
        <f t="shared" si="59"/>
        <v>0.85817307692307698</v>
      </c>
      <c r="M732" s="159">
        <f t="shared" si="59"/>
        <v>0.14134615384615384</v>
      </c>
    </row>
    <row r="733" spans="2:13">
      <c r="B733" t="s">
        <v>165</v>
      </c>
      <c r="C733">
        <f t="shared" si="60"/>
        <v>116</v>
      </c>
      <c r="D733" t="str">
        <f t="shared" si="57"/>
        <v>NANTES116</v>
      </c>
      <c r="E733" t="s">
        <v>166</v>
      </c>
      <c r="F733" t="str">
        <f t="shared" si="58"/>
        <v>NANTES116</v>
      </c>
      <c r="G733" t="s">
        <v>323</v>
      </c>
      <c r="I733" s="16">
        <v>20.62</v>
      </c>
      <c r="J733" s="16">
        <v>0</v>
      </c>
      <c r="K733" s="16">
        <v>9.9499999999999993</v>
      </c>
      <c r="L733" s="159">
        <f t="shared" si="59"/>
        <v>0</v>
      </c>
      <c r="M733" s="159">
        <f t="shared" si="59"/>
        <v>0.48254122211445194</v>
      </c>
    </row>
    <row r="734" spans="2:13">
      <c r="B734" t="s">
        <v>165</v>
      </c>
      <c r="C734">
        <f t="shared" si="60"/>
        <v>117</v>
      </c>
      <c r="D734" t="str">
        <f t="shared" si="57"/>
        <v>NANTES117</v>
      </c>
      <c r="E734" t="s">
        <v>166</v>
      </c>
      <c r="F734" t="str">
        <f t="shared" si="58"/>
        <v>NANTES117</v>
      </c>
      <c r="G734" t="s">
        <v>326</v>
      </c>
      <c r="I734" s="16">
        <v>20.52</v>
      </c>
      <c r="J734" s="16">
        <v>2.2000000000000002</v>
      </c>
      <c r="K734" s="16">
        <v>0</v>
      </c>
      <c r="L734" s="159">
        <f t="shared" si="59"/>
        <v>0.10721247563352827</v>
      </c>
      <c r="M734" s="159">
        <f t="shared" si="59"/>
        <v>0</v>
      </c>
    </row>
    <row r="735" spans="2:13">
      <c r="B735" t="s">
        <v>165</v>
      </c>
      <c r="C735">
        <f t="shared" si="60"/>
        <v>118</v>
      </c>
      <c r="D735" t="str">
        <f t="shared" si="57"/>
        <v>NANTES118</v>
      </c>
      <c r="E735" t="s">
        <v>166</v>
      </c>
      <c r="F735" t="str">
        <f t="shared" si="58"/>
        <v>NANTES118</v>
      </c>
      <c r="G735" t="s">
        <v>368</v>
      </c>
      <c r="I735" s="16">
        <v>18</v>
      </c>
      <c r="J735" s="16">
        <v>3.72</v>
      </c>
      <c r="K735" s="16">
        <v>3.72</v>
      </c>
      <c r="L735" s="159">
        <f t="shared" si="59"/>
        <v>0.20666666666666667</v>
      </c>
      <c r="M735" s="159">
        <f t="shared" si="59"/>
        <v>0.20666666666666667</v>
      </c>
    </row>
    <row r="736" spans="2:13">
      <c r="B736" t="s">
        <v>165</v>
      </c>
      <c r="C736">
        <f t="shared" si="60"/>
        <v>119</v>
      </c>
      <c r="D736" t="str">
        <f t="shared" si="57"/>
        <v>NANTES119</v>
      </c>
      <c r="E736" t="s">
        <v>166</v>
      </c>
      <c r="F736" t="str">
        <f t="shared" si="58"/>
        <v>NANTES119</v>
      </c>
      <c r="G736" t="s">
        <v>411</v>
      </c>
      <c r="I736" s="16">
        <v>17.55</v>
      </c>
      <c r="J736" s="16">
        <v>0</v>
      </c>
      <c r="K736" s="16">
        <v>0</v>
      </c>
      <c r="L736" s="159">
        <f t="shared" si="59"/>
        <v>0</v>
      </c>
      <c r="M736" s="159">
        <f t="shared" si="59"/>
        <v>0</v>
      </c>
    </row>
    <row r="737" spans="2:13">
      <c r="B737" t="s">
        <v>165</v>
      </c>
      <c r="C737">
        <f t="shared" si="60"/>
        <v>120</v>
      </c>
      <c r="D737" t="str">
        <f t="shared" si="57"/>
        <v>NANTES120</v>
      </c>
      <c r="E737" t="s">
        <v>166</v>
      </c>
      <c r="F737" t="str">
        <f t="shared" si="58"/>
        <v>NANTES120</v>
      </c>
      <c r="G737" t="s">
        <v>383</v>
      </c>
      <c r="I737" s="16">
        <v>17.350000000000001</v>
      </c>
      <c r="J737" s="16">
        <v>9.61</v>
      </c>
      <c r="K737" s="16">
        <v>0</v>
      </c>
      <c r="L737" s="159">
        <f t="shared" si="59"/>
        <v>0.55389048991354461</v>
      </c>
      <c r="M737" s="159">
        <f t="shared" si="59"/>
        <v>0</v>
      </c>
    </row>
    <row r="738" spans="2:13">
      <c r="B738" t="s">
        <v>165</v>
      </c>
      <c r="C738">
        <f t="shared" si="60"/>
        <v>121</v>
      </c>
      <c r="D738" t="str">
        <f t="shared" si="57"/>
        <v>NANTES121</v>
      </c>
      <c r="E738" t="s">
        <v>166</v>
      </c>
      <c r="F738" t="str">
        <f t="shared" si="58"/>
        <v>NANTES121</v>
      </c>
      <c r="G738" t="s">
        <v>306</v>
      </c>
      <c r="H738" t="s">
        <v>307</v>
      </c>
      <c r="I738" s="16">
        <v>17.21</v>
      </c>
      <c r="J738" s="16">
        <v>9.49</v>
      </c>
      <c r="K738" s="16">
        <v>0</v>
      </c>
      <c r="L738" s="159">
        <f t="shared" si="59"/>
        <v>0.55142359093550264</v>
      </c>
      <c r="M738" s="159">
        <f t="shared" si="59"/>
        <v>0</v>
      </c>
    </row>
    <row r="739" spans="2:13">
      <c r="B739" t="s">
        <v>165</v>
      </c>
      <c r="C739">
        <f t="shared" si="60"/>
        <v>122</v>
      </c>
      <c r="D739" t="str">
        <f t="shared" si="57"/>
        <v>NANTES122</v>
      </c>
      <c r="E739" t="s">
        <v>166</v>
      </c>
      <c r="F739" t="str">
        <f t="shared" si="58"/>
        <v>NANTES122</v>
      </c>
      <c r="G739" t="s">
        <v>262</v>
      </c>
      <c r="I739" s="16">
        <v>16.399999999999999</v>
      </c>
      <c r="J739" s="16">
        <v>6.51</v>
      </c>
      <c r="K739" s="16">
        <v>2.94</v>
      </c>
      <c r="L739" s="159">
        <f t="shared" si="59"/>
        <v>0.39695121951219514</v>
      </c>
      <c r="M739" s="159">
        <f t="shared" si="59"/>
        <v>0.17926829268292685</v>
      </c>
    </row>
    <row r="740" spans="2:13">
      <c r="B740" t="s">
        <v>165</v>
      </c>
      <c r="C740">
        <f t="shared" si="60"/>
        <v>123</v>
      </c>
      <c r="D740" t="str">
        <f t="shared" si="57"/>
        <v>NANTES123</v>
      </c>
      <c r="E740" t="s">
        <v>166</v>
      </c>
      <c r="F740" t="str">
        <f t="shared" si="58"/>
        <v>NANTES123</v>
      </c>
      <c r="G740" t="s">
        <v>366</v>
      </c>
      <c r="I740" s="16">
        <v>16.12</v>
      </c>
      <c r="J740" s="16">
        <v>0</v>
      </c>
      <c r="K740" s="16">
        <v>0</v>
      </c>
      <c r="L740" s="159">
        <f t="shared" si="59"/>
        <v>0</v>
      </c>
      <c r="M740" s="159">
        <f t="shared" si="59"/>
        <v>0</v>
      </c>
    </row>
    <row r="741" spans="2:13">
      <c r="B741" t="s">
        <v>165</v>
      </c>
      <c r="C741">
        <f t="shared" si="60"/>
        <v>124</v>
      </c>
      <c r="D741" t="str">
        <f t="shared" si="57"/>
        <v>NANTES124</v>
      </c>
      <c r="E741" t="s">
        <v>166</v>
      </c>
      <c r="F741" t="str">
        <f t="shared" si="58"/>
        <v>NANTES124</v>
      </c>
      <c r="G741" t="s">
        <v>384</v>
      </c>
      <c r="I741" s="16">
        <v>15.76</v>
      </c>
      <c r="J741" s="16">
        <v>12.83</v>
      </c>
      <c r="K741" s="16">
        <v>0</v>
      </c>
      <c r="L741" s="159">
        <f t="shared" si="59"/>
        <v>0.81408629441624369</v>
      </c>
      <c r="M741" s="159">
        <f t="shared" si="59"/>
        <v>0</v>
      </c>
    </row>
    <row r="742" spans="2:13">
      <c r="B742" t="s">
        <v>165</v>
      </c>
      <c r="C742">
        <f t="shared" si="60"/>
        <v>125</v>
      </c>
      <c r="D742" t="str">
        <f t="shared" si="57"/>
        <v>NANTES125</v>
      </c>
      <c r="E742" t="s">
        <v>166</v>
      </c>
      <c r="F742" t="str">
        <f t="shared" si="58"/>
        <v>NANTES125</v>
      </c>
      <c r="G742" t="s">
        <v>321</v>
      </c>
      <c r="I742" s="16">
        <v>15.1</v>
      </c>
      <c r="J742" s="16">
        <v>7.63</v>
      </c>
      <c r="K742" s="16">
        <v>0</v>
      </c>
      <c r="L742" s="159">
        <f t="shared" si="59"/>
        <v>0.5052980132450331</v>
      </c>
      <c r="M742" s="159">
        <f t="shared" si="59"/>
        <v>0</v>
      </c>
    </row>
    <row r="743" spans="2:13">
      <c r="B743" t="s">
        <v>165</v>
      </c>
      <c r="C743">
        <f t="shared" si="60"/>
        <v>126</v>
      </c>
      <c r="D743" t="str">
        <f t="shared" si="57"/>
        <v>NANTES126</v>
      </c>
      <c r="E743" t="s">
        <v>166</v>
      </c>
      <c r="F743" t="str">
        <f t="shared" si="58"/>
        <v>NANTES126</v>
      </c>
      <c r="G743" t="s">
        <v>285</v>
      </c>
      <c r="H743" t="s">
        <v>286</v>
      </c>
      <c r="I743" s="16">
        <v>14.81</v>
      </c>
      <c r="J743" s="16">
        <v>11.78</v>
      </c>
      <c r="K743" s="16">
        <v>3.03</v>
      </c>
      <c r="L743" s="159">
        <f t="shared" si="59"/>
        <v>0.79540850776502359</v>
      </c>
      <c r="M743" s="159">
        <f t="shared" si="59"/>
        <v>0.20459149223497636</v>
      </c>
    </row>
    <row r="744" spans="2:13">
      <c r="B744" t="s">
        <v>165</v>
      </c>
      <c r="C744">
        <f t="shared" si="60"/>
        <v>127</v>
      </c>
      <c r="D744" t="str">
        <f t="shared" si="57"/>
        <v>NANTES127</v>
      </c>
      <c r="E744" t="s">
        <v>166</v>
      </c>
      <c r="F744" t="str">
        <f t="shared" si="58"/>
        <v>NANTES127</v>
      </c>
      <c r="G744" t="s">
        <v>451</v>
      </c>
      <c r="I744" s="16">
        <v>14.8</v>
      </c>
      <c r="J744" s="16">
        <v>4.8499999999999996</v>
      </c>
      <c r="K744" s="16">
        <v>14.8</v>
      </c>
      <c r="L744" s="159">
        <f t="shared" si="59"/>
        <v>0.32770270270270269</v>
      </c>
      <c r="M744" s="159">
        <f t="shared" si="59"/>
        <v>1</v>
      </c>
    </row>
    <row r="745" spans="2:13">
      <c r="B745" t="s">
        <v>165</v>
      </c>
      <c r="C745">
        <f t="shared" si="60"/>
        <v>128</v>
      </c>
      <c r="D745" t="str">
        <f t="shared" si="57"/>
        <v>NANTES128</v>
      </c>
      <c r="E745" t="s">
        <v>166</v>
      </c>
      <c r="F745" t="str">
        <f t="shared" si="58"/>
        <v>NANTES128</v>
      </c>
      <c r="G745" t="s">
        <v>428</v>
      </c>
      <c r="I745" s="16">
        <v>14.57</v>
      </c>
      <c r="J745" s="16">
        <v>14.57</v>
      </c>
      <c r="K745" s="16">
        <v>0</v>
      </c>
      <c r="L745" s="159">
        <f t="shared" si="59"/>
        <v>1</v>
      </c>
      <c r="M745" s="159">
        <f t="shared" si="59"/>
        <v>0</v>
      </c>
    </row>
    <row r="746" spans="2:13">
      <c r="B746" t="s">
        <v>165</v>
      </c>
      <c r="C746">
        <f t="shared" ref="C746:C777" si="61">RANK(I746,$I$617:$I$795,0)</f>
        <v>129</v>
      </c>
      <c r="D746" t="str">
        <f t="shared" si="57"/>
        <v>NANTES129</v>
      </c>
      <c r="E746" t="s">
        <v>166</v>
      </c>
      <c r="F746" t="str">
        <f t="shared" si="58"/>
        <v>NANTES129</v>
      </c>
      <c r="G746" t="s">
        <v>442</v>
      </c>
      <c r="I746" s="16">
        <v>14.21</v>
      </c>
      <c r="J746" s="16">
        <v>14.21</v>
      </c>
      <c r="K746" s="16">
        <v>0</v>
      </c>
      <c r="L746" s="159">
        <f t="shared" si="59"/>
        <v>1</v>
      </c>
      <c r="M746" s="159">
        <f t="shared" si="59"/>
        <v>0</v>
      </c>
    </row>
    <row r="747" spans="2:13">
      <c r="B747" t="s">
        <v>165</v>
      </c>
      <c r="C747">
        <f t="shared" si="61"/>
        <v>130</v>
      </c>
      <c r="D747" t="str">
        <f t="shared" si="57"/>
        <v>NANTES130</v>
      </c>
      <c r="E747" t="s">
        <v>166</v>
      </c>
      <c r="F747" t="str">
        <f t="shared" si="58"/>
        <v>NANTES130</v>
      </c>
      <c r="G747" t="s">
        <v>375</v>
      </c>
      <c r="I747" s="16">
        <v>13.86</v>
      </c>
      <c r="J747" s="16">
        <v>5.92</v>
      </c>
      <c r="K747" s="16">
        <v>0</v>
      </c>
      <c r="L747" s="159">
        <f t="shared" si="59"/>
        <v>0.42712842712842713</v>
      </c>
      <c r="M747" s="159">
        <f t="shared" si="59"/>
        <v>0</v>
      </c>
    </row>
    <row r="748" spans="2:13">
      <c r="B748" t="s">
        <v>165</v>
      </c>
      <c r="C748">
        <f t="shared" si="61"/>
        <v>131</v>
      </c>
      <c r="D748" t="str">
        <f t="shared" si="57"/>
        <v>NANTES131</v>
      </c>
      <c r="E748" t="s">
        <v>166</v>
      </c>
      <c r="F748" t="str">
        <f t="shared" si="58"/>
        <v>NANTES131</v>
      </c>
      <c r="G748" t="s">
        <v>435</v>
      </c>
      <c r="I748" s="16">
        <v>13.68</v>
      </c>
      <c r="J748" s="16">
        <v>5.82</v>
      </c>
      <c r="K748" s="16">
        <v>0</v>
      </c>
      <c r="L748" s="159">
        <f t="shared" si="59"/>
        <v>0.42543859649122812</v>
      </c>
      <c r="M748" s="159">
        <f t="shared" si="59"/>
        <v>0</v>
      </c>
    </row>
    <row r="749" spans="2:13">
      <c r="B749" t="s">
        <v>165</v>
      </c>
      <c r="C749">
        <f t="shared" si="61"/>
        <v>132</v>
      </c>
      <c r="D749" t="str">
        <f t="shared" si="57"/>
        <v>NANTES132</v>
      </c>
      <c r="E749" t="s">
        <v>166</v>
      </c>
      <c r="F749" t="str">
        <f t="shared" si="58"/>
        <v>NANTES132</v>
      </c>
      <c r="G749" t="s">
        <v>301</v>
      </c>
      <c r="H749" t="s">
        <v>918</v>
      </c>
      <c r="I749" s="16">
        <v>13.46</v>
      </c>
      <c r="J749" s="16">
        <v>8.6300000000000008</v>
      </c>
      <c r="K749" s="16">
        <v>0</v>
      </c>
      <c r="L749" s="159">
        <f t="shared" si="59"/>
        <v>0.64115898959881135</v>
      </c>
      <c r="M749" s="159">
        <f t="shared" si="59"/>
        <v>0</v>
      </c>
    </row>
    <row r="750" spans="2:13">
      <c r="B750" t="s">
        <v>165</v>
      </c>
      <c r="C750">
        <f t="shared" si="61"/>
        <v>133</v>
      </c>
      <c r="D750" t="str">
        <f t="shared" si="57"/>
        <v>NANTES133</v>
      </c>
      <c r="E750" t="s">
        <v>166</v>
      </c>
      <c r="F750" t="str">
        <f t="shared" si="58"/>
        <v>NANTES133</v>
      </c>
      <c r="G750" t="s">
        <v>314</v>
      </c>
      <c r="I750" s="16">
        <v>13.42</v>
      </c>
      <c r="J750" s="16">
        <v>0</v>
      </c>
      <c r="K750" s="16">
        <v>0</v>
      </c>
      <c r="L750" s="159">
        <f t="shared" si="59"/>
        <v>0</v>
      </c>
      <c r="M750" s="159">
        <f t="shared" si="59"/>
        <v>0</v>
      </c>
    </row>
    <row r="751" spans="2:13">
      <c r="B751" t="s">
        <v>165</v>
      </c>
      <c r="C751">
        <f t="shared" si="61"/>
        <v>134</v>
      </c>
      <c r="D751" t="str">
        <f t="shared" si="57"/>
        <v>NANTES134</v>
      </c>
      <c r="E751" t="s">
        <v>166</v>
      </c>
      <c r="F751" t="str">
        <f t="shared" si="58"/>
        <v>NANTES134</v>
      </c>
      <c r="G751" t="s">
        <v>393</v>
      </c>
      <c r="I751" s="16">
        <v>13.1</v>
      </c>
      <c r="J751" s="16">
        <v>0</v>
      </c>
      <c r="K751" s="16">
        <v>0</v>
      </c>
      <c r="L751" s="159">
        <f t="shared" si="59"/>
        <v>0</v>
      </c>
      <c r="M751" s="159">
        <f t="shared" si="59"/>
        <v>0</v>
      </c>
    </row>
    <row r="752" spans="2:13">
      <c r="B752" t="s">
        <v>165</v>
      </c>
      <c r="C752">
        <f t="shared" si="61"/>
        <v>135</v>
      </c>
      <c r="D752" t="str">
        <f t="shared" si="57"/>
        <v>NANTES135</v>
      </c>
      <c r="E752" t="s">
        <v>166</v>
      </c>
      <c r="F752" t="str">
        <f t="shared" si="58"/>
        <v>NANTES135</v>
      </c>
      <c r="G752" t="s">
        <v>405</v>
      </c>
      <c r="I752" s="16">
        <v>12.75</v>
      </c>
      <c r="J752" s="16">
        <v>0</v>
      </c>
      <c r="K752" s="16">
        <v>11.3</v>
      </c>
      <c r="L752" s="159">
        <f t="shared" si="59"/>
        <v>0</v>
      </c>
      <c r="M752" s="159">
        <f t="shared" si="59"/>
        <v>0.88627450980392164</v>
      </c>
    </row>
    <row r="753" spans="2:13">
      <c r="B753" t="s">
        <v>165</v>
      </c>
      <c r="C753">
        <f t="shared" si="61"/>
        <v>136</v>
      </c>
      <c r="D753" t="str">
        <f t="shared" si="57"/>
        <v>NANTES136</v>
      </c>
      <c r="E753" t="s">
        <v>166</v>
      </c>
      <c r="F753" t="str">
        <f t="shared" si="58"/>
        <v>NANTES136</v>
      </c>
      <c r="G753" t="s">
        <v>407</v>
      </c>
      <c r="I753" s="16">
        <v>12.68</v>
      </c>
      <c r="J753" s="16">
        <v>11.47</v>
      </c>
      <c r="K753" s="16">
        <v>0</v>
      </c>
      <c r="L753" s="159">
        <f t="shared" si="59"/>
        <v>0.9045741324921136</v>
      </c>
      <c r="M753" s="159">
        <f t="shared" si="59"/>
        <v>0</v>
      </c>
    </row>
    <row r="754" spans="2:13">
      <c r="B754" t="s">
        <v>165</v>
      </c>
      <c r="C754">
        <f t="shared" si="61"/>
        <v>137</v>
      </c>
      <c r="D754" t="str">
        <f t="shared" si="57"/>
        <v>NANTES137</v>
      </c>
      <c r="E754" t="s">
        <v>166</v>
      </c>
      <c r="F754" t="str">
        <f t="shared" si="58"/>
        <v>NANTES137</v>
      </c>
      <c r="G754" t="s">
        <v>297</v>
      </c>
      <c r="I754" s="16">
        <v>12.61</v>
      </c>
      <c r="J754" s="16">
        <v>6.61</v>
      </c>
      <c r="K754" s="16">
        <v>5.99</v>
      </c>
      <c r="L754" s="159">
        <f t="shared" si="59"/>
        <v>0.52418715305313246</v>
      </c>
      <c r="M754" s="159">
        <f t="shared" si="59"/>
        <v>0.47501982553528949</v>
      </c>
    </row>
    <row r="755" spans="2:13">
      <c r="B755" t="s">
        <v>165</v>
      </c>
      <c r="C755">
        <f t="shared" si="61"/>
        <v>138</v>
      </c>
      <c r="D755" t="str">
        <f t="shared" si="57"/>
        <v>NANTES138</v>
      </c>
      <c r="E755" t="s">
        <v>166</v>
      </c>
      <c r="F755" t="str">
        <f t="shared" si="58"/>
        <v>NANTES138</v>
      </c>
      <c r="G755" t="s">
        <v>385</v>
      </c>
      <c r="I755" s="16">
        <v>12.59</v>
      </c>
      <c r="J755" s="16">
        <v>0</v>
      </c>
      <c r="K755" s="16">
        <v>7.85</v>
      </c>
      <c r="L755" s="159">
        <f t="shared" si="59"/>
        <v>0</v>
      </c>
      <c r="M755" s="159">
        <f t="shared" si="59"/>
        <v>0.62351072279586972</v>
      </c>
    </row>
    <row r="756" spans="2:13">
      <c r="B756" t="s">
        <v>165</v>
      </c>
      <c r="C756">
        <f t="shared" si="61"/>
        <v>139</v>
      </c>
      <c r="D756" t="str">
        <f t="shared" si="57"/>
        <v>NANTES139</v>
      </c>
      <c r="E756" t="s">
        <v>166</v>
      </c>
      <c r="F756" t="str">
        <f t="shared" si="58"/>
        <v>NANTES139</v>
      </c>
      <c r="G756" t="s">
        <v>292</v>
      </c>
      <c r="I756" s="16">
        <v>12.55</v>
      </c>
      <c r="J756" s="16">
        <v>0</v>
      </c>
      <c r="K756" s="16">
        <v>0</v>
      </c>
      <c r="L756" s="159">
        <f t="shared" si="59"/>
        <v>0</v>
      </c>
      <c r="M756" s="159">
        <f t="shared" si="59"/>
        <v>0</v>
      </c>
    </row>
    <row r="757" spans="2:13">
      <c r="B757" t="s">
        <v>165</v>
      </c>
      <c r="C757">
        <f t="shared" si="61"/>
        <v>140</v>
      </c>
      <c r="D757" t="str">
        <f t="shared" si="57"/>
        <v>NANTES140</v>
      </c>
      <c r="E757" t="s">
        <v>166</v>
      </c>
      <c r="F757" t="str">
        <f t="shared" si="58"/>
        <v>NANTES140</v>
      </c>
      <c r="G757" t="s">
        <v>359</v>
      </c>
      <c r="I757" s="16">
        <v>12.32</v>
      </c>
      <c r="J757" s="16">
        <v>0</v>
      </c>
      <c r="K757" s="16">
        <v>4.71</v>
      </c>
      <c r="L757" s="159">
        <f t="shared" si="59"/>
        <v>0</v>
      </c>
      <c r="M757" s="159">
        <f t="shared" si="59"/>
        <v>0.38230519480519481</v>
      </c>
    </row>
    <row r="758" spans="2:13">
      <c r="B758" t="s">
        <v>165</v>
      </c>
      <c r="C758">
        <f t="shared" si="61"/>
        <v>141</v>
      </c>
      <c r="D758" t="str">
        <f t="shared" si="57"/>
        <v>NANTES141</v>
      </c>
      <c r="E758" t="s">
        <v>166</v>
      </c>
      <c r="F758" t="str">
        <f t="shared" si="58"/>
        <v>NANTES141</v>
      </c>
      <c r="G758" t="s">
        <v>447</v>
      </c>
      <c r="I758" s="16">
        <v>11.94</v>
      </c>
      <c r="J758" s="16">
        <v>5.4</v>
      </c>
      <c r="K758" s="16">
        <v>5.4</v>
      </c>
      <c r="L758" s="159">
        <f t="shared" si="59"/>
        <v>0.45226130653266339</v>
      </c>
      <c r="M758" s="159">
        <f t="shared" si="59"/>
        <v>0.45226130653266339</v>
      </c>
    </row>
    <row r="759" spans="2:13">
      <c r="B759" t="s">
        <v>165</v>
      </c>
      <c r="C759">
        <f t="shared" si="61"/>
        <v>142</v>
      </c>
      <c r="D759" t="str">
        <f t="shared" si="57"/>
        <v>NANTES142</v>
      </c>
      <c r="E759" t="s">
        <v>166</v>
      </c>
      <c r="F759" t="str">
        <f t="shared" si="58"/>
        <v>NANTES142</v>
      </c>
      <c r="G759" t="s">
        <v>423</v>
      </c>
      <c r="I759" s="16">
        <v>11.53</v>
      </c>
      <c r="J759" s="16">
        <v>0</v>
      </c>
      <c r="K759" s="16">
        <v>0</v>
      </c>
      <c r="L759" s="159">
        <f t="shared" si="59"/>
        <v>0</v>
      </c>
      <c r="M759" s="159">
        <f t="shared" si="59"/>
        <v>0</v>
      </c>
    </row>
    <row r="760" spans="2:13">
      <c r="B760" t="s">
        <v>165</v>
      </c>
      <c r="C760">
        <f t="shared" si="61"/>
        <v>143</v>
      </c>
      <c r="D760" t="str">
        <f t="shared" si="57"/>
        <v>NANTES143</v>
      </c>
      <c r="E760" t="s">
        <v>166</v>
      </c>
      <c r="F760" t="str">
        <f t="shared" si="58"/>
        <v>NANTES143</v>
      </c>
      <c r="G760" t="s">
        <v>389</v>
      </c>
      <c r="I760" s="16">
        <v>11.42</v>
      </c>
      <c r="J760" s="16">
        <v>3.42</v>
      </c>
      <c r="K760" s="16">
        <v>0</v>
      </c>
      <c r="L760" s="159">
        <f t="shared" si="59"/>
        <v>0.29947460595446584</v>
      </c>
      <c r="M760" s="159">
        <f t="shared" si="59"/>
        <v>0</v>
      </c>
    </row>
    <row r="761" spans="2:13">
      <c r="B761" t="s">
        <v>165</v>
      </c>
      <c r="C761">
        <f t="shared" si="61"/>
        <v>144</v>
      </c>
      <c r="D761" t="str">
        <f t="shared" si="57"/>
        <v>NANTES144</v>
      </c>
      <c r="E761" t="s">
        <v>166</v>
      </c>
      <c r="F761" t="str">
        <f t="shared" si="58"/>
        <v>NANTES144</v>
      </c>
      <c r="G761" t="s">
        <v>346</v>
      </c>
      <c r="I761" s="16">
        <v>11.32</v>
      </c>
      <c r="J761" s="16">
        <v>11.32</v>
      </c>
      <c r="K761" s="16">
        <v>0</v>
      </c>
      <c r="L761" s="159">
        <f t="shared" si="59"/>
        <v>1</v>
      </c>
      <c r="M761" s="159">
        <f t="shared" si="59"/>
        <v>0</v>
      </c>
    </row>
    <row r="762" spans="2:13">
      <c r="B762" t="s">
        <v>165</v>
      </c>
      <c r="C762">
        <f t="shared" si="61"/>
        <v>145</v>
      </c>
      <c r="D762" t="str">
        <f t="shared" si="57"/>
        <v>NANTES145</v>
      </c>
      <c r="E762" t="s">
        <v>166</v>
      </c>
      <c r="F762" t="str">
        <f t="shared" si="58"/>
        <v>NANTES145</v>
      </c>
      <c r="G762" t="s">
        <v>418</v>
      </c>
      <c r="I762" s="16">
        <v>11.15</v>
      </c>
      <c r="J762" s="16">
        <v>0</v>
      </c>
      <c r="K762" s="16">
        <v>0</v>
      </c>
      <c r="L762" s="159">
        <f t="shared" si="59"/>
        <v>0</v>
      </c>
      <c r="M762" s="159">
        <f t="shared" si="59"/>
        <v>0</v>
      </c>
    </row>
    <row r="763" spans="2:13">
      <c r="B763" t="s">
        <v>165</v>
      </c>
      <c r="C763">
        <f t="shared" si="61"/>
        <v>146</v>
      </c>
      <c r="D763" t="str">
        <f t="shared" si="57"/>
        <v>NANTES146</v>
      </c>
      <c r="E763" t="s">
        <v>166</v>
      </c>
      <c r="F763" t="str">
        <f t="shared" si="58"/>
        <v>NANTES146</v>
      </c>
      <c r="G763" t="s">
        <v>295</v>
      </c>
      <c r="I763" s="16">
        <v>10.88</v>
      </c>
      <c r="J763" s="16">
        <v>10.88</v>
      </c>
      <c r="K763" s="16">
        <v>6</v>
      </c>
      <c r="L763" s="159">
        <f t="shared" si="59"/>
        <v>1</v>
      </c>
      <c r="M763" s="159">
        <f t="shared" si="59"/>
        <v>0.55147058823529405</v>
      </c>
    </row>
    <row r="764" spans="2:13">
      <c r="B764" t="s">
        <v>165</v>
      </c>
      <c r="C764">
        <f t="shared" si="61"/>
        <v>146</v>
      </c>
      <c r="D764" t="str">
        <f t="shared" si="57"/>
        <v>NANTES146</v>
      </c>
      <c r="E764" t="s">
        <v>166</v>
      </c>
      <c r="F764" t="str">
        <f t="shared" si="58"/>
        <v>NANTES146</v>
      </c>
      <c r="G764" t="s">
        <v>351</v>
      </c>
      <c r="I764" s="16">
        <v>10.88</v>
      </c>
      <c r="J764" s="16">
        <v>10.88</v>
      </c>
      <c r="K764" s="16">
        <v>0</v>
      </c>
      <c r="L764" s="159">
        <f t="shared" si="59"/>
        <v>1</v>
      </c>
      <c r="M764" s="159">
        <f t="shared" si="59"/>
        <v>0</v>
      </c>
    </row>
    <row r="765" spans="2:13">
      <c r="B765" t="s">
        <v>165</v>
      </c>
      <c r="C765">
        <f t="shared" si="61"/>
        <v>148</v>
      </c>
      <c r="D765" t="str">
        <f t="shared" si="57"/>
        <v>NANTES148</v>
      </c>
      <c r="E765" t="s">
        <v>166</v>
      </c>
      <c r="F765" t="str">
        <f t="shared" si="58"/>
        <v>NANTES148</v>
      </c>
      <c r="G765" t="s">
        <v>299</v>
      </c>
      <c r="H765" t="s">
        <v>1800</v>
      </c>
      <c r="I765" s="16">
        <v>10.84</v>
      </c>
      <c r="J765" s="16">
        <v>10.84</v>
      </c>
      <c r="K765" s="16">
        <v>0</v>
      </c>
      <c r="L765" s="159">
        <f t="shared" si="59"/>
        <v>1</v>
      </c>
      <c r="M765" s="159">
        <f t="shared" si="59"/>
        <v>0</v>
      </c>
    </row>
    <row r="766" spans="2:13">
      <c r="B766" t="s">
        <v>165</v>
      </c>
      <c r="C766">
        <f t="shared" si="61"/>
        <v>149</v>
      </c>
      <c r="D766" t="str">
        <f t="shared" si="57"/>
        <v>NANTES149</v>
      </c>
      <c r="E766" t="s">
        <v>166</v>
      </c>
      <c r="F766" t="str">
        <f t="shared" si="58"/>
        <v>NANTES149</v>
      </c>
      <c r="G766" t="s">
        <v>455</v>
      </c>
      <c r="I766" s="16">
        <v>9.1</v>
      </c>
      <c r="J766" s="16">
        <v>0</v>
      </c>
      <c r="K766" s="16">
        <v>0</v>
      </c>
      <c r="L766" s="159">
        <f t="shared" si="59"/>
        <v>0</v>
      </c>
      <c r="M766" s="159">
        <f t="shared" si="59"/>
        <v>0</v>
      </c>
    </row>
    <row r="767" spans="2:13">
      <c r="B767" t="s">
        <v>165</v>
      </c>
      <c r="C767">
        <f t="shared" si="61"/>
        <v>150</v>
      </c>
      <c r="D767" t="str">
        <f t="shared" si="57"/>
        <v>NANTES150</v>
      </c>
      <c r="E767" t="s">
        <v>166</v>
      </c>
      <c r="F767" t="str">
        <f t="shared" si="58"/>
        <v>NANTES150</v>
      </c>
      <c r="G767" t="s">
        <v>441</v>
      </c>
      <c r="I767" s="16">
        <v>8.8800000000000008</v>
      </c>
      <c r="J767" s="16">
        <v>5.14</v>
      </c>
      <c r="K767" s="16">
        <v>0</v>
      </c>
      <c r="L767" s="159">
        <f t="shared" si="59"/>
        <v>0.57882882882882869</v>
      </c>
      <c r="M767" s="159">
        <f t="shared" si="59"/>
        <v>0</v>
      </c>
    </row>
    <row r="768" spans="2:13">
      <c r="B768" t="s">
        <v>165</v>
      </c>
      <c r="C768">
        <f t="shared" si="61"/>
        <v>151</v>
      </c>
      <c r="D768" t="str">
        <f t="shared" si="57"/>
        <v>NANTES151</v>
      </c>
      <c r="E768" t="s">
        <v>166</v>
      </c>
      <c r="F768" t="str">
        <f t="shared" si="58"/>
        <v>NANTES151</v>
      </c>
      <c r="G768" t="s">
        <v>415</v>
      </c>
      <c r="I768" s="16">
        <v>8.32</v>
      </c>
      <c r="J768" s="16">
        <v>0</v>
      </c>
      <c r="K768" s="16">
        <v>0</v>
      </c>
      <c r="L768" s="159">
        <f t="shared" si="59"/>
        <v>0</v>
      </c>
      <c r="M768" s="159">
        <f t="shared" si="59"/>
        <v>0</v>
      </c>
    </row>
    <row r="769" spans="2:13">
      <c r="B769" t="s">
        <v>165</v>
      </c>
      <c r="C769">
        <f t="shared" si="61"/>
        <v>152</v>
      </c>
      <c r="D769" t="str">
        <f t="shared" si="57"/>
        <v>NANTES152</v>
      </c>
      <c r="E769" t="s">
        <v>166</v>
      </c>
      <c r="F769" t="str">
        <f t="shared" si="58"/>
        <v>NANTES152</v>
      </c>
      <c r="G769" t="s">
        <v>378</v>
      </c>
      <c r="I769" s="16">
        <v>8.14</v>
      </c>
      <c r="J769" s="16">
        <v>0</v>
      </c>
      <c r="K769" s="16">
        <v>0</v>
      </c>
      <c r="L769" s="159">
        <f t="shared" si="59"/>
        <v>0</v>
      </c>
      <c r="M769" s="159">
        <f t="shared" si="59"/>
        <v>0</v>
      </c>
    </row>
    <row r="770" spans="2:13">
      <c r="B770" t="s">
        <v>165</v>
      </c>
      <c r="C770">
        <f t="shared" si="61"/>
        <v>153</v>
      </c>
      <c r="D770" t="str">
        <f t="shared" ref="D770:D833" si="62">CONCATENATE(E770,C770)</f>
        <v>NANTES153</v>
      </c>
      <c r="E770" t="s">
        <v>166</v>
      </c>
      <c r="F770" t="str">
        <f t="shared" si="58"/>
        <v>NANTES153</v>
      </c>
      <c r="G770" t="s">
        <v>452</v>
      </c>
      <c r="H770" t="s">
        <v>453</v>
      </c>
      <c r="I770" s="16">
        <v>7.98</v>
      </c>
      <c r="J770" s="16">
        <v>0</v>
      </c>
      <c r="K770" s="16">
        <v>0</v>
      </c>
      <c r="L770" s="159">
        <f t="shared" si="59"/>
        <v>0</v>
      </c>
      <c r="M770" s="159">
        <f t="shared" si="59"/>
        <v>0</v>
      </c>
    </row>
    <row r="771" spans="2:13">
      <c r="B771" t="s">
        <v>165</v>
      </c>
      <c r="C771">
        <f t="shared" si="61"/>
        <v>154</v>
      </c>
      <c r="D771" t="str">
        <f t="shared" si="62"/>
        <v>NANTES154</v>
      </c>
      <c r="E771" t="s">
        <v>166</v>
      </c>
      <c r="F771" t="str">
        <f t="shared" ref="F771:F834" si="63">D771</f>
        <v>NANTES154</v>
      </c>
      <c r="G771" t="s">
        <v>388</v>
      </c>
      <c r="I771" s="16">
        <v>7.96</v>
      </c>
      <c r="J771" s="16">
        <v>0</v>
      </c>
      <c r="K771" s="16">
        <v>0</v>
      </c>
      <c r="L771" s="159">
        <f t="shared" ref="L771:M834" si="64">J771/$I771</f>
        <v>0</v>
      </c>
      <c r="M771" s="159">
        <f t="shared" si="64"/>
        <v>0</v>
      </c>
    </row>
    <row r="772" spans="2:13">
      <c r="B772" t="s">
        <v>165</v>
      </c>
      <c r="C772">
        <f t="shared" si="61"/>
        <v>155</v>
      </c>
      <c r="D772" t="str">
        <f t="shared" si="62"/>
        <v>NANTES155</v>
      </c>
      <c r="E772" t="s">
        <v>166</v>
      </c>
      <c r="F772" t="str">
        <f t="shared" si="63"/>
        <v>NANTES155</v>
      </c>
      <c r="G772" t="s">
        <v>344</v>
      </c>
      <c r="I772" s="16">
        <v>7.2</v>
      </c>
      <c r="J772" s="16">
        <v>3.46</v>
      </c>
      <c r="K772" s="16">
        <v>0</v>
      </c>
      <c r="L772" s="159">
        <f t="shared" si="64"/>
        <v>0.48055555555555551</v>
      </c>
      <c r="M772" s="159">
        <f t="shared" si="64"/>
        <v>0</v>
      </c>
    </row>
    <row r="773" spans="2:13">
      <c r="B773" t="s">
        <v>165</v>
      </c>
      <c r="C773">
        <f t="shared" si="61"/>
        <v>156</v>
      </c>
      <c r="D773" t="str">
        <f t="shared" si="62"/>
        <v>NANTES156</v>
      </c>
      <c r="E773" t="s">
        <v>166</v>
      </c>
      <c r="F773" t="str">
        <f t="shared" si="63"/>
        <v>NANTES156</v>
      </c>
      <c r="G773" t="s">
        <v>424</v>
      </c>
      <c r="I773" s="16">
        <v>6.94</v>
      </c>
      <c r="J773" s="16">
        <v>0</v>
      </c>
      <c r="K773" s="16">
        <v>3.2</v>
      </c>
      <c r="L773" s="159">
        <f t="shared" si="64"/>
        <v>0</v>
      </c>
      <c r="M773" s="159">
        <f t="shared" si="64"/>
        <v>0.4610951008645533</v>
      </c>
    </row>
    <row r="774" spans="2:13">
      <c r="B774" t="s">
        <v>165</v>
      </c>
      <c r="C774">
        <f t="shared" si="61"/>
        <v>157</v>
      </c>
      <c r="D774" t="str">
        <f t="shared" si="62"/>
        <v>NANTES157</v>
      </c>
      <c r="E774" t="s">
        <v>166</v>
      </c>
      <c r="F774" t="str">
        <f t="shared" si="63"/>
        <v>NANTES157</v>
      </c>
      <c r="G774" t="s">
        <v>283</v>
      </c>
      <c r="I774" s="16">
        <v>6.74</v>
      </c>
      <c r="J774" s="16">
        <v>0</v>
      </c>
      <c r="K774" s="16">
        <v>0</v>
      </c>
      <c r="L774" s="159">
        <f t="shared" si="64"/>
        <v>0</v>
      </c>
      <c r="M774" s="159">
        <f t="shared" si="64"/>
        <v>0</v>
      </c>
    </row>
    <row r="775" spans="2:13">
      <c r="B775" t="s">
        <v>165</v>
      </c>
      <c r="C775">
        <f t="shared" si="61"/>
        <v>158</v>
      </c>
      <c r="D775" t="str">
        <f t="shared" si="62"/>
        <v>NANTES158</v>
      </c>
      <c r="E775" t="s">
        <v>166</v>
      </c>
      <c r="F775" t="str">
        <f t="shared" si="63"/>
        <v>NANTES158</v>
      </c>
      <c r="G775" t="s">
        <v>409</v>
      </c>
      <c r="I775" s="16">
        <v>5.65</v>
      </c>
      <c r="J775" s="16">
        <v>0</v>
      </c>
      <c r="K775" s="16">
        <v>0</v>
      </c>
      <c r="L775" s="159">
        <f t="shared" si="64"/>
        <v>0</v>
      </c>
      <c r="M775" s="159">
        <f t="shared" si="64"/>
        <v>0</v>
      </c>
    </row>
    <row r="776" spans="2:13">
      <c r="B776" t="s">
        <v>165</v>
      </c>
      <c r="C776">
        <f t="shared" si="61"/>
        <v>159</v>
      </c>
      <c r="D776" t="str">
        <f t="shared" si="62"/>
        <v>NANTES159</v>
      </c>
      <c r="E776" t="s">
        <v>166</v>
      </c>
      <c r="F776" t="str">
        <f t="shared" si="63"/>
        <v>NANTES159</v>
      </c>
      <c r="G776" t="s">
        <v>454</v>
      </c>
      <c r="I776" s="16">
        <v>5.55</v>
      </c>
      <c r="J776" s="16">
        <v>0</v>
      </c>
      <c r="K776" s="16">
        <v>0</v>
      </c>
      <c r="L776" s="159">
        <f t="shared" si="64"/>
        <v>0</v>
      </c>
      <c r="M776" s="159">
        <f t="shared" si="64"/>
        <v>0</v>
      </c>
    </row>
    <row r="777" spans="2:13">
      <c r="B777" t="s">
        <v>165</v>
      </c>
      <c r="C777">
        <f t="shared" si="61"/>
        <v>160</v>
      </c>
      <c r="D777" t="str">
        <f t="shared" si="62"/>
        <v>NANTES160</v>
      </c>
      <c r="E777" t="s">
        <v>166</v>
      </c>
      <c r="F777" t="str">
        <f t="shared" si="63"/>
        <v>NANTES160</v>
      </c>
      <c r="G777" t="s">
        <v>437</v>
      </c>
      <c r="I777" s="16">
        <v>5.39</v>
      </c>
      <c r="J777" s="16">
        <v>0</v>
      </c>
      <c r="K777" s="16">
        <v>5.39</v>
      </c>
      <c r="L777" s="159">
        <f t="shared" si="64"/>
        <v>0</v>
      </c>
      <c r="M777" s="159">
        <f t="shared" si="64"/>
        <v>1</v>
      </c>
    </row>
    <row r="778" spans="2:13">
      <c r="B778" t="s">
        <v>165</v>
      </c>
      <c r="C778">
        <f t="shared" ref="C778:C795" si="65">RANK(I778,$I$617:$I$795,0)</f>
        <v>161</v>
      </c>
      <c r="D778" t="str">
        <f t="shared" si="62"/>
        <v>NANTES161</v>
      </c>
      <c r="E778" t="s">
        <v>166</v>
      </c>
      <c r="F778" t="str">
        <f t="shared" si="63"/>
        <v>NANTES161</v>
      </c>
      <c r="G778" t="s">
        <v>367</v>
      </c>
      <c r="I778" s="16">
        <v>5.35</v>
      </c>
      <c r="J778" s="16">
        <v>5.35</v>
      </c>
      <c r="K778" s="16">
        <v>0</v>
      </c>
      <c r="L778" s="159">
        <f t="shared" si="64"/>
        <v>1</v>
      </c>
      <c r="M778" s="159">
        <f t="shared" si="64"/>
        <v>0</v>
      </c>
    </row>
    <row r="779" spans="2:13">
      <c r="B779" t="s">
        <v>165</v>
      </c>
      <c r="C779">
        <f t="shared" si="65"/>
        <v>162</v>
      </c>
      <c r="D779" t="str">
        <f t="shared" si="62"/>
        <v>NANTES162</v>
      </c>
      <c r="E779" t="s">
        <v>166</v>
      </c>
      <c r="F779" t="str">
        <f t="shared" si="63"/>
        <v>NANTES162</v>
      </c>
      <c r="G779" t="s">
        <v>403</v>
      </c>
      <c r="I779" s="16">
        <v>5.24</v>
      </c>
      <c r="J779" s="16">
        <v>0</v>
      </c>
      <c r="K779" s="16">
        <v>0</v>
      </c>
      <c r="L779" s="159">
        <f t="shared" si="64"/>
        <v>0</v>
      </c>
      <c r="M779" s="159">
        <f t="shared" si="64"/>
        <v>0</v>
      </c>
    </row>
    <row r="780" spans="2:13">
      <c r="B780" t="s">
        <v>165</v>
      </c>
      <c r="C780">
        <f t="shared" si="65"/>
        <v>163</v>
      </c>
      <c r="D780" t="str">
        <f t="shared" si="62"/>
        <v>NANTES163</v>
      </c>
      <c r="E780" t="s">
        <v>166</v>
      </c>
      <c r="F780" t="str">
        <f t="shared" si="63"/>
        <v>NANTES163</v>
      </c>
      <c r="G780" t="s">
        <v>315</v>
      </c>
      <c r="I780" s="16">
        <v>5.19</v>
      </c>
      <c r="J780" s="16">
        <v>1.82</v>
      </c>
      <c r="K780" s="16">
        <v>0</v>
      </c>
      <c r="L780" s="159">
        <f t="shared" si="64"/>
        <v>0.35067437379576105</v>
      </c>
      <c r="M780" s="159">
        <f t="shared" si="64"/>
        <v>0</v>
      </c>
    </row>
    <row r="781" spans="2:13">
      <c r="B781" t="s">
        <v>165</v>
      </c>
      <c r="C781">
        <f t="shared" si="65"/>
        <v>164</v>
      </c>
      <c r="D781" t="str">
        <f t="shared" si="62"/>
        <v>NANTES164</v>
      </c>
      <c r="E781" t="s">
        <v>166</v>
      </c>
      <c r="F781" t="str">
        <f t="shared" si="63"/>
        <v>NANTES164</v>
      </c>
      <c r="G781" t="s">
        <v>404</v>
      </c>
      <c r="I781" s="16">
        <v>4.97</v>
      </c>
      <c r="J781" s="16">
        <v>0</v>
      </c>
      <c r="K781" s="16">
        <v>0</v>
      </c>
      <c r="L781" s="159">
        <f t="shared" si="64"/>
        <v>0</v>
      </c>
      <c r="M781" s="159">
        <f t="shared" si="64"/>
        <v>0</v>
      </c>
    </row>
    <row r="782" spans="2:13">
      <c r="B782" t="s">
        <v>165</v>
      </c>
      <c r="C782">
        <f t="shared" si="65"/>
        <v>165</v>
      </c>
      <c r="D782" t="str">
        <f t="shared" si="62"/>
        <v>NANTES165</v>
      </c>
      <c r="E782" t="s">
        <v>166</v>
      </c>
      <c r="F782" t="str">
        <f t="shared" si="63"/>
        <v>NANTES165</v>
      </c>
      <c r="G782" t="s">
        <v>371</v>
      </c>
      <c r="I782" s="16">
        <v>4.32</v>
      </c>
      <c r="J782" s="16">
        <v>0</v>
      </c>
      <c r="K782" s="16">
        <v>0</v>
      </c>
      <c r="L782" s="159">
        <f t="shared" si="64"/>
        <v>0</v>
      </c>
      <c r="M782" s="159">
        <f t="shared" si="64"/>
        <v>0</v>
      </c>
    </row>
    <row r="783" spans="2:13">
      <c r="B783" t="s">
        <v>165</v>
      </c>
      <c r="C783">
        <f t="shared" si="65"/>
        <v>166</v>
      </c>
      <c r="D783" t="str">
        <f t="shared" si="62"/>
        <v>NANTES166</v>
      </c>
      <c r="E783" t="s">
        <v>166</v>
      </c>
      <c r="F783" t="str">
        <f t="shared" si="63"/>
        <v>NANTES166</v>
      </c>
      <c r="G783" t="s">
        <v>427</v>
      </c>
      <c r="H783" t="s">
        <v>1797</v>
      </c>
      <c r="I783" s="16">
        <v>4.2699999999999996</v>
      </c>
      <c r="J783" s="16">
        <v>4.2699999999999996</v>
      </c>
      <c r="K783" s="16">
        <v>0</v>
      </c>
      <c r="L783" s="159">
        <f t="shared" si="64"/>
        <v>1</v>
      </c>
      <c r="M783" s="159">
        <f t="shared" si="64"/>
        <v>0</v>
      </c>
    </row>
    <row r="784" spans="2:13">
      <c r="B784" t="s">
        <v>165</v>
      </c>
      <c r="C784">
        <f t="shared" si="65"/>
        <v>167</v>
      </c>
      <c r="D784" t="str">
        <f t="shared" si="62"/>
        <v>NANTES167</v>
      </c>
      <c r="E784" t="s">
        <v>166</v>
      </c>
      <c r="F784" t="str">
        <f t="shared" si="63"/>
        <v>NANTES167</v>
      </c>
      <c r="G784" t="s">
        <v>288</v>
      </c>
      <c r="I784" s="16">
        <v>4.05</v>
      </c>
      <c r="J784" s="16">
        <v>0</v>
      </c>
      <c r="K784" s="16">
        <v>0</v>
      </c>
      <c r="L784" s="159">
        <f t="shared" si="64"/>
        <v>0</v>
      </c>
      <c r="M784" s="159">
        <f t="shared" si="64"/>
        <v>0</v>
      </c>
    </row>
    <row r="785" spans="2:13">
      <c r="B785" t="s">
        <v>165</v>
      </c>
      <c r="C785">
        <f t="shared" si="65"/>
        <v>168</v>
      </c>
      <c r="D785" t="str">
        <f t="shared" si="62"/>
        <v>NANTES168</v>
      </c>
      <c r="E785" t="s">
        <v>166</v>
      </c>
      <c r="F785" t="str">
        <f t="shared" si="63"/>
        <v>NANTES168</v>
      </c>
      <c r="G785" t="s">
        <v>399</v>
      </c>
      <c r="I785" s="16">
        <v>4</v>
      </c>
      <c r="J785" s="16">
        <v>0</v>
      </c>
      <c r="K785" s="16">
        <v>3</v>
      </c>
      <c r="L785" s="159">
        <f t="shared" si="64"/>
        <v>0</v>
      </c>
      <c r="M785" s="159">
        <f t="shared" si="64"/>
        <v>0.75</v>
      </c>
    </row>
    <row r="786" spans="2:13">
      <c r="B786" t="s">
        <v>165</v>
      </c>
      <c r="C786">
        <f t="shared" si="65"/>
        <v>169</v>
      </c>
      <c r="D786" t="str">
        <f t="shared" si="62"/>
        <v>NANTES169</v>
      </c>
      <c r="E786" t="s">
        <v>166</v>
      </c>
      <c r="F786" t="str">
        <f t="shared" si="63"/>
        <v>NANTES169</v>
      </c>
      <c r="G786" t="s">
        <v>445</v>
      </c>
      <c r="I786" s="16">
        <v>3.74</v>
      </c>
      <c r="J786" s="16">
        <v>0</v>
      </c>
      <c r="K786" s="16">
        <v>0</v>
      </c>
      <c r="L786" s="159">
        <f t="shared" si="64"/>
        <v>0</v>
      </c>
      <c r="M786" s="159">
        <f t="shared" si="64"/>
        <v>0</v>
      </c>
    </row>
    <row r="787" spans="2:13">
      <c r="B787" t="s">
        <v>165</v>
      </c>
      <c r="C787">
        <f t="shared" si="65"/>
        <v>170</v>
      </c>
      <c r="D787" t="str">
        <f t="shared" si="62"/>
        <v>NANTES170</v>
      </c>
      <c r="E787" t="s">
        <v>166</v>
      </c>
      <c r="F787" t="str">
        <f t="shared" si="63"/>
        <v>NANTES170</v>
      </c>
      <c r="G787" t="s">
        <v>370</v>
      </c>
      <c r="I787" s="16">
        <v>3.72</v>
      </c>
      <c r="J787" s="16">
        <v>0</v>
      </c>
      <c r="K787" s="16">
        <v>0</v>
      </c>
      <c r="L787" s="159">
        <f t="shared" si="64"/>
        <v>0</v>
      </c>
      <c r="M787" s="159">
        <f t="shared" si="64"/>
        <v>0</v>
      </c>
    </row>
    <row r="788" spans="2:13">
      <c r="B788" t="s">
        <v>165</v>
      </c>
      <c r="C788">
        <f t="shared" si="65"/>
        <v>171</v>
      </c>
      <c r="D788" t="str">
        <f t="shared" si="62"/>
        <v>NANTES171</v>
      </c>
      <c r="E788" t="s">
        <v>166</v>
      </c>
      <c r="F788" t="str">
        <f t="shared" si="63"/>
        <v>NANTES171</v>
      </c>
      <c r="G788" t="s">
        <v>438</v>
      </c>
      <c r="I788" s="16">
        <v>3.64</v>
      </c>
      <c r="J788" s="16">
        <v>0</v>
      </c>
      <c r="K788" s="16">
        <v>0</v>
      </c>
      <c r="L788" s="159">
        <f t="shared" si="64"/>
        <v>0</v>
      </c>
      <c r="M788" s="159">
        <f t="shared" si="64"/>
        <v>0</v>
      </c>
    </row>
    <row r="789" spans="2:13">
      <c r="B789" t="s">
        <v>165</v>
      </c>
      <c r="C789">
        <f t="shared" si="65"/>
        <v>172</v>
      </c>
      <c r="D789" t="str">
        <f t="shared" si="62"/>
        <v>NANTES172</v>
      </c>
      <c r="E789" t="s">
        <v>166</v>
      </c>
      <c r="F789" t="str">
        <f t="shared" si="63"/>
        <v>NANTES172</v>
      </c>
      <c r="G789" t="s">
        <v>391</v>
      </c>
      <c r="I789" s="16">
        <v>3.63</v>
      </c>
      <c r="J789" s="16">
        <v>2.42</v>
      </c>
      <c r="K789" s="16">
        <v>0</v>
      </c>
      <c r="L789" s="159">
        <f t="shared" si="64"/>
        <v>0.66666666666666663</v>
      </c>
      <c r="M789" s="159">
        <f t="shared" si="64"/>
        <v>0</v>
      </c>
    </row>
    <row r="790" spans="2:13">
      <c r="B790" t="s">
        <v>165</v>
      </c>
      <c r="C790">
        <f t="shared" si="65"/>
        <v>173</v>
      </c>
      <c r="D790" t="str">
        <f t="shared" si="62"/>
        <v>NANTES173</v>
      </c>
      <c r="E790" t="s">
        <v>166</v>
      </c>
      <c r="F790" t="str">
        <f t="shared" si="63"/>
        <v>NANTES173</v>
      </c>
      <c r="G790" t="s">
        <v>414</v>
      </c>
      <c r="I790" s="16">
        <v>3.23</v>
      </c>
      <c r="J790" s="16">
        <v>0</v>
      </c>
      <c r="K790" s="16">
        <v>0</v>
      </c>
      <c r="L790" s="159">
        <f t="shared" si="64"/>
        <v>0</v>
      </c>
      <c r="M790" s="159">
        <f t="shared" si="64"/>
        <v>0</v>
      </c>
    </row>
    <row r="791" spans="2:13">
      <c r="B791" t="s">
        <v>165</v>
      </c>
      <c r="C791">
        <f t="shared" si="65"/>
        <v>174</v>
      </c>
      <c r="D791" t="str">
        <f t="shared" si="62"/>
        <v>NANTES174</v>
      </c>
      <c r="E791" t="s">
        <v>166</v>
      </c>
      <c r="F791" t="str">
        <f t="shared" si="63"/>
        <v>NANTES174</v>
      </c>
      <c r="G791" t="s">
        <v>372</v>
      </c>
      <c r="I791" s="16">
        <v>2.97</v>
      </c>
      <c r="J791" s="16">
        <v>2.97</v>
      </c>
      <c r="K791" s="16">
        <v>0</v>
      </c>
      <c r="L791" s="159">
        <f t="shared" si="64"/>
        <v>1</v>
      </c>
      <c r="M791" s="159">
        <f t="shared" si="64"/>
        <v>0</v>
      </c>
    </row>
    <row r="792" spans="2:13">
      <c r="B792" t="s">
        <v>165</v>
      </c>
      <c r="C792">
        <f t="shared" si="65"/>
        <v>175</v>
      </c>
      <c r="D792" t="str">
        <f t="shared" si="62"/>
        <v>NANTES175</v>
      </c>
      <c r="E792" t="s">
        <v>166</v>
      </c>
      <c r="F792" t="str">
        <f t="shared" si="63"/>
        <v>NANTES175</v>
      </c>
      <c r="G792" t="s">
        <v>373</v>
      </c>
      <c r="I792" s="16">
        <v>2.61</v>
      </c>
      <c r="J792" s="16">
        <v>0</v>
      </c>
      <c r="K792" s="16">
        <v>0</v>
      </c>
      <c r="L792" s="159">
        <f t="shared" si="64"/>
        <v>0</v>
      </c>
      <c r="M792" s="159">
        <f t="shared" si="64"/>
        <v>0</v>
      </c>
    </row>
    <row r="793" spans="2:13">
      <c r="B793" t="s">
        <v>165</v>
      </c>
      <c r="C793">
        <f t="shared" si="65"/>
        <v>176</v>
      </c>
      <c r="D793" t="str">
        <f t="shared" si="62"/>
        <v>NANTES176</v>
      </c>
      <c r="E793" t="s">
        <v>166</v>
      </c>
      <c r="F793" t="str">
        <f t="shared" si="63"/>
        <v>NANTES176</v>
      </c>
      <c r="G793" t="s">
        <v>401</v>
      </c>
      <c r="I793" s="16">
        <v>2.42</v>
      </c>
      <c r="J793" s="16">
        <v>0</v>
      </c>
      <c r="K793" s="16">
        <v>0</v>
      </c>
      <c r="L793" s="159">
        <f t="shared" si="64"/>
        <v>0</v>
      </c>
      <c r="M793" s="159">
        <f t="shared" si="64"/>
        <v>0</v>
      </c>
    </row>
    <row r="794" spans="2:13">
      <c r="B794" t="s">
        <v>165</v>
      </c>
      <c r="C794">
        <f t="shared" si="65"/>
        <v>177</v>
      </c>
      <c r="D794" t="str">
        <f t="shared" si="62"/>
        <v>NANTES177</v>
      </c>
      <c r="E794" t="s">
        <v>166</v>
      </c>
      <c r="F794" t="str">
        <f t="shared" si="63"/>
        <v>NANTES177</v>
      </c>
      <c r="G794" t="s">
        <v>444</v>
      </c>
      <c r="I794" s="16">
        <v>2.2400000000000002</v>
      </c>
      <c r="J794" s="16">
        <v>0</v>
      </c>
      <c r="K794" s="16">
        <v>0</v>
      </c>
      <c r="L794" s="159">
        <f t="shared" si="64"/>
        <v>0</v>
      </c>
      <c r="M794" s="159">
        <f t="shared" si="64"/>
        <v>0</v>
      </c>
    </row>
    <row r="795" spans="2:13">
      <c r="B795" t="s">
        <v>165</v>
      </c>
      <c r="C795">
        <f t="shared" si="65"/>
        <v>178</v>
      </c>
      <c r="D795" t="str">
        <f t="shared" si="62"/>
        <v>NANTES178</v>
      </c>
      <c r="E795" t="s">
        <v>166</v>
      </c>
      <c r="F795" t="str">
        <f t="shared" si="63"/>
        <v>NANTES178</v>
      </c>
      <c r="G795" t="s">
        <v>339</v>
      </c>
      <c r="I795" s="16">
        <v>2.1800000000000002</v>
      </c>
      <c r="J795" s="16">
        <v>2.1800000000000002</v>
      </c>
      <c r="K795" s="16">
        <v>0</v>
      </c>
      <c r="L795" s="159">
        <f t="shared" si="64"/>
        <v>1</v>
      </c>
      <c r="M795" s="159">
        <f t="shared" si="64"/>
        <v>0</v>
      </c>
    </row>
    <row r="796" spans="2:13">
      <c r="B796" t="s">
        <v>169</v>
      </c>
      <c r="C796">
        <f t="shared" ref="C796:C827" si="66">RANK(I796,$I$795:$I$956,0)</f>
        <v>1</v>
      </c>
      <c r="D796" t="str">
        <f t="shared" si="62"/>
        <v>RENNES1</v>
      </c>
      <c r="E796" t="s">
        <v>170</v>
      </c>
      <c r="F796" t="str">
        <f t="shared" si="63"/>
        <v>RENNES1</v>
      </c>
      <c r="G796" t="s">
        <v>225</v>
      </c>
      <c r="H796" t="s">
        <v>1779</v>
      </c>
      <c r="I796" s="16">
        <v>1747.89</v>
      </c>
      <c r="J796" s="16">
        <v>268.36</v>
      </c>
      <c r="K796" s="16">
        <v>631.14</v>
      </c>
      <c r="L796" s="159">
        <f t="shared" si="64"/>
        <v>0.15353368919096738</v>
      </c>
      <c r="M796" s="159">
        <f t="shared" si="64"/>
        <v>0.36108679607984484</v>
      </c>
    </row>
    <row r="797" spans="2:13">
      <c r="B797" t="s">
        <v>169</v>
      </c>
      <c r="C797">
        <f t="shared" si="66"/>
        <v>2</v>
      </c>
      <c r="D797" t="str">
        <f t="shared" si="62"/>
        <v>RENNES2</v>
      </c>
      <c r="E797" t="s">
        <v>170</v>
      </c>
      <c r="F797" t="str">
        <f t="shared" si="63"/>
        <v>RENNES2</v>
      </c>
      <c r="G797" t="s">
        <v>354</v>
      </c>
      <c r="H797" t="s">
        <v>942</v>
      </c>
      <c r="I797" s="16">
        <v>748.32</v>
      </c>
      <c r="J797" s="16">
        <v>532.09</v>
      </c>
      <c r="K797" s="16">
        <v>0</v>
      </c>
      <c r="L797" s="159">
        <f t="shared" si="64"/>
        <v>0.71104607654479368</v>
      </c>
      <c r="M797" s="159">
        <f t="shared" si="64"/>
        <v>0</v>
      </c>
    </row>
    <row r="798" spans="2:13">
      <c r="B798" t="s">
        <v>169</v>
      </c>
      <c r="C798">
        <f t="shared" si="66"/>
        <v>3</v>
      </c>
      <c r="D798" t="str">
        <f t="shared" si="62"/>
        <v>RENNES3</v>
      </c>
      <c r="E798" t="s">
        <v>170</v>
      </c>
      <c r="F798" t="str">
        <f t="shared" si="63"/>
        <v>RENNES3</v>
      </c>
      <c r="G798" t="s">
        <v>211</v>
      </c>
      <c r="H798" t="s">
        <v>908</v>
      </c>
      <c r="I798" s="16">
        <v>730.1</v>
      </c>
      <c r="J798" s="16">
        <v>170.95</v>
      </c>
      <c r="K798" s="16">
        <v>437.5</v>
      </c>
      <c r="L798" s="159">
        <f t="shared" si="64"/>
        <v>0.23414600739624708</v>
      </c>
      <c r="M798" s="159">
        <f t="shared" si="64"/>
        <v>0.5992329817833173</v>
      </c>
    </row>
    <row r="799" spans="2:13">
      <c r="B799" t="s">
        <v>169</v>
      </c>
      <c r="C799">
        <f t="shared" si="66"/>
        <v>4</v>
      </c>
      <c r="D799" t="str">
        <f t="shared" si="62"/>
        <v>RENNES4</v>
      </c>
      <c r="E799" t="s">
        <v>170</v>
      </c>
      <c r="F799" t="str">
        <f t="shared" si="63"/>
        <v>RENNES4</v>
      </c>
      <c r="G799" t="s">
        <v>224</v>
      </c>
      <c r="H799" t="s">
        <v>917</v>
      </c>
      <c r="I799" s="16">
        <v>601.08000000000004</v>
      </c>
      <c r="J799" s="16">
        <v>316.43</v>
      </c>
      <c r="K799" s="16">
        <v>159.15</v>
      </c>
      <c r="L799" s="159">
        <f t="shared" si="64"/>
        <v>0.52643574898515999</v>
      </c>
      <c r="M799" s="159">
        <f t="shared" si="64"/>
        <v>0.26477340786584147</v>
      </c>
    </row>
    <row r="800" spans="2:13">
      <c r="B800" t="s">
        <v>169</v>
      </c>
      <c r="C800">
        <f t="shared" si="66"/>
        <v>5</v>
      </c>
      <c r="D800" t="str">
        <f t="shared" si="62"/>
        <v>RENNES5</v>
      </c>
      <c r="E800" t="s">
        <v>170</v>
      </c>
      <c r="F800" t="str">
        <f t="shared" si="63"/>
        <v>RENNES5</v>
      </c>
      <c r="G800" t="s">
        <v>212</v>
      </c>
      <c r="H800" t="s">
        <v>909</v>
      </c>
      <c r="I800" s="16">
        <v>565.91</v>
      </c>
      <c r="J800" s="16">
        <v>0</v>
      </c>
      <c r="K800" s="16">
        <v>181.82</v>
      </c>
      <c r="L800" s="159">
        <f t="shared" si="64"/>
        <v>0</v>
      </c>
      <c r="M800" s="159">
        <f t="shared" si="64"/>
        <v>0.32128783728861482</v>
      </c>
    </row>
    <row r="801" spans="2:13">
      <c r="B801" t="s">
        <v>169</v>
      </c>
      <c r="C801">
        <f t="shared" si="66"/>
        <v>6</v>
      </c>
      <c r="D801" t="str">
        <f t="shared" si="62"/>
        <v>RENNES6</v>
      </c>
      <c r="E801" t="s">
        <v>170</v>
      </c>
      <c r="F801" t="str">
        <f t="shared" si="63"/>
        <v>RENNES6</v>
      </c>
      <c r="G801" t="s">
        <v>386</v>
      </c>
      <c r="H801" t="s">
        <v>387</v>
      </c>
      <c r="I801" s="16">
        <v>522.28</v>
      </c>
      <c r="J801" s="16">
        <v>252.98</v>
      </c>
      <c r="K801" s="16">
        <v>180.52</v>
      </c>
      <c r="L801" s="159">
        <f t="shared" si="64"/>
        <v>0.48437619667611242</v>
      </c>
      <c r="M801" s="159">
        <f t="shared" si="64"/>
        <v>0.34563835490541478</v>
      </c>
    </row>
    <row r="802" spans="2:13">
      <c r="B802" t="s">
        <v>169</v>
      </c>
      <c r="C802">
        <f t="shared" si="66"/>
        <v>7</v>
      </c>
      <c r="D802" t="str">
        <f t="shared" si="62"/>
        <v>RENNES7</v>
      </c>
      <c r="E802" t="s">
        <v>170</v>
      </c>
      <c r="F802" t="str">
        <f t="shared" si="63"/>
        <v>RENNES7</v>
      </c>
      <c r="G802" t="s">
        <v>223</v>
      </c>
      <c r="H802" t="s">
        <v>916</v>
      </c>
      <c r="I802" s="16">
        <v>512.20000000000005</v>
      </c>
      <c r="J802" s="16">
        <v>111.2</v>
      </c>
      <c r="K802" s="16">
        <v>325.86</v>
      </c>
      <c r="L802" s="159">
        <f t="shared" si="64"/>
        <v>0.21710269426005466</v>
      </c>
      <c r="M802" s="159">
        <f t="shared" si="64"/>
        <v>0.63619679812573215</v>
      </c>
    </row>
    <row r="803" spans="2:13">
      <c r="B803" t="s">
        <v>169</v>
      </c>
      <c r="C803">
        <f t="shared" si="66"/>
        <v>8</v>
      </c>
      <c r="D803" t="str">
        <f t="shared" si="62"/>
        <v>RENNES8</v>
      </c>
      <c r="E803" t="s">
        <v>170</v>
      </c>
      <c r="F803" t="str">
        <f t="shared" si="63"/>
        <v>RENNES8</v>
      </c>
      <c r="G803" t="s">
        <v>249</v>
      </c>
      <c r="H803" t="s">
        <v>250</v>
      </c>
      <c r="I803" s="16">
        <v>417.31</v>
      </c>
      <c r="J803" s="16">
        <v>65.849999999999994</v>
      </c>
      <c r="K803" s="16">
        <v>57.98</v>
      </c>
      <c r="L803" s="159">
        <f t="shared" si="64"/>
        <v>0.15779636241642903</v>
      </c>
      <c r="M803" s="159">
        <f t="shared" si="64"/>
        <v>0.13893748053006158</v>
      </c>
    </row>
    <row r="804" spans="2:13">
      <c r="B804" t="s">
        <v>169</v>
      </c>
      <c r="C804">
        <f t="shared" si="66"/>
        <v>9</v>
      </c>
      <c r="D804" t="str">
        <f t="shared" si="62"/>
        <v>RENNES9</v>
      </c>
      <c r="E804" t="s">
        <v>170</v>
      </c>
      <c r="F804" t="str">
        <f t="shared" si="63"/>
        <v>RENNES9</v>
      </c>
      <c r="G804" t="s">
        <v>238</v>
      </c>
      <c r="H804" t="s">
        <v>924</v>
      </c>
      <c r="I804" s="16">
        <v>402.72</v>
      </c>
      <c r="J804" s="16">
        <v>11.49</v>
      </c>
      <c r="K804" s="16">
        <v>61.18</v>
      </c>
      <c r="L804" s="159">
        <f t="shared" si="64"/>
        <v>2.853098927294398E-2</v>
      </c>
      <c r="M804" s="159">
        <f t="shared" si="64"/>
        <v>0.15191696464044496</v>
      </c>
    </row>
    <row r="805" spans="2:13">
      <c r="B805" t="s">
        <v>169</v>
      </c>
      <c r="C805">
        <f t="shared" si="66"/>
        <v>10</v>
      </c>
      <c r="D805" t="str">
        <f t="shared" si="62"/>
        <v>RENNES10</v>
      </c>
      <c r="E805" t="s">
        <v>170</v>
      </c>
      <c r="F805" t="str">
        <f t="shared" si="63"/>
        <v>RENNES10</v>
      </c>
      <c r="G805" t="s">
        <v>221</v>
      </c>
      <c r="H805" t="s">
        <v>914</v>
      </c>
      <c r="I805" s="16">
        <v>353.67</v>
      </c>
      <c r="J805" s="16">
        <v>25.11</v>
      </c>
      <c r="K805" s="16">
        <v>186.92</v>
      </c>
      <c r="L805" s="159">
        <f t="shared" si="64"/>
        <v>7.0998388328102457E-2</v>
      </c>
      <c r="M805" s="159">
        <f t="shared" si="64"/>
        <v>0.52851528260808089</v>
      </c>
    </row>
    <row r="806" spans="2:13">
      <c r="B806" t="s">
        <v>169</v>
      </c>
      <c r="C806">
        <f t="shared" si="66"/>
        <v>11</v>
      </c>
      <c r="D806" t="str">
        <f t="shared" si="62"/>
        <v>RENNES11</v>
      </c>
      <c r="E806" t="s">
        <v>170</v>
      </c>
      <c r="F806" t="str">
        <f t="shared" si="63"/>
        <v>RENNES11</v>
      </c>
      <c r="G806" t="s">
        <v>316</v>
      </c>
      <c r="H806" t="s">
        <v>317</v>
      </c>
      <c r="I806" s="16">
        <v>353.16</v>
      </c>
      <c r="J806" s="16">
        <v>203.37</v>
      </c>
      <c r="K806" s="16">
        <v>331.16</v>
      </c>
      <c r="L806" s="159">
        <f t="shared" si="64"/>
        <v>0.57585796805980294</v>
      </c>
      <c r="M806" s="159">
        <f t="shared" si="64"/>
        <v>0.93770528938724662</v>
      </c>
    </row>
    <row r="807" spans="2:13">
      <c r="B807" t="s">
        <v>169</v>
      </c>
      <c r="C807">
        <f t="shared" si="66"/>
        <v>12</v>
      </c>
      <c r="D807" t="str">
        <f t="shared" si="62"/>
        <v>RENNES12</v>
      </c>
      <c r="E807" t="s">
        <v>170</v>
      </c>
      <c r="F807" t="str">
        <f t="shared" si="63"/>
        <v>RENNES12</v>
      </c>
      <c r="G807" t="s">
        <v>216</v>
      </c>
      <c r="H807" t="s">
        <v>910</v>
      </c>
      <c r="I807" s="16">
        <v>349.15</v>
      </c>
      <c r="J807" s="16">
        <v>212.59</v>
      </c>
      <c r="K807" s="16">
        <v>69.5</v>
      </c>
      <c r="L807" s="159">
        <f t="shared" si="64"/>
        <v>0.6088787054274668</v>
      </c>
      <c r="M807" s="159">
        <f t="shared" si="64"/>
        <v>0.19905484748675356</v>
      </c>
    </row>
    <row r="808" spans="2:13">
      <c r="B808" t="s">
        <v>169</v>
      </c>
      <c r="C808">
        <f t="shared" si="66"/>
        <v>13</v>
      </c>
      <c r="D808" t="str">
        <f t="shared" si="62"/>
        <v>RENNES13</v>
      </c>
      <c r="E808" t="s">
        <v>170</v>
      </c>
      <c r="F808" t="str">
        <f t="shared" si="63"/>
        <v>RENNES13</v>
      </c>
      <c r="G808" t="s">
        <v>208</v>
      </c>
      <c r="H808" t="s">
        <v>907</v>
      </c>
      <c r="I808" s="16">
        <v>340</v>
      </c>
      <c r="J808" s="16">
        <v>97.27</v>
      </c>
      <c r="K808" s="16">
        <v>38.47</v>
      </c>
      <c r="L808" s="159">
        <f t="shared" si="64"/>
        <v>0.28608823529411764</v>
      </c>
      <c r="M808" s="159">
        <f t="shared" si="64"/>
        <v>0.11314705882352941</v>
      </c>
    </row>
    <row r="809" spans="2:13">
      <c r="B809" t="s">
        <v>169</v>
      </c>
      <c r="C809">
        <f t="shared" si="66"/>
        <v>14</v>
      </c>
      <c r="D809" t="str">
        <f t="shared" si="62"/>
        <v>RENNES14</v>
      </c>
      <c r="E809" t="s">
        <v>170</v>
      </c>
      <c r="F809" t="str">
        <f t="shared" si="63"/>
        <v>RENNES14</v>
      </c>
      <c r="G809" t="s">
        <v>241</v>
      </c>
      <c r="H809" t="s">
        <v>927</v>
      </c>
      <c r="I809" s="16">
        <v>324.42</v>
      </c>
      <c r="J809" s="16">
        <v>235.75</v>
      </c>
      <c r="K809" s="16">
        <v>235.3</v>
      </c>
      <c r="L809" s="159">
        <f t="shared" si="64"/>
        <v>0.72668146230195418</v>
      </c>
      <c r="M809" s="159">
        <f t="shared" si="64"/>
        <v>0.72529437149374265</v>
      </c>
    </row>
    <row r="810" spans="2:13">
      <c r="B810" t="s">
        <v>169</v>
      </c>
      <c r="C810">
        <f t="shared" si="66"/>
        <v>15</v>
      </c>
      <c r="D810" t="str">
        <f t="shared" si="62"/>
        <v>RENNES15</v>
      </c>
      <c r="E810" t="s">
        <v>170</v>
      </c>
      <c r="F810" t="str">
        <f t="shared" si="63"/>
        <v>RENNES15</v>
      </c>
      <c r="G810" t="s">
        <v>228</v>
      </c>
      <c r="I810" s="16">
        <v>322.11</v>
      </c>
      <c r="J810" s="16">
        <v>137.12</v>
      </c>
      <c r="K810" s="16">
        <v>3.04</v>
      </c>
      <c r="L810" s="159">
        <f t="shared" si="64"/>
        <v>0.42569308621278446</v>
      </c>
      <c r="M810" s="159">
        <f t="shared" si="64"/>
        <v>9.4377697060010549E-3</v>
      </c>
    </row>
    <row r="811" spans="2:13">
      <c r="B811" t="s">
        <v>169</v>
      </c>
      <c r="C811">
        <f t="shared" si="66"/>
        <v>16</v>
      </c>
      <c r="D811" t="str">
        <f t="shared" si="62"/>
        <v>RENNES16</v>
      </c>
      <c r="E811" t="s">
        <v>170</v>
      </c>
      <c r="F811" t="str">
        <f t="shared" si="63"/>
        <v>RENNES16</v>
      </c>
      <c r="G811" t="s">
        <v>232</v>
      </c>
      <c r="H811" t="s">
        <v>922</v>
      </c>
      <c r="I811" s="16">
        <v>319.97000000000003</v>
      </c>
      <c r="J811" s="16">
        <v>200.08</v>
      </c>
      <c r="K811" s="16">
        <v>10.45</v>
      </c>
      <c r="L811" s="159">
        <f t="shared" si="64"/>
        <v>0.6253086226833765</v>
      </c>
      <c r="M811" s="159">
        <f t="shared" si="64"/>
        <v>3.2659311810482226E-2</v>
      </c>
    </row>
    <row r="812" spans="2:13">
      <c r="B812" t="s">
        <v>169</v>
      </c>
      <c r="C812">
        <f t="shared" si="66"/>
        <v>17</v>
      </c>
      <c r="D812" t="str">
        <f t="shared" si="62"/>
        <v>RENNES17</v>
      </c>
      <c r="E812" t="s">
        <v>170</v>
      </c>
      <c r="F812" t="str">
        <f t="shared" si="63"/>
        <v>RENNES17</v>
      </c>
      <c r="G812" t="s">
        <v>230</v>
      </c>
      <c r="H812" t="s">
        <v>231</v>
      </c>
      <c r="I812" s="16">
        <v>318.57</v>
      </c>
      <c r="J812" s="16">
        <v>243</v>
      </c>
      <c r="K812" s="16">
        <v>72.72</v>
      </c>
      <c r="L812" s="159">
        <f t="shared" si="64"/>
        <v>0.76278368961295795</v>
      </c>
      <c r="M812" s="159">
        <f t="shared" si="64"/>
        <v>0.22827008192861853</v>
      </c>
    </row>
    <row r="813" spans="2:13">
      <c r="B813" t="s">
        <v>169</v>
      </c>
      <c r="C813">
        <f t="shared" si="66"/>
        <v>18</v>
      </c>
      <c r="D813" t="str">
        <f t="shared" si="62"/>
        <v>RENNES18</v>
      </c>
      <c r="E813" t="s">
        <v>170</v>
      </c>
      <c r="F813" t="str">
        <f t="shared" si="63"/>
        <v>RENNES18</v>
      </c>
      <c r="G813" t="s">
        <v>213</v>
      </c>
      <c r="H813" t="s">
        <v>919</v>
      </c>
      <c r="I813" s="16">
        <v>318.29000000000002</v>
      </c>
      <c r="J813" s="16">
        <v>21.59</v>
      </c>
      <c r="K813" s="16">
        <v>169.25</v>
      </c>
      <c r="L813" s="159">
        <f t="shared" si="64"/>
        <v>6.7831223098432245E-2</v>
      </c>
      <c r="M813" s="159">
        <f t="shared" si="64"/>
        <v>0.53174777718432875</v>
      </c>
    </row>
    <row r="814" spans="2:13">
      <c r="B814" t="s">
        <v>169</v>
      </c>
      <c r="C814">
        <f t="shared" si="66"/>
        <v>19</v>
      </c>
      <c r="D814" t="str">
        <f t="shared" si="62"/>
        <v>RENNES19</v>
      </c>
      <c r="E814" t="s">
        <v>170</v>
      </c>
      <c r="F814" t="str">
        <f t="shared" si="63"/>
        <v>RENNES19</v>
      </c>
      <c r="G814" t="s">
        <v>234</v>
      </c>
      <c r="H814" t="s">
        <v>923</v>
      </c>
      <c r="I814" s="16">
        <v>315.19</v>
      </c>
      <c r="J814" s="16">
        <v>60.13</v>
      </c>
      <c r="K814" s="16">
        <v>31.01</v>
      </c>
      <c r="L814" s="159">
        <f t="shared" si="64"/>
        <v>0.19077381896633777</v>
      </c>
      <c r="M814" s="159">
        <f t="shared" si="64"/>
        <v>9.8385101050160226E-2</v>
      </c>
    </row>
    <row r="815" spans="2:13">
      <c r="B815" t="s">
        <v>169</v>
      </c>
      <c r="C815">
        <f t="shared" si="66"/>
        <v>20</v>
      </c>
      <c r="D815" t="str">
        <f t="shared" si="62"/>
        <v>RENNES20</v>
      </c>
      <c r="E815" t="s">
        <v>170</v>
      </c>
      <c r="F815" t="str">
        <f t="shared" si="63"/>
        <v>RENNES20</v>
      </c>
      <c r="G815" t="s">
        <v>220</v>
      </c>
      <c r="H815" t="s">
        <v>913</v>
      </c>
      <c r="I815" s="16">
        <v>293.27999999999997</v>
      </c>
      <c r="J815" s="16">
        <v>37.21</v>
      </c>
      <c r="K815" s="16">
        <v>18.5</v>
      </c>
      <c r="L815" s="159">
        <f t="shared" si="64"/>
        <v>0.12687534097108566</v>
      </c>
      <c r="M815" s="159">
        <f t="shared" si="64"/>
        <v>6.3079650845608293E-2</v>
      </c>
    </row>
    <row r="816" spans="2:13">
      <c r="B816" t="s">
        <v>169</v>
      </c>
      <c r="C816">
        <f t="shared" si="66"/>
        <v>21</v>
      </c>
      <c r="D816" t="str">
        <f t="shared" si="62"/>
        <v>RENNES21</v>
      </c>
      <c r="E816" t="s">
        <v>170</v>
      </c>
      <c r="F816" t="str">
        <f t="shared" si="63"/>
        <v>RENNES21</v>
      </c>
      <c r="G816" t="s">
        <v>251</v>
      </c>
      <c r="H816" t="s">
        <v>929</v>
      </c>
      <c r="I816" s="16">
        <v>285.56</v>
      </c>
      <c r="J816" s="16">
        <v>168.5</v>
      </c>
      <c r="K816" s="16">
        <v>139.47999999999999</v>
      </c>
      <c r="L816" s="159">
        <f t="shared" si="64"/>
        <v>0.59006863706401458</v>
      </c>
      <c r="M816" s="159">
        <f t="shared" si="64"/>
        <v>0.48844375963020026</v>
      </c>
    </row>
    <row r="817" spans="2:13">
      <c r="B817" t="s">
        <v>169</v>
      </c>
      <c r="C817">
        <f t="shared" si="66"/>
        <v>22</v>
      </c>
      <c r="D817" t="str">
        <f t="shared" si="62"/>
        <v>RENNES22</v>
      </c>
      <c r="E817" t="s">
        <v>170</v>
      </c>
      <c r="F817" t="str">
        <f t="shared" si="63"/>
        <v>RENNES22</v>
      </c>
      <c r="G817" t="s">
        <v>229</v>
      </c>
      <c r="H817" t="s">
        <v>921</v>
      </c>
      <c r="I817" s="16">
        <v>276.10000000000002</v>
      </c>
      <c r="J817" s="16">
        <v>48.95</v>
      </c>
      <c r="K817" s="16">
        <v>167.15</v>
      </c>
      <c r="L817" s="159">
        <f t="shared" si="64"/>
        <v>0.17729083665338646</v>
      </c>
      <c r="M817" s="159">
        <f t="shared" si="64"/>
        <v>0.60539659543643609</v>
      </c>
    </row>
    <row r="818" spans="2:13">
      <c r="B818" t="s">
        <v>169</v>
      </c>
      <c r="C818">
        <f t="shared" si="66"/>
        <v>23</v>
      </c>
      <c r="D818" t="str">
        <f t="shared" si="62"/>
        <v>RENNES23</v>
      </c>
      <c r="E818" t="s">
        <v>170</v>
      </c>
      <c r="F818" t="str">
        <f t="shared" si="63"/>
        <v>RENNES23</v>
      </c>
      <c r="G818" t="s">
        <v>218</v>
      </c>
      <c r="H818" t="s">
        <v>911</v>
      </c>
      <c r="I818" s="16">
        <v>274.64999999999998</v>
      </c>
      <c r="J818" s="16">
        <v>90.91</v>
      </c>
      <c r="K818" s="16">
        <v>199.05</v>
      </c>
      <c r="L818" s="159">
        <f t="shared" si="64"/>
        <v>0.33100309484798834</v>
      </c>
      <c r="M818" s="159">
        <f t="shared" si="64"/>
        <v>0.72474057891862376</v>
      </c>
    </row>
    <row r="819" spans="2:13">
      <c r="B819" t="s">
        <v>169</v>
      </c>
      <c r="C819">
        <f t="shared" si="66"/>
        <v>24</v>
      </c>
      <c r="D819" t="str">
        <f t="shared" si="62"/>
        <v>RENNES24</v>
      </c>
      <c r="E819" t="s">
        <v>170</v>
      </c>
      <c r="F819" t="str">
        <f t="shared" si="63"/>
        <v>RENNES24</v>
      </c>
      <c r="G819" t="s">
        <v>207</v>
      </c>
      <c r="H819" t="s">
        <v>906</v>
      </c>
      <c r="I819" s="16">
        <v>266.41000000000003</v>
      </c>
      <c r="J819" s="16">
        <v>103.89</v>
      </c>
      <c r="K819" s="16">
        <v>51.92</v>
      </c>
      <c r="L819" s="159">
        <f t="shared" si="64"/>
        <v>0.38996283923276148</v>
      </c>
      <c r="M819" s="159">
        <f t="shared" si="64"/>
        <v>0.1948875792950715</v>
      </c>
    </row>
    <row r="820" spans="2:13">
      <c r="B820" t="s">
        <v>169</v>
      </c>
      <c r="C820">
        <f t="shared" si="66"/>
        <v>25</v>
      </c>
      <c r="D820" t="str">
        <f t="shared" si="62"/>
        <v>RENNES25</v>
      </c>
      <c r="E820" t="s">
        <v>170</v>
      </c>
      <c r="F820" t="str">
        <f t="shared" si="63"/>
        <v>RENNES25</v>
      </c>
      <c r="G820" t="s">
        <v>235</v>
      </c>
      <c r="H820" t="s">
        <v>236</v>
      </c>
      <c r="I820" s="16">
        <v>258.08999999999997</v>
      </c>
      <c r="J820" s="16">
        <v>39.53</v>
      </c>
      <c r="K820" s="16">
        <v>111.27</v>
      </c>
      <c r="L820" s="159">
        <f t="shared" si="64"/>
        <v>0.15316362509202219</v>
      </c>
      <c r="M820" s="159">
        <f t="shared" si="64"/>
        <v>0.43112867604324073</v>
      </c>
    </row>
    <row r="821" spans="2:13">
      <c r="B821" t="s">
        <v>169</v>
      </c>
      <c r="C821">
        <f t="shared" si="66"/>
        <v>26</v>
      </c>
      <c r="D821" t="str">
        <f t="shared" si="62"/>
        <v>RENNES26</v>
      </c>
      <c r="E821" t="s">
        <v>170</v>
      </c>
      <c r="F821" t="str">
        <f t="shared" si="63"/>
        <v>RENNES26</v>
      </c>
      <c r="G821" t="s">
        <v>266</v>
      </c>
      <c r="H821" t="s">
        <v>267</v>
      </c>
      <c r="I821" s="16">
        <v>252.21</v>
      </c>
      <c r="J821" s="16">
        <v>23.72</v>
      </c>
      <c r="K821" s="16">
        <v>20.61</v>
      </c>
      <c r="L821" s="159">
        <f t="shared" si="64"/>
        <v>9.4048610285079881E-2</v>
      </c>
      <c r="M821" s="159">
        <f t="shared" si="64"/>
        <v>8.1717616272154153E-2</v>
      </c>
    </row>
    <row r="822" spans="2:13">
      <c r="B822" t="s">
        <v>169</v>
      </c>
      <c r="C822">
        <f t="shared" si="66"/>
        <v>27</v>
      </c>
      <c r="D822" t="str">
        <f t="shared" si="62"/>
        <v>RENNES27</v>
      </c>
      <c r="E822" t="s">
        <v>170</v>
      </c>
      <c r="F822" t="str">
        <f t="shared" si="63"/>
        <v>RENNES27</v>
      </c>
      <c r="G822" t="s">
        <v>290</v>
      </c>
      <c r="H822" t="s">
        <v>291</v>
      </c>
      <c r="I822" s="16">
        <v>241.19</v>
      </c>
      <c r="J822" s="16">
        <v>210</v>
      </c>
      <c r="K822" s="16">
        <v>60</v>
      </c>
      <c r="L822" s="159">
        <f t="shared" si="64"/>
        <v>0.87068286413201212</v>
      </c>
      <c r="M822" s="159">
        <f t="shared" si="64"/>
        <v>0.24876653260914633</v>
      </c>
    </row>
    <row r="823" spans="2:13">
      <c r="B823" t="s">
        <v>169</v>
      </c>
      <c r="C823">
        <f t="shared" si="66"/>
        <v>28</v>
      </c>
      <c r="D823" t="str">
        <f t="shared" si="62"/>
        <v>RENNES28</v>
      </c>
      <c r="E823" t="s">
        <v>170</v>
      </c>
      <c r="F823" t="str">
        <f t="shared" si="63"/>
        <v>RENNES28</v>
      </c>
      <c r="G823" t="s">
        <v>214</v>
      </c>
      <c r="H823" t="s">
        <v>215</v>
      </c>
      <c r="I823" s="16">
        <v>212.73</v>
      </c>
      <c r="J823" s="16">
        <v>89.93</v>
      </c>
      <c r="K823" s="16">
        <v>33.17</v>
      </c>
      <c r="L823" s="159">
        <f t="shared" si="64"/>
        <v>0.42274244347294698</v>
      </c>
      <c r="M823" s="159">
        <f t="shared" si="64"/>
        <v>0.15592535138438399</v>
      </c>
    </row>
    <row r="824" spans="2:13">
      <c r="B824" t="s">
        <v>169</v>
      </c>
      <c r="C824">
        <f t="shared" si="66"/>
        <v>29</v>
      </c>
      <c r="D824" t="str">
        <f t="shared" si="62"/>
        <v>RENNES29</v>
      </c>
      <c r="E824" t="s">
        <v>170</v>
      </c>
      <c r="F824" t="str">
        <f t="shared" si="63"/>
        <v>RENNES29</v>
      </c>
      <c r="G824" t="s">
        <v>222</v>
      </c>
      <c r="H824" t="s">
        <v>915</v>
      </c>
      <c r="I824" s="16">
        <v>207.35</v>
      </c>
      <c r="J824" s="16">
        <v>0</v>
      </c>
      <c r="K824" s="16">
        <v>111.46</v>
      </c>
      <c r="L824" s="159">
        <f t="shared" si="64"/>
        <v>0</v>
      </c>
      <c r="M824" s="159">
        <f t="shared" si="64"/>
        <v>0.53754521340728234</v>
      </c>
    </row>
    <row r="825" spans="2:13">
      <c r="B825" t="s">
        <v>169</v>
      </c>
      <c r="C825">
        <f t="shared" si="66"/>
        <v>30</v>
      </c>
      <c r="D825" t="str">
        <f t="shared" si="62"/>
        <v>RENNES30</v>
      </c>
      <c r="E825" t="s">
        <v>170</v>
      </c>
      <c r="F825" t="str">
        <f t="shared" si="63"/>
        <v>RENNES30</v>
      </c>
      <c r="G825" t="s">
        <v>302</v>
      </c>
      <c r="I825" s="16">
        <v>193.28</v>
      </c>
      <c r="J825" s="16">
        <v>32.64</v>
      </c>
      <c r="K825" s="16">
        <v>110.45</v>
      </c>
      <c r="L825" s="159">
        <f t="shared" si="64"/>
        <v>0.16887417218543047</v>
      </c>
      <c r="M825" s="159">
        <f t="shared" si="64"/>
        <v>0.57145074503311255</v>
      </c>
    </row>
    <row r="826" spans="2:13">
      <c r="B826" t="s">
        <v>169</v>
      </c>
      <c r="C826">
        <f t="shared" si="66"/>
        <v>31</v>
      </c>
      <c r="D826" t="str">
        <f t="shared" si="62"/>
        <v>RENNES31</v>
      </c>
      <c r="E826" t="s">
        <v>170</v>
      </c>
      <c r="F826" t="str">
        <f t="shared" si="63"/>
        <v>RENNES31</v>
      </c>
      <c r="G826" t="s">
        <v>303</v>
      </c>
      <c r="H826" t="s">
        <v>936</v>
      </c>
      <c r="I826" s="16">
        <v>192.56</v>
      </c>
      <c r="J826" s="16">
        <v>54.79</v>
      </c>
      <c r="K826" s="16">
        <v>0</v>
      </c>
      <c r="L826" s="159">
        <f t="shared" si="64"/>
        <v>0.28453469048608226</v>
      </c>
      <c r="M826" s="159">
        <f t="shared" si="64"/>
        <v>0</v>
      </c>
    </row>
    <row r="827" spans="2:13">
      <c r="B827" t="s">
        <v>169</v>
      </c>
      <c r="C827">
        <f t="shared" si="66"/>
        <v>32</v>
      </c>
      <c r="D827" t="str">
        <f t="shared" si="62"/>
        <v>RENNES32</v>
      </c>
      <c r="E827" t="s">
        <v>170</v>
      </c>
      <c r="F827" t="str">
        <f t="shared" si="63"/>
        <v>RENNES32</v>
      </c>
      <c r="G827" t="s">
        <v>289</v>
      </c>
      <c r="H827" t="s">
        <v>935</v>
      </c>
      <c r="I827" s="16">
        <v>179.72</v>
      </c>
      <c r="J827" s="16">
        <v>107.43</v>
      </c>
      <c r="K827" s="16">
        <v>15.41</v>
      </c>
      <c r="L827" s="159">
        <f t="shared" si="64"/>
        <v>0.59776318718005794</v>
      </c>
      <c r="M827" s="159">
        <f t="shared" si="64"/>
        <v>8.5744491431115066E-2</v>
      </c>
    </row>
    <row r="828" spans="2:13">
      <c r="B828" t="s">
        <v>169</v>
      </c>
      <c r="C828">
        <f t="shared" ref="C828:C859" si="67">RANK(I828,$I$795:$I$956,0)</f>
        <v>33</v>
      </c>
      <c r="D828" t="str">
        <f t="shared" si="62"/>
        <v>RENNES33</v>
      </c>
      <c r="E828" t="s">
        <v>170</v>
      </c>
      <c r="F828" t="str">
        <f t="shared" si="63"/>
        <v>RENNES33</v>
      </c>
      <c r="G828" t="s">
        <v>274</v>
      </c>
      <c r="H828" t="s">
        <v>275</v>
      </c>
      <c r="I828" s="16">
        <v>178.36</v>
      </c>
      <c r="J828" s="16">
        <v>69.06</v>
      </c>
      <c r="K828" s="16">
        <v>127.31</v>
      </c>
      <c r="L828" s="159">
        <f t="shared" si="64"/>
        <v>0.38719443821484634</v>
      </c>
      <c r="M828" s="159">
        <f t="shared" si="64"/>
        <v>0.71378111684234125</v>
      </c>
    </row>
    <row r="829" spans="2:13">
      <c r="B829" t="s">
        <v>169</v>
      </c>
      <c r="C829">
        <f t="shared" si="67"/>
        <v>34</v>
      </c>
      <c r="D829" t="str">
        <f t="shared" si="62"/>
        <v>RENNES34</v>
      </c>
      <c r="E829" t="s">
        <v>170</v>
      </c>
      <c r="F829" t="str">
        <f t="shared" si="63"/>
        <v>RENNES34</v>
      </c>
      <c r="G829" t="s">
        <v>298</v>
      </c>
      <c r="I829" s="16">
        <v>176.78</v>
      </c>
      <c r="J829" s="16">
        <v>165.94</v>
      </c>
      <c r="K829" s="16">
        <v>6.4</v>
      </c>
      <c r="L829" s="159">
        <f t="shared" si="64"/>
        <v>0.93868084624957571</v>
      </c>
      <c r="M829" s="159">
        <f t="shared" si="64"/>
        <v>3.6203190406154544E-2</v>
      </c>
    </row>
    <row r="830" spans="2:13">
      <c r="B830" t="s">
        <v>169</v>
      </c>
      <c r="C830">
        <f t="shared" si="67"/>
        <v>35</v>
      </c>
      <c r="D830" t="str">
        <f t="shared" si="62"/>
        <v>RENNES35</v>
      </c>
      <c r="E830" t="s">
        <v>170</v>
      </c>
      <c r="F830" t="str">
        <f t="shared" si="63"/>
        <v>RENNES35</v>
      </c>
      <c r="G830" t="s">
        <v>341</v>
      </c>
      <c r="I830" s="16">
        <v>172.69</v>
      </c>
      <c r="J830" s="16">
        <v>36.119999999999997</v>
      </c>
      <c r="K830" s="16">
        <v>1.72</v>
      </c>
      <c r="L830" s="159">
        <f t="shared" si="64"/>
        <v>0.2091609241994325</v>
      </c>
      <c r="M830" s="159">
        <f t="shared" si="64"/>
        <v>9.9600440094967865E-3</v>
      </c>
    </row>
    <row r="831" spans="2:13">
      <c r="B831" t="s">
        <v>169</v>
      </c>
      <c r="C831">
        <f t="shared" si="67"/>
        <v>36</v>
      </c>
      <c r="D831" t="str">
        <f t="shared" si="62"/>
        <v>RENNES36</v>
      </c>
      <c r="E831" t="s">
        <v>170</v>
      </c>
      <c r="F831" t="str">
        <f t="shared" si="63"/>
        <v>RENNES36</v>
      </c>
      <c r="G831" t="s">
        <v>247</v>
      </c>
      <c r="H831" t="s">
        <v>248</v>
      </c>
      <c r="I831" s="16">
        <v>167.23</v>
      </c>
      <c r="J831" s="16">
        <v>65.430000000000007</v>
      </c>
      <c r="K831" s="16">
        <v>18.62</v>
      </c>
      <c r="L831" s="159">
        <f t="shared" si="64"/>
        <v>0.39125754948274838</v>
      </c>
      <c r="M831" s="159">
        <f t="shared" si="64"/>
        <v>0.11134365843449143</v>
      </c>
    </row>
    <row r="832" spans="2:13">
      <c r="B832" t="s">
        <v>169</v>
      </c>
      <c r="C832">
        <f t="shared" si="67"/>
        <v>37</v>
      </c>
      <c r="D832" t="str">
        <f t="shared" si="62"/>
        <v>RENNES37</v>
      </c>
      <c r="E832" t="s">
        <v>170</v>
      </c>
      <c r="F832" t="str">
        <f t="shared" si="63"/>
        <v>RENNES37</v>
      </c>
      <c r="G832" t="s">
        <v>240</v>
      </c>
      <c r="H832" t="s">
        <v>926</v>
      </c>
      <c r="I832" s="16">
        <v>158.28</v>
      </c>
      <c r="J832" s="16">
        <v>133.76</v>
      </c>
      <c r="K832" s="16">
        <v>5.12</v>
      </c>
      <c r="L832" s="159">
        <f t="shared" si="64"/>
        <v>0.84508466009603234</v>
      </c>
      <c r="M832" s="159">
        <f t="shared" si="64"/>
        <v>3.2347738185494058E-2</v>
      </c>
    </row>
    <row r="833" spans="2:13">
      <c r="B833" t="s">
        <v>169</v>
      </c>
      <c r="C833">
        <f t="shared" si="67"/>
        <v>38</v>
      </c>
      <c r="D833" t="str">
        <f t="shared" si="62"/>
        <v>RENNES38</v>
      </c>
      <c r="E833" t="s">
        <v>170</v>
      </c>
      <c r="F833" t="str">
        <f t="shared" si="63"/>
        <v>RENNES38</v>
      </c>
      <c r="G833" t="s">
        <v>325</v>
      </c>
      <c r="H833" t="s">
        <v>938</v>
      </c>
      <c r="I833" s="16">
        <v>154.27000000000001</v>
      </c>
      <c r="J833" s="16">
        <v>25.04</v>
      </c>
      <c r="K833" s="16">
        <v>0</v>
      </c>
      <c r="L833" s="159">
        <f t="shared" si="64"/>
        <v>0.16231282815842352</v>
      </c>
      <c r="M833" s="159">
        <f t="shared" si="64"/>
        <v>0</v>
      </c>
    </row>
    <row r="834" spans="2:13">
      <c r="B834" t="s">
        <v>169</v>
      </c>
      <c r="C834">
        <f t="shared" si="67"/>
        <v>39</v>
      </c>
      <c r="D834" t="str">
        <f t="shared" ref="D834:D897" si="68">CONCATENATE(E834,C834)</f>
        <v>RENNES39</v>
      </c>
      <c r="E834" t="s">
        <v>170</v>
      </c>
      <c r="F834" t="str">
        <f t="shared" si="63"/>
        <v>RENNES39</v>
      </c>
      <c r="G834" t="s">
        <v>270</v>
      </c>
      <c r="I834" s="16">
        <v>146.49</v>
      </c>
      <c r="J834" s="16">
        <v>24.98</v>
      </c>
      <c r="K834" s="16">
        <v>79.349999999999994</v>
      </c>
      <c r="L834" s="159">
        <f t="shared" si="64"/>
        <v>0.17052358522766059</v>
      </c>
      <c r="M834" s="159">
        <f t="shared" si="64"/>
        <v>0.54167519967233246</v>
      </c>
    </row>
    <row r="835" spans="2:13">
      <c r="B835" t="s">
        <v>169</v>
      </c>
      <c r="C835">
        <f t="shared" si="67"/>
        <v>40</v>
      </c>
      <c r="D835" t="str">
        <f t="shared" si="68"/>
        <v>RENNES40</v>
      </c>
      <c r="E835" t="s">
        <v>170</v>
      </c>
      <c r="F835" t="str">
        <f t="shared" ref="F835:F898" si="69">D835</f>
        <v>RENNES40</v>
      </c>
      <c r="G835" t="s">
        <v>252</v>
      </c>
      <c r="H835" t="s">
        <v>930</v>
      </c>
      <c r="I835" s="16">
        <v>145.99</v>
      </c>
      <c r="J835" s="16">
        <v>96.62</v>
      </c>
      <c r="K835" s="16">
        <v>0</v>
      </c>
      <c r="L835" s="159">
        <f t="shared" ref="L835:M898" si="70">J835/$I835</f>
        <v>0.66182615247619703</v>
      </c>
      <c r="M835" s="159">
        <f t="shared" si="70"/>
        <v>0</v>
      </c>
    </row>
    <row r="836" spans="2:13">
      <c r="B836" t="s">
        <v>169</v>
      </c>
      <c r="C836">
        <f t="shared" si="67"/>
        <v>41</v>
      </c>
      <c r="D836" t="str">
        <f t="shared" si="68"/>
        <v>RENNES41</v>
      </c>
      <c r="E836" t="s">
        <v>170</v>
      </c>
      <c r="F836" t="str">
        <f t="shared" si="69"/>
        <v>RENNES41</v>
      </c>
      <c r="G836" t="s">
        <v>246</v>
      </c>
      <c r="H836" t="s">
        <v>928</v>
      </c>
      <c r="I836" s="16">
        <v>137.9</v>
      </c>
      <c r="J836" s="16">
        <v>41.3</v>
      </c>
      <c r="K836" s="16">
        <v>23.14</v>
      </c>
      <c r="L836" s="159">
        <f t="shared" si="70"/>
        <v>0.29949238578680198</v>
      </c>
      <c r="M836" s="159">
        <f t="shared" si="70"/>
        <v>0.16780275562001451</v>
      </c>
    </row>
    <row r="837" spans="2:13">
      <c r="B837" t="s">
        <v>169</v>
      </c>
      <c r="C837">
        <f t="shared" si="67"/>
        <v>42</v>
      </c>
      <c r="D837" t="str">
        <f t="shared" si="68"/>
        <v>RENNES42</v>
      </c>
      <c r="E837" t="s">
        <v>170</v>
      </c>
      <c r="F837" t="str">
        <f t="shared" si="69"/>
        <v>RENNES42</v>
      </c>
      <c r="G837" t="s">
        <v>239</v>
      </c>
      <c r="H837" t="s">
        <v>925</v>
      </c>
      <c r="I837" s="16">
        <v>135.97999999999999</v>
      </c>
      <c r="J837" s="16">
        <v>23.35</v>
      </c>
      <c r="K837" s="16">
        <v>45.79</v>
      </c>
      <c r="L837" s="159">
        <f t="shared" si="70"/>
        <v>0.17171642888660099</v>
      </c>
      <c r="M837" s="159">
        <f t="shared" si="70"/>
        <v>0.3367406971613473</v>
      </c>
    </row>
    <row r="838" spans="2:13">
      <c r="B838" t="s">
        <v>169</v>
      </c>
      <c r="C838">
        <f t="shared" si="67"/>
        <v>43</v>
      </c>
      <c r="D838" t="str">
        <f t="shared" si="68"/>
        <v>RENNES43</v>
      </c>
      <c r="E838" t="s">
        <v>170</v>
      </c>
      <c r="F838" t="str">
        <f t="shared" si="69"/>
        <v>RENNES43</v>
      </c>
      <c r="G838" t="s">
        <v>226</v>
      </c>
      <c r="H838" t="s">
        <v>227</v>
      </c>
      <c r="I838" s="16">
        <v>130.35</v>
      </c>
      <c r="J838" s="16">
        <v>28.67</v>
      </c>
      <c r="K838" s="16">
        <v>79.56</v>
      </c>
      <c r="L838" s="159">
        <f t="shared" si="70"/>
        <v>0.21994629842731112</v>
      </c>
      <c r="M838" s="159">
        <f t="shared" si="70"/>
        <v>0.61035673187571926</v>
      </c>
    </row>
    <row r="839" spans="2:13">
      <c r="B839" t="s">
        <v>169</v>
      </c>
      <c r="C839">
        <f t="shared" si="67"/>
        <v>44</v>
      </c>
      <c r="D839" t="str">
        <f t="shared" si="68"/>
        <v>RENNES44</v>
      </c>
      <c r="E839" t="s">
        <v>170</v>
      </c>
      <c r="F839" t="str">
        <f t="shared" si="69"/>
        <v>RENNES44</v>
      </c>
      <c r="G839" t="s">
        <v>265</v>
      </c>
      <c r="I839" s="16">
        <v>130.13999999999999</v>
      </c>
      <c r="J839" s="16">
        <v>61.92</v>
      </c>
      <c r="K839" s="16">
        <v>36.299999999999997</v>
      </c>
      <c r="L839" s="159">
        <f t="shared" si="70"/>
        <v>0.47579529737206094</v>
      </c>
      <c r="M839" s="159">
        <f t="shared" si="70"/>
        <v>0.27893038266482251</v>
      </c>
    </row>
    <row r="840" spans="2:13">
      <c r="B840" t="s">
        <v>169</v>
      </c>
      <c r="C840">
        <f t="shared" si="67"/>
        <v>45</v>
      </c>
      <c r="D840" t="str">
        <f t="shared" si="68"/>
        <v>RENNES45</v>
      </c>
      <c r="E840" t="s">
        <v>170</v>
      </c>
      <c r="F840" t="str">
        <f t="shared" si="69"/>
        <v>RENNES45</v>
      </c>
      <c r="G840" t="s">
        <v>209</v>
      </c>
      <c r="H840" t="s">
        <v>210</v>
      </c>
      <c r="I840" s="16">
        <v>125.45</v>
      </c>
      <c r="J840" s="16">
        <v>13.64</v>
      </c>
      <c r="K840" s="16">
        <v>65.319999999999993</v>
      </c>
      <c r="L840" s="159">
        <f t="shared" si="70"/>
        <v>0.1087285771223595</v>
      </c>
      <c r="M840" s="159">
        <f t="shared" si="70"/>
        <v>0.52068553208449575</v>
      </c>
    </row>
    <row r="841" spans="2:13">
      <c r="B841" t="s">
        <v>169</v>
      </c>
      <c r="C841">
        <f t="shared" si="67"/>
        <v>46</v>
      </c>
      <c r="D841" t="str">
        <f t="shared" si="68"/>
        <v>RENNES46</v>
      </c>
      <c r="E841" t="s">
        <v>170</v>
      </c>
      <c r="F841" t="str">
        <f t="shared" si="69"/>
        <v>RENNES46</v>
      </c>
      <c r="G841" t="s">
        <v>340</v>
      </c>
      <c r="H841" t="s">
        <v>945</v>
      </c>
      <c r="I841" s="16">
        <v>123.39</v>
      </c>
      <c r="J841" s="16">
        <v>14.2</v>
      </c>
      <c r="K841" s="16">
        <v>0</v>
      </c>
      <c r="L841" s="159">
        <f t="shared" si="70"/>
        <v>0.11508225950239079</v>
      </c>
      <c r="M841" s="159">
        <f t="shared" si="70"/>
        <v>0</v>
      </c>
    </row>
    <row r="842" spans="2:13">
      <c r="B842" t="s">
        <v>169</v>
      </c>
      <c r="C842">
        <f t="shared" si="67"/>
        <v>47</v>
      </c>
      <c r="D842" t="str">
        <f t="shared" si="68"/>
        <v>RENNES47</v>
      </c>
      <c r="E842" t="s">
        <v>170</v>
      </c>
      <c r="F842" t="str">
        <f t="shared" si="69"/>
        <v>RENNES47</v>
      </c>
      <c r="G842" t="s">
        <v>312</v>
      </c>
      <c r="I842" s="16">
        <v>119.58</v>
      </c>
      <c r="J842" s="16">
        <v>53.64</v>
      </c>
      <c r="K842" s="16">
        <v>44.5</v>
      </c>
      <c r="L842" s="159">
        <f t="shared" si="70"/>
        <v>0.44856999498243855</v>
      </c>
      <c r="M842" s="159">
        <f t="shared" si="70"/>
        <v>0.37213580866365614</v>
      </c>
    </row>
    <row r="843" spans="2:13">
      <c r="B843" t="s">
        <v>169</v>
      </c>
      <c r="C843">
        <f t="shared" si="67"/>
        <v>48</v>
      </c>
      <c r="D843" t="str">
        <f t="shared" si="68"/>
        <v>RENNES48</v>
      </c>
      <c r="E843" t="s">
        <v>170</v>
      </c>
      <c r="F843" t="str">
        <f t="shared" si="69"/>
        <v>RENNES48</v>
      </c>
      <c r="G843" t="s">
        <v>278</v>
      </c>
      <c r="H843" t="s">
        <v>934</v>
      </c>
      <c r="I843" s="16">
        <v>115.73</v>
      </c>
      <c r="J843" s="16">
        <v>105.45</v>
      </c>
      <c r="K843" s="16">
        <v>0</v>
      </c>
      <c r="L843" s="159">
        <f t="shared" si="70"/>
        <v>0.91117255681327225</v>
      </c>
      <c r="M843" s="159">
        <f t="shared" si="70"/>
        <v>0</v>
      </c>
    </row>
    <row r="844" spans="2:13">
      <c r="B844" t="s">
        <v>169</v>
      </c>
      <c r="C844">
        <f t="shared" si="67"/>
        <v>49</v>
      </c>
      <c r="D844" t="str">
        <f t="shared" si="68"/>
        <v>RENNES49</v>
      </c>
      <c r="E844" t="s">
        <v>170</v>
      </c>
      <c r="F844" t="str">
        <f t="shared" si="69"/>
        <v>RENNES49</v>
      </c>
      <c r="G844" t="s">
        <v>242</v>
      </c>
      <c r="H844" t="s">
        <v>243</v>
      </c>
      <c r="I844" s="16">
        <v>113.15</v>
      </c>
      <c r="J844" s="16">
        <v>50.53</v>
      </c>
      <c r="K844" s="16">
        <v>13.49</v>
      </c>
      <c r="L844" s="159">
        <f t="shared" si="70"/>
        <v>0.44657534246575342</v>
      </c>
      <c r="M844" s="159">
        <f t="shared" si="70"/>
        <v>0.11922227132125497</v>
      </c>
    </row>
    <row r="845" spans="2:13">
      <c r="B845" t="s">
        <v>169</v>
      </c>
      <c r="C845">
        <f t="shared" si="67"/>
        <v>50</v>
      </c>
      <c r="D845" t="str">
        <f t="shared" si="68"/>
        <v>RENNES50</v>
      </c>
      <c r="E845" t="s">
        <v>170</v>
      </c>
      <c r="F845" t="str">
        <f t="shared" si="69"/>
        <v>RENNES50</v>
      </c>
      <c r="G845" t="s">
        <v>305</v>
      </c>
      <c r="H845" t="s">
        <v>937</v>
      </c>
      <c r="I845" s="16">
        <v>99.38</v>
      </c>
      <c r="J845" s="16">
        <v>50.29</v>
      </c>
      <c r="K845" s="16">
        <v>11.68</v>
      </c>
      <c r="L845" s="159">
        <f t="shared" si="70"/>
        <v>0.50603743207888918</v>
      </c>
      <c r="M845" s="159">
        <f t="shared" si="70"/>
        <v>0.11752867780237472</v>
      </c>
    </row>
    <row r="846" spans="2:13">
      <c r="B846" t="s">
        <v>169</v>
      </c>
      <c r="C846">
        <f t="shared" si="67"/>
        <v>51</v>
      </c>
      <c r="D846" t="str">
        <f t="shared" si="68"/>
        <v>RENNES51</v>
      </c>
      <c r="E846" t="s">
        <v>170</v>
      </c>
      <c r="F846" t="str">
        <f t="shared" si="69"/>
        <v>RENNES51</v>
      </c>
      <c r="G846" t="s">
        <v>419</v>
      </c>
      <c r="I846" s="16">
        <v>98.92</v>
      </c>
      <c r="J846" s="16">
        <v>55.6</v>
      </c>
      <c r="K846" s="16">
        <v>76.58</v>
      </c>
      <c r="L846" s="159">
        <f t="shared" si="70"/>
        <v>0.56207035988677723</v>
      </c>
      <c r="M846" s="159">
        <f t="shared" si="70"/>
        <v>0.77416093813182363</v>
      </c>
    </row>
    <row r="847" spans="2:13">
      <c r="B847" t="s">
        <v>169</v>
      </c>
      <c r="C847">
        <f t="shared" si="67"/>
        <v>52</v>
      </c>
      <c r="D847" t="str">
        <f t="shared" si="68"/>
        <v>RENNES52</v>
      </c>
      <c r="E847" t="s">
        <v>170</v>
      </c>
      <c r="F847" t="str">
        <f t="shared" si="69"/>
        <v>RENNES52</v>
      </c>
      <c r="G847" t="s">
        <v>260</v>
      </c>
      <c r="H847" t="s">
        <v>932</v>
      </c>
      <c r="I847" s="16">
        <v>91.48</v>
      </c>
      <c r="J847" s="16">
        <v>41.31</v>
      </c>
      <c r="K847" s="16">
        <v>50.17</v>
      </c>
      <c r="L847" s="159">
        <f t="shared" si="70"/>
        <v>0.45157411456055968</v>
      </c>
      <c r="M847" s="159">
        <f t="shared" si="70"/>
        <v>0.54842588543944026</v>
      </c>
    </row>
    <row r="848" spans="2:13">
      <c r="B848" t="s">
        <v>169</v>
      </c>
      <c r="C848">
        <f t="shared" si="67"/>
        <v>53</v>
      </c>
      <c r="D848" t="str">
        <f t="shared" si="68"/>
        <v>RENNES53</v>
      </c>
      <c r="E848" t="s">
        <v>170</v>
      </c>
      <c r="F848" t="str">
        <f t="shared" si="69"/>
        <v>RENNES53</v>
      </c>
      <c r="G848" t="s">
        <v>219</v>
      </c>
      <c r="H848" t="s">
        <v>912</v>
      </c>
      <c r="I848" s="16">
        <v>86.89</v>
      </c>
      <c r="J848" s="16">
        <v>30.01</v>
      </c>
      <c r="K848" s="16">
        <v>42.94</v>
      </c>
      <c r="L848" s="159">
        <f t="shared" si="70"/>
        <v>0.34537921509955116</v>
      </c>
      <c r="M848" s="159">
        <f t="shared" si="70"/>
        <v>0.49418805386120379</v>
      </c>
    </row>
    <row r="849" spans="2:13">
      <c r="B849" t="s">
        <v>169</v>
      </c>
      <c r="C849">
        <f t="shared" si="67"/>
        <v>54</v>
      </c>
      <c r="D849" t="str">
        <f t="shared" si="68"/>
        <v>RENNES54</v>
      </c>
      <c r="E849" t="s">
        <v>170</v>
      </c>
      <c r="F849" t="str">
        <f t="shared" si="69"/>
        <v>RENNES54</v>
      </c>
      <c r="G849" t="s">
        <v>259</v>
      </c>
      <c r="I849" s="16">
        <v>84.25</v>
      </c>
      <c r="J849" s="16">
        <v>70.17</v>
      </c>
      <c r="K849" s="16">
        <v>24.49</v>
      </c>
      <c r="L849" s="159">
        <f t="shared" si="70"/>
        <v>0.83287833827893176</v>
      </c>
      <c r="M849" s="159">
        <f t="shared" si="70"/>
        <v>0.29068249258160234</v>
      </c>
    </row>
    <row r="850" spans="2:13">
      <c r="B850" t="s">
        <v>169</v>
      </c>
      <c r="C850">
        <f t="shared" si="67"/>
        <v>55</v>
      </c>
      <c r="D850" t="str">
        <f t="shared" si="68"/>
        <v>RENNES55</v>
      </c>
      <c r="E850" t="s">
        <v>170</v>
      </c>
      <c r="F850" t="str">
        <f t="shared" si="69"/>
        <v>RENNES55</v>
      </c>
      <c r="G850" t="s">
        <v>402</v>
      </c>
      <c r="H850" t="s">
        <v>1790</v>
      </c>
      <c r="I850" s="16">
        <v>79.94</v>
      </c>
      <c r="J850" s="16">
        <v>64.349999999999994</v>
      </c>
      <c r="K850" s="16">
        <v>0</v>
      </c>
      <c r="L850" s="159">
        <f t="shared" si="70"/>
        <v>0.80497873405053788</v>
      </c>
      <c r="M850" s="159">
        <f t="shared" si="70"/>
        <v>0</v>
      </c>
    </row>
    <row r="851" spans="2:13">
      <c r="B851" t="s">
        <v>169</v>
      </c>
      <c r="C851">
        <f t="shared" si="67"/>
        <v>56</v>
      </c>
      <c r="D851" t="str">
        <f t="shared" si="68"/>
        <v>RENNES56</v>
      </c>
      <c r="E851" t="s">
        <v>170</v>
      </c>
      <c r="F851" t="str">
        <f t="shared" si="69"/>
        <v>RENNES56</v>
      </c>
      <c r="G851" t="s">
        <v>268</v>
      </c>
      <c r="H851" t="s">
        <v>269</v>
      </c>
      <c r="I851" s="16">
        <v>78.48</v>
      </c>
      <c r="J851" s="16">
        <v>37.590000000000003</v>
      </c>
      <c r="K851" s="16">
        <v>0</v>
      </c>
      <c r="L851" s="159">
        <f t="shared" si="70"/>
        <v>0.47897553516819574</v>
      </c>
      <c r="M851" s="159">
        <f t="shared" si="70"/>
        <v>0</v>
      </c>
    </row>
    <row r="852" spans="2:13">
      <c r="B852" t="s">
        <v>169</v>
      </c>
      <c r="C852">
        <f t="shared" si="67"/>
        <v>57</v>
      </c>
      <c r="D852" t="str">
        <f t="shared" si="68"/>
        <v>RENNES57</v>
      </c>
      <c r="E852" t="s">
        <v>170</v>
      </c>
      <c r="F852" t="str">
        <f t="shared" si="69"/>
        <v>RENNES57</v>
      </c>
      <c r="G852" t="s">
        <v>287</v>
      </c>
      <c r="I852" s="16">
        <v>76.13</v>
      </c>
      <c r="J852" s="16">
        <v>20.010000000000002</v>
      </c>
      <c r="K852" s="16">
        <v>0</v>
      </c>
      <c r="L852" s="159">
        <f t="shared" si="70"/>
        <v>0.26283987915407858</v>
      </c>
      <c r="M852" s="159">
        <f t="shared" si="70"/>
        <v>0</v>
      </c>
    </row>
    <row r="853" spans="2:13">
      <c r="B853" t="s">
        <v>169</v>
      </c>
      <c r="C853">
        <f t="shared" si="67"/>
        <v>58</v>
      </c>
      <c r="D853" t="str">
        <f t="shared" si="68"/>
        <v>RENNES58</v>
      </c>
      <c r="E853" t="s">
        <v>170</v>
      </c>
      <c r="F853" t="str">
        <f t="shared" si="69"/>
        <v>RENNES58</v>
      </c>
      <c r="G853" t="s">
        <v>262</v>
      </c>
      <c r="I853" s="16">
        <v>76</v>
      </c>
      <c r="J853" s="16">
        <v>10.45</v>
      </c>
      <c r="K853" s="16">
        <v>0</v>
      </c>
      <c r="L853" s="159">
        <f t="shared" si="70"/>
        <v>0.13749999999999998</v>
      </c>
      <c r="M853" s="159">
        <f t="shared" si="70"/>
        <v>0</v>
      </c>
    </row>
    <row r="854" spans="2:13">
      <c r="B854" t="s">
        <v>169</v>
      </c>
      <c r="C854">
        <f t="shared" si="67"/>
        <v>59</v>
      </c>
      <c r="D854" t="str">
        <f t="shared" si="68"/>
        <v>RENNES59</v>
      </c>
      <c r="E854" t="s">
        <v>170</v>
      </c>
      <c r="F854" t="str">
        <f t="shared" si="69"/>
        <v>RENNES59</v>
      </c>
      <c r="G854" t="s">
        <v>336</v>
      </c>
      <c r="H854" t="s">
        <v>941</v>
      </c>
      <c r="I854" s="16">
        <v>71.19</v>
      </c>
      <c r="J854" s="16">
        <v>33.31</v>
      </c>
      <c r="K854" s="16">
        <v>0</v>
      </c>
      <c r="L854" s="159">
        <f t="shared" si="70"/>
        <v>0.4679027953364237</v>
      </c>
      <c r="M854" s="159">
        <f t="shared" si="70"/>
        <v>0</v>
      </c>
    </row>
    <row r="855" spans="2:13">
      <c r="B855" t="s">
        <v>169</v>
      </c>
      <c r="C855">
        <f t="shared" si="67"/>
        <v>60</v>
      </c>
      <c r="D855" t="str">
        <f t="shared" si="68"/>
        <v>RENNES60</v>
      </c>
      <c r="E855" t="s">
        <v>170</v>
      </c>
      <c r="F855" t="str">
        <f t="shared" si="69"/>
        <v>RENNES60</v>
      </c>
      <c r="G855" t="s">
        <v>279</v>
      </c>
      <c r="I855" s="16">
        <v>68.959999999999994</v>
      </c>
      <c r="J855" s="16">
        <v>33.43</v>
      </c>
      <c r="K855" s="16">
        <v>0</v>
      </c>
      <c r="L855" s="159">
        <f t="shared" si="70"/>
        <v>0.48477378190255227</v>
      </c>
      <c r="M855" s="159">
        <f t="shared" si="70"/>
        <v>0</v>
      </c>
    </row>
    <row r="856" spans="2:13">
      <c r="B856" t="s">
        <v>169</v>
      </c>
      <c r="C856">
        <f t="shared" si="67"/>
        <v>61</v>
      </c>
      <c r="D856" t="str">
        <f t="shared" si="68"/>
        <v>RENNES61</v>
      </c>
      <c r="E856" t="s">
        <v>170</v>
      </c>
      <c r="F856" t="str">
        <f t="shared" si="69"/>
        <v>RENNES61</v>
      </c>
      <c r="G856" t="s">
        <v>330</v>
      </c>
      <c r="I856" s="16">
        <v>66.86</v>
      </c>
      <c r="J856" s="16">
        <v>46.46</v>
      </c>
      <c r="K856" s="16">
        <v>0</v>
      </c>
      <c r="L856" s="159">
        <f t="shared" si="70"/>
        <v>0.69488483398145384</v>
      </c>
      <c r="M856" s="159">
        <f t="shared" si="70"/>
        <v>0</v>
      </c>
    </row>
    <row r="857" spans="2:13">
      <c r="B857" t="s">
        <v>169</v>
      </c>
      <c r="C857">
        <f t="shared" si="67"/>
        <v>62</v>
      </c>
      <c r="D857" t="str">
        <f t="shared" si="68"/>
        <v>RENNES62</v>
      </c>
      <c r="E857" t="s">
        <v>170</v>
      </c>
      <c r="F857" t="str">
        <f t="shared" si="69"/>
        <v>RENNES62</v>
      </c>
      <c r="G857" t="s">
        <v>374</v>
      </c>
      <c r="I857" s="16">
        <v>65.81</v>
      </c>
      <c r="J857" s="16">
        <v>48.96</v>
      </c>
      <c r="K857" s="16">
        <v>0</v>
      </c>
      <c r="L857" s="159">
        <f t="shared" si="70"/>
        <v>0.74395988451603101</v>
      </c>
      <c r="M857" s="159">
        <f t="shared" si="70"/>
        <v>0</v>
      </c>
    </row>
    <row r="858" spans="2:13">
      <c r="B858" t="s">
        <v>169</v>
      </c>
      <c r="C858">
        <f t="shared" si="67"/>
        <v>63</v>
      </c>
      <c r="D858" t="str">
        <f t="shared" si="68"/>
        <v>RENNES63</v>
      </c>
      <c r="E858" t="s">
        <v>170</v>
      </c>
      <c r="F858" t="str">
        <f t="shared" si="69"/>
        <v>RENNES63</v>
      </c>
      <c r="G858" t="s">
        <v>276</v>
      </c>
      <c r="H858" t="s">
        <v>933</v>
      </c>
      <c r="I858" s="16">
        <v>64.53</v>
      </c>
      <c r="J858" s="16">
        <v>27.08</v>
      </c>
      <c r="K858" s="16">
        <v>0</v>
      </c>
      <c r="L858" s="159">
        <f t="shared" si="70"/>
        <v>0.41964977529831082</v>
      </c>
      <c r="M858" s="159">
        <f t="shared" si="70"/>
        <v>0</v>
      </c>
    </row>
    <row r="859" spans="2:13">
      <c r="B859" t="s">
        <v>169</v>
      </c>
      <c r="C859">
        <f t="shared" si="67"/>
        <v>64</v>
      </c>
      <c r="D859" t="str">
        <f t="shared" si="68"/>
        <v>RENNES64</v>
      </c>
      <c r="E859" t="s">
        <v>170</v>
      </c>
      <c r="F859" t="str">
        <f t="shared" si="69"/>
        <v>RENNES64</v>
      </c>
      <c r="G859" t="s">
        <v>326</v>
      </c>
      <c r="I859" s="16">
        <v>63.9</v>
      </c>
      <c r="J859" s="16">
        <v>9</v>
      </c>
      <c r="K859" s="16">
        <v>0</v>
      </c>
      <c r="L859" s="159">
        <f t="shared" si="70"/>
        <v>0.14084507042253522</v>
      </c>
      <c r="M859" s="159">
        <f t="shared" si="70"/>
        <v>0</v>
      </c>
    </row>
    <row r="860" spans="2:13">
      <c r="B860" t="s">
        <v>169</v>
      </c>
      <c r="C860">
        <f t="shared" ref="C860:C891" si="71">RANK(I860,$I$795:$I$956,0)</f>
        <v>65</v>
      </c>
      <c r="D860" t="str">
        <f t="shared" si="68"/>
        <v>RENNES65</v>
      </c>
      <c r="E860" t="s">
        <v>170</v>
      </c>
      <c r="F860" t="str">
        <f t="shared" si="69"/>
        <v>RENNES65</v>
      </c>
      <c r="G860" t="s">
        <v>282</v>
      </c>
      <c r="H860" t="s">
        <v>920</v>
      </c>
      <c r="I860" s="16">
        <v>63.43</v>
      </c>
      <c r="J860" s="16">
        <v>25.47</v>
      </c>
      <c r="K860" s="16">
        <v>3.91</v>
      </c>
      <c r="L860" s="159">
        <f t="shared" si="70"/>
        <v>0.40154501024751693</v>
      </c>
      <c r="M860" s="159">
        <f t="shared" si="70"/>
        <v>6.1642755793788431E-2</v>
      </c>
    </row>
    <row r="861" spans="2:13">
      <c r="B861" t="s">
        <v>169</v>
      </c>
      <c r="C861">
        <f t="shared" si="71"/>
        <v>66</v>
      </c>
      <c r="D861" t="str">
        <f t="shared" si="68"/>
        <v>RENNES66</v>
      </c>
      <c r="E861" t="s">
        <v>170</v>
      </c>
      <c r="F861" t="str">
        <f t="shared" si="69"/>
        <v>RENNES66</v>
      </c>
      <c r="G861" t="s">
        <v>277</v>
      </c>
      <c r="I861" s="16">
        <v>62.56</v>
      </c>
      <c r="J861" s="16">
        <v>0</v>
      </c>
      <c r="K861" s="16">
        <v>62.56</v>
      </c>
      <c r="L861" s="159">
        <f t="shared" si="70"/>
        <v>0</v>
      </c>
      <c r="M861" s="159">
        <f t="shared" si="70"/>
        <v>1</v>
      </c>
    </row>
    <row r="862" spans="2:13">
      <c r="B862" t="s">
        <v>169</v>
      </c>
      <c r="C862">
        <f t="shared" si="71"/>
        <v>67</v>
      </c>
      <c r="D862" t="str">
        <f t="shared" si="68"/>
        <v>RENNES67</v>
      </c>
      <c r="E862" t="s">
        <v>170</v>
      </c>
      <c r="F862" t="str">
        <f t="shared" si="69"/>
        <v>RENNES67</v>
      </c>
      <c r="G862" t="s">
        <v>427</v>
      </c>
      <c r="H862" t="s">
        <v>1797</v>
      </c>
      <c r="I862" s="16">
        <v>60.43</v>
      </c>
      <c r="J862" s="16">
        <v>20.45</v>
      </c>
      <c r="K862" s="16">
        <v>51.85</v>
      </c>
      <c r="L862" s="159">
        <f t="shared" si="70"/>
        <v>0.33840807545920898</v>
      </c>
      <c r="M862" s="159">
        <f t="shared" si="70"/>
        <v>0.85801754095647864</v>
      </c>
    </row>
    <row r="863" spans="2:13">
      <c r="B863" t="s">
        <v>169</v>
      </c>
      <c r="C863">
        <f t="shared" si="71"/>
        <v>68</v>
      </c>
      <c r="D863" t="str">
        <f t="shared" si="68"/>
        <v>RENNES68</v>
      </c>
      <c r="E863" t="s">
        <v>170</v>
      </c>
      <c r="F863" t="str">
        <f t="shared" si="69"/>
        <v>RENNES68</v>
      </c>
      <c r="G863" t="s">
        <v>396</v>
      </c>
      <c r="I863" s="16">
        <v>55.63</v>
      </c>
      <c r="J863" s="16">
        <v>19.21</v>
      </c>
      <c r="K863" s="16">
        <v>15.27</v>
      </c>
      <c r="L863" s="159">
        <f t="shared" si="70"/>
        <v>0.34531727485169872</v>
      </c>
      <c r="M863" s="159">
        <f t="shared" si="70"/>
        <v>0.27449218047815926</v>
      </c>
    </row>
    <row r="864" spans="2:13">
      <c r="B864" t="s">
        <v>169</v>
      </c>
      <c r="C864">
        <f t="shared" si="71"/>
        <v>69</v>
      </c>
      <c r="D864" t="str">
        <f t="shared" si="68"/>
        <v>RENNES69</v>
      </c>
      <c r="E864" t="s">
        <v>170</v>
      </c>
      <c r="F864" t="str">
        <f t="shared" si="69"/>
        <v>RENNES69</v>
      </c>
      <c r="G864" t="s">
        <v>257</v>
      </c>
      <c r="I864" s="16">
        <v>54.9</v>
      </c>
      <c r="J864" s="16">
        <v>38.47</v>
      </c>
      <c r="K864" s="16">
        <v>3.39</v>
      </c>
      <c r="L864" s="159">
        <f t="shared" si="70"/>
        <v>0.7007285974499089</v>
      </c>
      <c r="M864" s="159">
        <f t="shared" si="70"/>
        <v>6.1748633879781425E-2</v>
      </c>
    </row>
    <row r="865" spans="2:13">
      <c r="B865" t="s">
        <v>169</v>
      </c>
      <c r="C865">
        <f t="shared" si="71"/>
        <v>70</v>
      </c>
      <c r="D865" t="str">
        <f t="shared" si="68"/>
        <v>RENNES70</v>
      </c>
      <c r="E865" t="s">
        <v>170</v>
      </c>
      <c r="F865" t="str">
        <f t="shared" si="69"/>
        <v>RENNES70</v>
      </c>
      <c r="G865" t="s">
        <v>347</v>
      </c>
      <c r="I865" s="16">
        <v>53.41</v>
      </c>
      <c r="J865" s="16">
        <v>46.35</v>
      </c>
      <c r="K865" s="16">
        <v>2.4500000000000002</v>
      </c>
      <c r="L865" s="159">
        <f t="shared" si="70"/>
        <v>0.86781501591462284</v>
      </c>
      <c r="M865" s="159">
        <f t="shared" si="70"/>
        <v>4.5871559633027532E-2</v>
      </c>
    </row>
    <row r="866" spans="2:13">
      <c r="B866" t="s">
        <v>169</v>
      </c>
      <c r="C866">
        <f t="shared" si="71"/>
        <v>71</v>
      </c>
      <c r="D866" t="str">
        <f t="shared" si="68"/>
        <v>RENNES71</v>
      </c>
      <c r="E866" t="s">
        <v>170</v>
      </c>
      <c r="F866" t="str">
        <f t="shared" si="69"/>
        <v>RENNES71</v>
      </c>
      <c r="G866" t="s">
        <v>409</v>
      </c>
      <c r="I866" s="16">
        <v>53.15</v>
      </c>
      <c r="J866" s="16">
        <v>10.07</v>
      </c>
      <c r="K866" s="16">
        <v>0</v>
      </c>
      <c r="L866" s="159">
        <f t="shared" si="70"/>
        <v>0.18946378174976483</v>
      </c>
      <c r="M866" s="159">
        <f t="shared" si="70"/>
        <v>0</v>
      </c>
    </row>
    <row r="867" spans="2:13">
      <c r="B867" t="s">
        <v>169</v>
      </c>
      <c r="C867">
        <f t="shared" si="71"/>
        <v>72</v>
      </c>
      <c r="D867" t="str">
        <f t="shared" si="68"/>
        <v>RENNES72</v>
      </c>
      <c r="E867" t="s">
        <v>170</v>
      </c>
      <c r="F867" t="str">
        <f t="shared" si="69"/>
        <v>RENNES72</v>
      </c>
      <c r="G867" t="s">
        <v>321</v>
      </c>
      <c r="I867" s="16">
        <v>50.47</v>
      </c>
      <c r="J867" s="16">
        <v>15.97</v>
      </c>
      <c r="K867" s="16">
        <v>0</v>
      </c>
      <c r="L867" s="159">
        <f t="shared" si="70"/>
        <v>0.31642559936595999</v>
      </c>
      <c r="M867" s="159">
        <f t="shared" si="70"/>
        <v>0</v>
      </c>
    </row>
    <row r="868" spans="2:13">
      <c r="B868" t="s">
        <v>169</v>
      </c>
      <c r="C868">
        <f t="shared" si="71"/>
        <v>73</v>
      </c>
      <c r="D868" t="str">
        <f t="shared" si="68"/>
        <v>RENNES73</v>
      </c>
      <c r="E868" t="s">
        <v>170</v>
      </c>
      <c r="F868" t="str">
        <f t="shared" si="69"/>
        <v>RENNES73</v>
      </c>
      <c r="G868" t="s">
        <v>217</v>
      </c>
      <c r="I868" s="16">
        <v>50</v>
      </c>
      <c r="J868" s="16">
        <v>0</v>
      </c>
      <c r="K868" s="16">
        <v>0</v>
      </c>
      <c r="L868" s="159">
        <f t="shared" si="70"/>
        <v>0</v>
      </c>
      <c r="M868" s="159">
        <f t="shared" si="70"/>
        <v>0</v>
      </c>
    </row>
    <row r="869" spans="2:13">
      <c r="B869" t="s">
        <v>169</v>
      </c>
      <c r="C869">
        <f t="shared" si="71"/>
        <v>74</v>
      </c>
      <c r="D869" t="str">
        <f t="shared" si="68"/>
        <v>RENNES74</v>
      </c>
      <c r="E869" t="s">
        <v>170</v>
      </c>
      <c r="F869" t="str">
        <f t="shared" si="69"/>
        <v>RENNES74</v>
      </c>
      <c r="G869" t="s">
        <v>412</v>
      </c>
      <c r="I869" s="16">
        <v>49.23</v>
      </c>
      <c r="J869" s="16">
        <v>35.03</v>
      </c>
      <c r="K869" s="16">
        <v>5.01</v>
      </c>
      <c r="L869" s="159">
        <f t="shared" si="70"/>
        <v>0.7115579930936422</v>
      </c>
      <c r="M869" s="159">
        <f t="shared" si="70"/>
        <v>0.10176721511273613</v>
      </c>
    </row>
    <row r="870" spans="2:13">
      <c r="B870" t="s">
        <v>169</v>
      </c>
      <c r="C870">
        <f t="shared" si="71"/>
        <v>75</v>
      </c>
      <c r="D870" t="str">
        <f t="shared" si="68"/>
        <v>RENNES75</v>
      </c>
      <c r="E870" t="s">
        <v>170</v>
      </c>
      <c r="F870" t="str">
        <f t="shared" si="69"/>
        <v>RENNES75</v>
      </c>
      <c r="G870" t="s">
        <v>244</v>
      </c>
      <c r="I870" s="16">
        <v>48.99</v>
      </c>
      <c r="J870" s="16">
        <v>30.27</v>
      </c>
      <c r="K870" s="16">
        <v>5.1100000000000003</v>
      </c>
      <c r="L870" s="159">
        <f t="shared" si="70"/>
        <v>0.61788120024494797</v>
      </c>
      <c r="M870" s="159">
        <f t="shared" si="70"/>
        <v>0.10430700142886304</v>
      </c>
    </row>
    <row r="871" spans="2:13">
      <c r="B871" t="s">
        <v>169</v>
      </c>
      <c r="C871">
        <f t="shared" si="71"/>
        <v>76</v>
      </c>
      <c r="D871" t="str">
        <f t="shared" si="68"/>
        <v>RENNES76</v>
      </c>
      <c r="E871" t="s">
        <v>170</v>
      </c>
      <c r="F871" t="str">
        <f t="shared" si="69"/>
        <v>RENNES76</v>
      </c>
      <c r="G871" t="s">
        <v>320</v>
      </c>
      <c r="I871" s="16">
        <v>48.86</v>
      </c>
      <c r="J871" s="16">
        <v>5.1100000000000003</v>
      </c>
      <c r="K871" s="16">
        <v>0</v>
      </c>
      <c r="L871" s="159">
        <f t="shared" si="70"/>
        <v>0.10458452722063039</v>
      </c>
      <c r="M871" s="159">
        <f t="shared" si="70"/>
        <v>0</v>
      </c>
    </row>
    <row r="872" spans="2:13">
      <c r="B872" t="s">
        <v>169</v>
      </c>
      <c r="C872">
        <f t="shared" si="71"/>
        <v>77</v>
      </c>
      <c r="D872" t="str">
        <f t="shared" si="68"/>
        <v>RENNES77</v>
      </c>
      <c r="E872" t="s">
        <v>170</v>
      </c>
      <c r="F872" t="str">
        <f t="shared" si="69"/>
        <v>RENNES77</v>
      </c>
      <c r="G872" t="s">
        <v>254</v>
      </c>
      <c r="H872" t="s">
        <v>931</v>
      </c>
      <c r="I872" s="16">
        <v>47.12</v>
      </c>
      <c r="J872" s="16">
        <v>32.770000000000003</v>
      </c>
      <c r="K872" s="16">
        <v>0</v>
      </c>
      <c r="L872" s="159">
        <f t="shared" si="70"/>
        <v>0.69545840407470294</v>
      </c>
      <c r="M872" s="159">
        <f t="shared" si="70"/>
        <v>0</v>
      </c>
    </row>
    <row r="873" spans="2:13">
      <c r="B873" t="s">
        <v>169</v>
      </c>
      <c r="C873">
        <f t="shared" si="71"/>
        <v>78</v>
      </c>
      <c r="D873" t="str">
        <f t="shared" si="68"/>
        <v>RENNES78</v>
      </c>
      <c r="E873" t="s">
        <v>170</v>
      </c>
      <c r="F873" t="str">
        <f t="shared" si="69"/>
        <v>RENNES78</v>
      </c>
      <c r="G873" t="s">
        <v>308</v>
      </c>
      <c r="I873" s="16">
        <v>46.12</v>
      </c>
      <c r="J873" s="16">
        <v>36.97</v>
      </c>
      <c r="K873" s="16">
        <v>0</v>
      </c>
      <c r="L873" s="159">
        <f t="shared" si="70"/>
        <v>0.80160450997398092</v>
      </c>
      <c r="M873" s="159">
        <f t="shared" si="70"/>
        <v>0</v>
      </c>
    </row>
    <row r="874" spans="2:13">
      <c r="B874" t="s">
        <v>169</v>
      </c>
      <c r="C874">
        <f t="shared" si="71"/>
        <v>79</v>
      </c>
      <c r="D874" t="str">
        <f t="shared" si="68"/>
        <v>RENNES79</v>
      </c>
      <c r="E874" t="s">
        <v>170</v>
      </c>
      <c r="F874" t="str">
        <f t="shared" si="69"/>
        <v>RENNES79</v>
      </c>
      <c r="G874" t="s">
        <v>318</v>
      </c>
      <c r="I874" s="16">
        <v>46.06</v>
      </c>
      <c r="J874" s="16">
        <v>38.69</v>
      </c>
      <c r="K874" s="16">
        <v>0</v>
      </c>
      <c r="L874" s="159">
        <f t="shared" si="70"/>
        <v>0.83999131567520613</v>
      </c>
      <c r="M874" s="159">
        <f t="shared" si="70"/>
        <v>0</v>
      </c>
    </row>
    <row r="875" spans="2:13">
      <c r="B875" t="s">
        <v>169</v>
      </c>
      <c r="C875">
        <f t="shared" si="71"/>
        <v>80</v>
      </c>
      <c r="D875" t="str">
        <f t="shared" si="68"/>
        <v>RENNES80</v>
      </c>
      <c r="E875" t="s">
        <v>170</v>
      </c>
      <c r="F875" t="str">
        <f t="shared" si="69"/>
        <v>RENNES80</v>
      </c>
      <c r="G875" t="s">
        <v>346</v>
      </c>
      <c r="I875" s="16">
        <v>45.14</v>
      </c>
      <c r="J875" s="16">
        <v>29.23</v>
      </c>
      <c r="K875" s="16">
        <v>6.01</v>
      </c>
      <c r="L875" s="159">
        <f t="shared" si="70"/>
        <v>0.64754098360655743</v>
      </c>
      <c r="M875" s="159">
        <f t="shared" si="70"/>
        <v>0.13314133805937084</v>
      </c>
    </row>
    <row r="876" spans="2:13">
      <c r="B876" t="s">
        <v>169</v>
      </c>
      <c r="C876">
        <f t="shared" si="71"/>
        <v>81</v>
      </c>
      <c r="D876" t="str">
        <f t="shared" si="68"/>
        <v>RENNES81</v>
      </c>
      <c r="E876" t="s">
        <v>170</v>
      </c>
      <c r="F876" t="str">
        <f t="shared" si="69"/>
        <v>RENNES81</v>
      </c>
      <c r="G876" t="s">
        <v>357</v>
      </c>
      <c r="I876" s="16">
        <v>44.6</v>
      </c>
      <c r="J876" s="16">
        <v>44.6</v>
      </c>
      <c r="K876" s="16">
        <v>35.99</v>
      </c>
      <c r="L876" s="159">
        <f t="shared" si="70"/>
        <v>1</v>
      </c>
      <c r="M876" s="159">
        <f t="shared" si="70"/>
        <v>0.80695067264573994</v>
      </c>
    </row>
    <row r="877" spans="2:13">
      <c r="B877" t="s">
        <v>169</v>
      </c>
      <c r="C877">
        <f t="shared" si="71"/>
        <v>82</v>
      </c>
      <c r="D877" t="str">
        <f t="shared" si="68"/>
        <v>RENNES82</v>
      </c>
      <c r="E877" t="s">
        <v>170</v>
      </c>
      <c r="F877" t="str">
        <f t="shared" si="69"/>
        <v>RENNES82</v>
      </c>
      <c r="G877" t="s">
        <v>280</v>
      </c>
      <c r="I877" s="16">
        <v>44.08</v>
      </c>
      <c r="J877" s="16">
        <v>26.64</v>
      </c>
      <c r="K877" s="16">
        <v>0</v>
      </c>
      <c r="L877" s="159">
        <f t="shared" si="70"/>
        <v>0.60435571687840295</v>
      </c>
      <c r="M877" s="159">
        <f t="shared" si="70"/>
        <v>0</v>
      </c>
    </row>
    <row r="878" spans="2:13">
      <c r="B878" t="s">
        <v>169</v>
      </c>
      <c r="C878">
        <f t="shared" si="71"/>
        <v>83</v>
      </c>
      <c r="D878" t="str">
        <f t="shared" si="68"/>
        <v>RENNES83</v>
      </c>
      <c r="E878" t="s">
        <v>170</v>
      </c>
      <c r="F878" t="str">
        <f t="shared" si="69"/>
        <v>RENNES83</v>
      </c>
      <c r="G878" t="s">
        <v>349</v>
      </c>
      <c r="I878" s="16">
        <v>43.09</v>
      </c>
      <c r="J878" s="16">
        <v>12.61</v>
      </c>
      <c r="K878" s="16">
        <v>0</v>
      </c>
      <c r="L878" s="159">
        <f t="shared" si="70"/>
        <v>0.29264330471106981</v>
      </c>
      <c r="M878" s="159">
        <f t="shared" si="70"/>
        <v>0</v>
      </c>
    </row>
    <row r="879" spans="2:13">
      <c r="B879" t="s">
        <v>169</v>
      </c>
      <c r="C879">
        <f t="shared" si="71"/>
        <v>84</v>
      </c>
      <c r="D879" t="str">
        <f t="shared" si="68"/>
        <v>RENNES84</v>
      </c>
      <c r="E879" t="s">
        <v>170</v>
      </c>
      <c r="F879" t="str">
        <f t="shared" si="69"/>
        <v>RENNES84</v>
      </c>
      <c r="G879" t="s">
        <v>379</v>
      </c>
      <c r="H879" t="s">
        <v>944</v>
      </c>
      <c r="I879" s="16">
        <v>42.98</v>
      </c>
      <c r="J879" s="16">
        <v>34.47</v>
      </c>
      <c r="K879" s="16">
        <v>25</v>
      </c>
      <c r="L879" s="159">
        <f t="shared" si="70"/>
        <v>0.80200093066542577</v>
      </c>
      <c r="M879" s="159">
        <f t="shared" si="70"/>
        <v>0.58166589111214517</v>
      </c>
    </row>
    <row r="880" spans="2:13">
      <c r="B880" t="s">
        <v>169</v>
      </c>
      <c r="C880">
        <f t="shared" si="71"/>
        <v>85</v>
      </c>
      <c r="D880" t="str">
        <f t="shared" si="68"/>
        <v>RENNES85</v>
      </c>
      <c r="E880" t="s">
        <v>170</v>
      </c>
      <c r="F880" t="str">
        <f t="shared" si="69"/>
        <v>RENNES85</v>
      </c>
      <c r="G880" t="s">
        <v>360</v>
      </c>
      <c r="I880" s="16">
        <v>42.9</v>
      </c>
      <c r="J880" s="16">
        <v>31.18</v>
      </c>
      <c r="K880" s="16">
        <v>0</v>
      </c>
      <c r="L880" s="159">
        <f t="shared" si="70"/>
        <v>0.7268065268065268</v>
      </c>
      <c r="M880" s="159">
        <f t="shared" si="70"/>
        <v>0</v>
      </c>
    </row>
    <row r="881" spans="2:13">
      <c r="B881" t="s">
        <v>169</v>
      </c>
      <c r="C881">
        <f t="shared" si="71"/>
        <v>86</v>
      </c>
      <c r="D881" t="str">
        <f t="shared" si="68"/>
        <v>RENNES86</v>
      </c>
      <c r="E881" t="s">
        <v>170</v>
      </c>
      <c r="F881" t="str">
        <f t="shared" si="69"/>
        <v>RENNES86</v>
      </c>
      <c r="G881" t="s">
        <v>393</v>
      </c>
      <c r="I881" s="16">
        <v>41.27</v>
      </c>
      <c r="J881" s="16">
        <v>0</v>
      </c>
      <c r="K881" s="16">
        <v>0</v>
      </c>
      <c r="L881" s="159">
        <f t="shared" si="70"/>
        <v>0</v>
      </c>
      <c r="M881" s="159">
        <f t="shared" si="70"/>
        <v>0</v>
      </c>
    </row>
    <row r="882" spans="2:13">
      <c r="B882" t="s">
        <v>169</v>
      </c>
      <c r="C882">
        <f t="shared" si="71"/>
        <v>87</v>
      </c>
      <c r="D882" t="str">
        <f t="shared" si="68"/>
        <v>RENNES87</v>
      </c>
      <c r="E882" t="s">
        <v>170</v>
      </c>
      <c r="F882" t="str">
        <f t="shared" si="69"/>
        <v>RENNES87</v>
      </c>
      <c r="G882" t="s">
        <v>284</v>
      </c>
      <c r="I882" s="16">
        <v>40.49</v>
      </c>
      <c r="J882" s="16">
        <v>20.86</v>
      </c>
      <c r="K882" s="16">
        <v>0</v>
      </c>
      <c r="L882" s="159">
        <f t="shared" si="70"/>
        <v>0.5151889355396394</v>
      </c>
      <c r="M882" s="159">
        <f t="shared" si="70"/>
        <v>0</v>
      </c>
    </row>
    <row r="883" spans="2:13">
      <c r="B883" t="s">
        <v>169</v>
      </c>
      <c r="C883">
        <f t="shared" si="71"/>
        <v>88</v>
      </c>
      <c r="D883" t="str">
        <f t="shared" si="68"/>
        <v>RENNES88</v>
      </c>
      <c r="E883" t="s">
        <v>170</v>
      </c>
      <c r="F883" t="str">
        <f t="shared" si="69"/>
        <v>RENNES88</v>
      </c>
      <c r="G883" t="s">
        <v>328</v>
      </c>
      <c r="H883" t="s">
        <v>939</v>
      </c>
      <c r="I883" s="16">
        <v>39.520000000000003</v>
      </c>
      <c r="J883" s="16">
        <v>22.88</v>
      </c>
      <c r="K883" s="16">
        <v>0</v>
      </c>
      <c r="L883" s="159">
        <f t="shared" si="70"/>
        <v>0.57894736842105254</v>
      </c>
      <c r="M883" s="159">
        <f t="shared" si="70"/>
        <v>0</v>
      </c>
    </row>
    <row r="884" spans="2:13">
      <c r="B884" t="s">
        <v>169</v>
      </c>
      <c r="C884">
        <f t="shared" si="71"/>
        <v>89</v>
      </c>
      <c r="D884" t="str">
        <f t="shared" si="68"/>
        <v>RENNES89</v>
      </c>
      <c r="E884" t="s">
        <v>170</v>
      </c>
      <c r="F884" t="str">
        <f t="shared" si="69"/>
        <v>RENNES89</v>
      </c>
      <c r="G884" t="s">
        <v>428</v>
      </c>
      <c r="I884" s="16">
        <v>37.909999999999997</v>
      </c>
      <c r="J884" s="16">
        <v>32.4</v>
      </c>
      <c r="K884" s="16">
        <v>0</v>
      </c>
      <c r="L884" s="159">
        <f t="shared" si="70"/>
        <v>0.8546557636507518</v>
      </c>
      <c r="M884" s="159">
        <f t="shared" si="70"/>
        <v>0</v>
      </c>
    </row>
    <row r="885" spans="2:13">
      <c r="B885" t="s">
        <v>169</v>
      </c>
      <c r="C885">
        <f t="shared" si="71"/>
        <v>90</v>
      </c>
      <c r="D885" t="str">
        <f t="shared" si="68"/>
        <v>RENNES90</v>
      </c>
      <c r="E885" t="s">
        <v>170</v>
      </c>
      <c r="F885" t="str">
        <f t="shared" si="69"/>
        <v>RENNES90</v>
      </c>
      <c r="G885" t="s">
        <v>404</v>
      </c>
      <c r="I885" s="16">
        <v>37.24</v>
      </c>
      <c r="J885" s="16">
        <v>0</v>
      </c>
      <c r="K885" s="16">
        <v>0</v>
      </c>
      <c r="L885" s="159">
        <f t="shared" si="70"/>
        <v>0</v>
      </c>
      <c r="M885" s="159">
        <f t="shared" si="70"/>
        <v>0</v>
      </c>
    </row>
    <row r="886" spans="2:13">
      <c r="B886" t="s">
        <v>169</v>
      </c>
      <c r="C886">
        <f t="shared" si="71"/>
        <v>91</v>
      </c>
      <c r="D886" t="str">
        <f t="shared" si="68"/>
        <v>RENNES91</v>
      </c>
      <c r="E886" t="s">
        <v>170</v>
      </c>
      <c r="F886" t="str">
        <f t="shared" si="69"/>
        <v>RENNES91</v>
      </c>
      <c r="G886" t="s">
        <v>304</v>
      </c>
      <c r="I886" s="16">
        <v>33</v>
      </c>
      <c r="J886" s="16">
        <v>6.33</v>
      </c>
      <c r="K886" s="16">
        <v>0</v>
      </c>
      <c r="L886" s="159">
        <f t="shared" si="70"/>
        <v>0.19181818181818183</v>
      </c>
      <c r="M886" s="159">
        <f t="shared" si="70"/>
        <v>0</v>
      </c>
    </row>
    <row r="887" spans="2:13">
      <c r="B887" t="s">
        <v>169</v>
      </c>
      <c r="C887">
        <f t="shared" si="71"/>
        <v>92</v>
      </c>
      <c r="D887" t="str">
        <f t="shared" si="68"/>
        <v>RENNES92</v>
      </c>
      <c r="E887" t="s">
        <v>170</v>
      </c>
      <c r="F887" t="str">
        <f t="shared" si="69"/>
        <v>RENNES92</v>
      </c>
      <c r="G887" t="s">
        <v>398</v>
      </c>
      <c r="I887" s="16">
        <v>31.13</v>
      </c>
      <c r="J887" s="16">
        <v>7.76</v>
      </c>
      <c r="K887" s="16">
        <v>0</v>
      </c>
      <c r="L887" s="159">
        <f t="shared" si="70"/>
        <v>0.24927722454224222</v>
      </c>
      <c r="M887" s="159">
        <f t="shared" si="70"/>
        <v>0</v>
      </c>
    </row>
    <row r="888" spans="2:13">
      <c r="B888" t="s">
        <v>169</v>
      </c>
      <c r="C888">
        <f t="shared" si="71"/>
        <v>93</v>
      </c>
      <c r="D888" t="str">
        <f t="shared" si="68"/>
        <v>RENNES93</v>
      </c>
      <c r="E888" t="s">
        <v>170</v>
      </c>
      <c r="F888" t="str">
        <f t="shared" si="69"/>
        <v>RENNES93</v>
      </c>
      <c r="G888" t="s">
        <v>334</v>
      </c>
      <c r="H888" t="s">
        <v>946</v>
      </c>
      <c r="I888" s="16">
        <v>29.75</v>
      </c>
      <c r="J888" s="16">
        <v>14.75</v>
      </c>
      <c r="K888" s="16">
        <v>29.75</v>
      </c>
      <c r="L888" s="159">
        <f t="shared" si="70"/>
        <v>0.49579831932773111</v>
      </c>
      <c r="M888" s="159">
        <f t="shared" si="70"/>
        <v>1</v>
      </c>
    </row>
    <row r="889" spans="2:13">
      <c r="B889" t="s">
        <v>169</v>
      </c>
      <c r="C889">
        <f t="shared" si="71"/>
        <v>94</v>
      </c>
      <c r="D889" t="str">
        <f t="shared" si="68"/>
        <v>RENNES94</v>
      </c>
      <c r="E889" t="s">
        <v>170</v>
      </c>
      <c r="F889" t="str">
        <f t="shared" si="69"/>
        <v>RENNES94</v>
      </c>
      <c r="G889" t="s">
        <v>444</v>
      </c>
      <c r="I889" s="16">
        <v>29.64</v>
      </c>
      <c r="J889" s="16">
        <v>24.92</v>
      </c>
      <c r="K889" s="16">
        <v>19.91</v>
      </c>
      <c r="L889" s="159">
        <f t="shared" si="70"/>
        <v>0.84075573549257765</v>
      </c>
      <c r="M889" s="159">
        <f t="shared" si="70"/>
        <v>0.67172739541160598</v>
      </c>
    </row>
    <row r="890" spans="2:13">
      <c r="B890" t="s">
        <v>169</v>
      </c>
      <c r="C890">
        <f t="shared" si="71"/>
        <v>95</v>
      </c>
      <c r="D890" t="str">
        <f t="shared" si="68"/>
        <v>RENNES95</v>
      </c>
      <c r="E890" t="s">
        <v>170</v>
      </c>
      <c r="F890" t="str">
        <f t="shared" si="69"/>
        <v>RENNES95</v>
      </c>
      <c r="G890" t="s">
        <v>285</v>
      </c>
      <c r="H890" t="s">
        <v>286</v>
      </c>
      <c r="I890" s="16">
        <v>29.51</v>
      </c>
      <c r="J890" s="16">
        <v>0</v>
      </c>
      <c r="K890" s="16">
        <v>0</v>
      </c>
      <c r="L890" s="159">
        <f t="shared" si="70"/>
        <v>0</v>
      </c>
      <c r="M890" s="159">
        <f t="shared" si="70"/>
        <v>0</v>
      </c>
    </row>
    <row r="891" spans="2:13">
      <c r="B891" t="s">
        <v>169</v>
      </c>
      <c r="C891">
        <f t="shared" si="71"/>
        <v>96</v>
      </c>
      <c r="D891" t="str">
        <f t="shared" si="68"/>
        <v>RENNES96</v>
      </c>
      <c r="E891" t="s">
        <v>170</v>
      </c>
      <c r="F891" t="str">
        <f t="shared" si="69"/>
        <v>RENNES96</v>
      </c>
      <c r="G891" t="s">
        <v>253</v>
      </c>
      <c r="I891" s="16">
        <v>28.85</v>
      </c>
      <c r="J891" s="16">
        <v>20.83</v>
      </c>
      <c r="K891" s="16">
        <v>0</v>
      </c>
      <c r="L891" s="159">
        <f t="shared" si="70"/>
        <v>0.72201039861351812</v>
      </c>
      <c r="M891" s="159">
        <f t="shared" si="70"/>
        <v>0</v>
      </c>
    </row>
    <row r="892" spans="2:13">
      <c r="B892" t="s">
        <v>169</v>
      </c>
      <c r="C892">
        <f t="shared" ref="C892:C923" si="72">RANK(I892,$I$795:$I$956,0)</f>
        <v>97</v>
      </c>
      <c r="D892" t="str">
        <f t="shared" si="68"/>
        <v>RENNES97</v>
      </c>
      <c r="E892" t="s">
        <v>170</v>
      </c>
      <c r="F892" t="str">
        <f t="shared" si="69"/>
        <v>RENNES97</v>
      </c>
      <c r="G892" t="s">
        <v>421</v>
      </c>
      <c r="I892" s="16">
        <v>27.98</v>
      </c>
      <c r="J892" s="16">
        <v>23.26</v>
      </c>
      <c r="K892" s="16">
        <v>0</v>
      </c>
      <c r="L892" s="159">
        <f t="shared" si="70"/>
        <v>0.8313080771979986</v>
      </c>
      <c r="M892" s="159">
        <f t="shared" si="70"/>
        <v>0</v>
      </c>
    </row>
    <row r="893" spans="2:13">
      <c r="B893" t="s">
        <v>169</v>
      </c>
      <c r="C893">
        <f t="shared" si="72"/>
        <v>98</v>
      </c>
      <c r="D893" t="str">
        <f t="shared" si="68"/>
        <v>RENNES98</v>
      </c>
      <c r="E893" t="s">
        <v>170</v>
      </c>
      <c r="F893" t="str">
        <f t="shared" si="69"/>
        <v>RENNES98</v>
      </c>
      <c r="G893" t="s">
        <v>363</v>
      </c>
      <c r="I893" s="16">
        <v>27.94</v>
      </c>
      <c r="J893" s="16">
        <v>10.49</v>
      </c>
      <c r="K893" s="16">
        <v>0</v>
      </c>
      <c r="L893" s="159">
        <f t="shared" si="70"/>
        <v>0.37544738725841087</v>
      </c>
      <c r="M893" s="159">
        <f t="shared" si="70"/>
        <v>0</v>
      </c>
    </row>
    <row r="894" spans="2:13">
      <c r="B894" t="s">
        <v>169</v>
      </c>
      <c r="C894">
        <f t="shared" si="72"/>
        <v>99</v>
      </c>
      <c r="D894" t="str">
        <f t="shared" si="68"/>
        <v>RENNES99</v>
      </c>
      <c r="E894" t="s">
        <v>170</v>
      </c>
      <c r="F894" t="str">
        <f t="shared" si="69"/>
        <v>RENNES99</v>
      </c>
      <c r="G894" t="s">
        <v>292</v>
      </c>
      <c r="I894" s="16">
        <v>27.6</v>
      </c>
      <c r="J894" s="16">
        <v>21.31</v>
      </c>
      <c r="K894" s="16">
        <v>0</v>
      </c>
      <c r="L894" s="159">
        <f t="shared" si="70"/>
        <v>0.77210144927536228</v>
      </c>
      <c r="M894" s="159">
        <f t="shared" si="70"/>
        <v>0</v>
      </c>
    </row>
    <row r="895" spans="2:13">
      <c r="B895" t="s">
        <v>169</v>
      </c>
      <c r="C895">
        <f t="shared" si="72"/>
        <v>100</v>
      </c>
      <c r="D895" t="str">
        <f t="shared" si="68"/>
        <v>RENNES100</v>
      </c>
      <c r="E895" t="s">
        <v>170</v>
      </c>
      <c r="F895" t="str">
        <f t="shared" si="69"/>
        <v>RENNES100</v>
      </c>
      <c r="G895" t="s">
        <v>416</v>
      </c>
      <c r="I895" s="16">
        <v>26.31</v>
      </c>
      <c r="J895" s="16">
        <v>26.31</v>
      </c>
      <c r="K895" s="16">
        <v>0</v>
      </c>
      <c r="L895" s="159">
        <f t="shared" si="70"/>
        <v>1</v>
      </c>
      <c r="M895" s="159">
        <f t="shared" si="70"/>
        <v>0</v>
      </c>
    </row>
    <row r="896" spans="2:13">
      <c r="B896" t="s">
        <v>169</v>
      </c>
      <c r="C896">
        <f t="shared" si="72"/>
        <v>101</v>
      </c>
      <c r="D896" t="str">
        <f t="shared" si="68"/>
        <v>RENNES101</v>
      </c>
      <c r="E896" t="s">
        <v>170</v>
      </c>
      <c r="F896" t="str">
        <f t="shared" si="69"/>
        <v>RENNES101</v>
      </c>
      <c r="G896" t="s">
        <v>417</v>
      </c>
      <c r="I896" s="16">
        <v>25.49</v>
      </c>
      <c r="J896" s="16">
        <v>6</v>
      </c>
      <c r="K896" s="16">
        <v>0</v>
      </c>
      <c r="L896" s="159">
        <f t="shared" si="70"/>
        <v>0.23538642604943116</v>
      </c>
      <c r="M896" s="159">
        <f t="shared" si="70"/>
        <v>0</v>
      </c>
    </row>
    <row r="897" spans="2:13">
      <c r="B897" t="s">
        <v>169</v>
      </c>
      <c r="C897">
        <f t="shared" si="72"/>
        <v>102</v>
      </c>
      <c r="D897" t="str">
        <f t="shared" si="68"/>
        <v>RENNES102</v>
      </c>
      <c r="E897" t="s">
        <v>170</v>
      </c>
      <c r="F897" t="str">
        <f t="shared" si="69"/>
        <v>RENNES102</v>
      </c>
      <c r="G897" t="s">
        <v>397</v>
      </c>
      <c r="I897" s="16">
        <v>25.17</v>
      </c>
      <c r="J897" s="16">
        <v>15.72</v>
      </c>
      <c r="K897" s="16">
        <v>0</v>
      </c>
      <c r="L897" s="159">
        <f t="shared" si="70"/>
        <v>0.6245530393325387</v>
      </c>
      <c r="M897" s="159">
        <f t="shared" si="70"/>
        <v>0</v>
      </c>
    </row>
    <row r="898" spans="2:13">
      <c r="B898" t="s">
        <v>169</v>
      </c>
      <c r="C898">
        <f t="shared" si="72"/>
        <v>103</v>
      </c>
      <c r="D898" t="str">
        <f t="shared" ref="D898:D961" si="73">CONCATENATE(E898,C898)</f>
        <v>RENNES103</v>
      </c>
      <c r="E898" t="s">
        <v>170</v>
      </c>
      <c r="F898" t="str">
        <f t="shared" si="69"/>
        <v>RENNES103</v>
      </c>
      <c r="G898" t="s">
        <v>407</v>
      </c>
      <c r="I898" s="16">
        <v>24.35</v>
      </c>
      <c r="J898" s="16">
        <v>13.26</v>
      </c>
      <c r="K898" s="16">
        <v>2.83</v>
      </c>
      <c r="L898" s="159">
        <f t="shared" si="70"/>
        <v>0.54455852156057494</v>
      </c>
      <c r="M898" s="159">
        <f t="shared" si="70"/>
        <v>0.1162217659137577</v>
      </c>
    </row>
    <row r="899" spans="2:13">
      <c r="B899" t="s">
        <v>169</v>
      </c>
      <c r="C899">
        <f t="shared" si="72"/>
        <v>104</v>
      </c>
      <c r="D899" t="str">
        <f t="shared" si="73"/>
        <v>RENNES104</v>
      </c>
      <c r="E899" t="s">
        <v>170</v>
      </c>
      <c r="F899" t="str">
        <f t="shared" ref="F899:F962" si="74">D899</f>
        <v>RENNES104</v>
      </c>
      <c r="G899" t="s">
        <v>310</v>
      </c>
      <c r="I899" s="16">
        <v>23.25</v>
      </c>
      <c r="J899" s="16">
        <v>15.57</v>
      </c>
      <c r="K899" s="16">
        <v>0</v>
      </c>
      <c r="L899" s="159">
        <f t="shared" ref="L899:M962" si="75">J899/$I899</f>
        <v>0.66967741935483871</v>
      </c>
      <c r="M899" s="159">
        <f t="shared" si="75"/>
        <v>0</v>
      </c>
    </row>
    <row r="900" spans="2:13">
      <c r="B900" t="s">
        <v>169</v>
      </c>
      <c r="C900">
        <f t="shared" si="72"/>
        <v>105</v>
      </c>
      <c r="D900" t="str">
        <f t="shared" si="73"/>
        <v>RENNES105</v>
      </c>
      <c r="E900" t="s">
        <v>170</v>
      </c>
      <c r="F900" t="str">
        <f t="shared" si="74"/>
        <v>RENNES105</v>
      </c>
      <c r="G900" t="s">
        <v>245</v>
      </c>
      <c r="I900" s="16">
        <v>23.01</v>
      </c>
      <c r="J900" s="16">
        <v>0</v>
      </c>
      <c r="K900" s="16">
        <v>23.01</v>
      </c>
      <c r="L900" s="159">
        <f t="shared" si="75"/>
        <v>0</v>
      </c>
      <c r="M900" s="159">
        <f t="shared" si="75"/>
        <v>1</v>
      </c>
    </row>
    <row r="901" spans="2:13">
      <c r="B901" t="s">
        <v>169</v>
      </c>
      <c r="C901">
        <f t="shared" si="72"/>
        <v>106</v>
      </c>
      <c r="D901" t="str">
        <f t="shared" si="73"/>
        <v>RENNES106</v>
      </c>
      <c r="E901" t="s">
        <v>170</v>
      </c>
      <c r="F901" t="str">
        <f t="shared" si="74"/>
        <v>RENNES106</v>
      </c>
      <c r="G901" t="s">
        <v>255</v>
      </c>
      <c r="H901" t="s">
        <v>256</v>
      </c>
      <c r="I901" s="16">
        <v>22.8</v>
      </c>
      <c r="J901" s="16">
        <v>13.37</v>
      </c>
      <c r="K901" s="16">
        <v>9.43</v>
      </c>
      <c r="L901" s="159">
        <f t="shared" si="75"/>
        <v>0.58640350877192982</v>
      </c>
      <c r="M901" s="159">
        <f t="shared" si="75"/>
        <v>0.41359649122807013</v>
      </c>
    </row>
    <row r="902" spans="2:13">
      <c r="B902" t="s">
        <v>169</v>
      </c>
      <c r="C902">
        <f t="shared" si="72"/>
        <v>107</v>
      </c>
      <c r="D902" t="str">
        <f t="shared" si="73"/>
        <v>RENNES107</v>
      </c>
      <c r="E902" t="s">
        <v>170</v>
      </c>
      <c r="F902" t="str">
        <f t="shared" si="74"/>
        <v>RENNES107</v>
      </c>
      <c r="G902" t="s">
        <v>391</v>
      </c>
      <c r="I902" s="16">
        <v>22.57</v>
      </c>
      <c r="J902" s="16">
        <v>21.42</v>
      </c>
      <c r="K902" s="16">
        <v>0</v>
      </c>
      <c r="L902" s="159">
        <f t="shared" si="75"/>
        <v>0.94904740806380161</v>
      </c>
      <c r="M902" s="159">
        <f t="shared" si="75"/>
        <v>0</v>
      </c>
    </row>
    <row r="903" spans="2:13">
      <c r="B903" t="s">
        <v>169</v>
      </c>
      <c r="C903">
        <f t="shared" si="72"/>
        <v>108</v>
      </c>
      <c r="D903" t="str">
        <f t="shared" si="73"/>
        <v>RENNES108</v>
      </c>
      <c r="E903" t="s">
        <v>170</v>
      </c>
      <c r="F903" t="str">
        <f t="shared" si="74"/>
        <v>RENNES108</v>
      </c>
      <c r="G903" t="s">
        <v>272</v>
      </c>
      <c r="I903" s="16">
        <v>22.49</v>
      </c>
      <c r="J903" s="16">
        <v>6</v>
      </c>
      <c r="K903" s="16">
        <v>10.02</v>
      </c>
      <c r="L903" s="159">
        <f t="shared" si="75"/>
        <v>0.26678523788350378</v>
      </c>
      <c r="M903" s="159">
        <f t="shared" si="75"/>
        <v>0.44553134726545135</v>
      </c>
    </row>
    <row r="904" spans="2:13">
      <c r="B904" t="s">
        <v>169</v>
      </c>
      <c r="C904">
        <f t="shared" si="72"/>
        <v>109</v>
      </c>
      <c r="D904" t="str">
        <f t="shared" si="73"/>
        <v>RENNES109</v>
      </c>
      <c r="E904" t="s">
        <v>170</v>
      </c>
      <c r="F904" t="str">
        <f t="shared" si="74"/>
        <v>RENNES109</v>
      </c>
      <c r="G904" t="s">
        <v>388</v>
      </c>
      <c r="I904" s="16">
        <v>20.86</v>
      </c>
      <c r="J904" s="16">
        <v>0</v>
      </c>
      <c r="K904" s="16">
        <v>0</v>
      </c>
      <c r="L904" s="159">
        <f t="shared" si="75"/>
        <v>0</v>
      </c>
      <c r="M904" s="159">
        <f t="shared" si="75"/>
        <v>0</v>
      </c>
    </row>
    <row r="905" spans="2:13">
      <c r="B905" t="s">
        <v>169</v>
      </c>
      <c r="C905">
        <f t="shared" si="72"/>
        <v>110</v>
      </c>
      <c r="D905" t="str">
        <f t="shared" si="73"/>
        <v>RENNES110</v>
      </c>
      <c r="E905" t="s">
        <v>170</v>
      </c>
      <c r="F905" t="str">
        <f t="shared" si="74"/>
        <v>RENNES110</v>
      </c>
      <c r="G905" t="s">
        <v>345</v>
      </c>
      <c r="I905" s="16">
        <v>20.65</v>
      </c>
      <c r="J905" s="16">
        <v>12.46</v>
      </c>
      <c r="K905" s="16">
        <v>0</v>
      </c>
      <c r="L905" s="159">
        <f t="shared" si="75"/>
        <v>0.60338983050847461</v>
      </c>
      <c r="M905" s="159">
        <f t="shared" si="75"/>
        <v>0</v>
      </c>
    </row>
    <row r="906" spans="2:13">
      <c r="B906" t="s">
        <v>169</v>
      </c>
      <c r="C906">
        <f t="shared" si="72"/>
        <v>111</v>
      </c>
      <c r="D906" t="str">
        <f t="shared" si="73"/>
        <v>RENNES111</v>
      </c>
      <c r="E906" t="s">
        <v>170</v>
      </c>
      <c r="F906" t="str">
        <f t="shared" si="74"/>
        <v>RENNES111</v>
      </c>
      <c r="G906" t="s">
        <v>378</v>
      </c>
      <c r="I906" s="16">
        <v>20.09</v>
      </c>
      <c r="J906" s="16">
        <v>17.64</v>
      </c>
      <c r="K906" s="16">
        <v>0</v>
      </c>
      <c r="L906" s="159">
        <f t="shared" si="75"/>
        <v>0.87804878048780488</v>
      </c>
      <c r="M906" s="159">
        <f t="shared" si="75"/>
        <v>0</v>
      </c>
    </row>
    <row r="907" spans="2:13">
      <c r="B907" t="s">
        <v>169</v>
      </c>
      <c r="C907">
        <f t="shared" si="72"/>
        <v>112</v>
      </c>
      <c r="D907" t="str">
        <f t="shared" si="73"/>
        <v>RENNES112</v>
      </c>
      <c r="E907" t="s">
        <v>170</v>
      </c>
      <c r="F907" t="str">
        <f t="shared" si="74"/>
        <v>RENNES112</v>
      </c>
      <c r="G907" t="s">
        <v>373</v>
      </c>
      <c r="I907" s="16">
        <v>19.88</v>
      </c>
      <c r="J907" s="16">
        <v>13.76</v>
      </c>
      <c r="K907" s="16">
        <v>0</v>
      </c>
      <c r="L907" s="159">
        <f t="shared" si="75"/>
        <v>0.69215291750503016</v>
      </c>
      <c r="M907" s="159">
        <f t="shared" si="75"/>
        <v>0</v>
      </c>
    </row>
    <row r="908" spans="2:13">
      <c r="B908" t="s">
        <v>169</v>
      </c>
      <c r="C908">
        <f t="shared" si="72"/>
        <v>113</v>
      </c>
      <c r="D908" t="str">
        <f t="shared" si="73"/>
        <v>RENNES113</v>
      </c>
      <c r="E908" t="s">
        <v>170</v>
      </c>
      <c r="F908" t="str">
        <f t="shared" si="74"/>
        <v>RENNES113</v>
      </c>
      <c r="G908" t="s">
        <v>352</v>
      </c>
      <c r="I908" s="16">
        <v>19.61</v>
      </c>
      <c r="J908" s="16">
        <v>2.7</v>
      </c>
      <c r="K908" s="16">
        <v>6.08</v>
      </c>
      <c r="L908" s="159">
        <f t="shared" si="75"/>
        <v>0.13768485466598676</v>
      </c>
      <c r="M908" s="159">
        <f t="shared" si="75"/>
        <v>0.31004589495155532</v>
      </c>
    </row>
    <row r="909" spans="2:13">
      <c r="B909" t="s">
        <v>169</v>
      </c>
      <c r="C909">
        <f t="shared" si="72"/>
        <v>114</v>
      </c>
      <c r="D909" t="str">
        <f t="shared" si="73"/>
        <v>RENNES114</v>
      </c>
      <c r="E909" t="s">
        <v>170</v>
      </c>
      <c r="F909" t="str">
        <f t="shared" si="74"/>
        <v>RENNES114</v>
      </c>
      <c r="G909" t="s">
        <v>306</v>
      </c>
      <c r="H909" t="s">
        <v>307</v>
      </c>
      <c r="I909" s="16">
        <v>18.850000000000001</v>
      </c>
      <c r="J909" s="16">
        <v>0</v>
      </c>
      <c r="K909" s="16">
        <v>0</v>
      </c>
      <c r="L909" s="159">
        <f t="shared" si="75"/>
        <v>0</v>
      </c>
      <c r="M909" s="159">
        <f t="shared" si="75"/>
        <v>0</v>
      </c>
    </row>
    <row r="910" spans="2:13">
      <c r="B910" t="s">
        <v>169</v>
      </c>
      <c r="C910">
        <f t="shared" si="72"/>
        <v>115</v>
      </c>
      <c r="D910" t="str">
        <f t="shared" si="73"/>
        <v>RENNES115</v>
      </c>
      <c r="E910" t="s">
        <v>170</v>
      </c>
      <c r="F910" t="str">
        <f t="shared" si="74"/>
        <v>RENNES115</v>
      </c>
      <c r="G910" t="s">
        <v>263</v>
      </c>
      <c r="I910" s="16">
        <v>17.13</v>
      </c>
      <c r="J910" s="16">
        <v>5.13</v>
      </c>
      <c r="K910" s="16">
        <v>0</v>
      </c>
      <c r="L910" s="159">
        <f t="shared" si="75"/>
        <v>0.29947460595446584</v>
      </c>
      <c r="M910" s="159">
        <f t="shared" si="75"/>
        <v>0</v>
      </c>
    </row>
    <row r="911" spans="2:13">
      <c r="B911" t="s">
        <v>169</v>
      </c>
      <c r="C911">
        <f t="shared" si="72"/>
        <v>116</v>
      </c>
      <c r="D911" t="str">
        <f t="shared" si="73"/>
        <v>RENNES116</v>
      </c>
      <c r="E911" t="s">
        <v>170</v>
      </c>
      <c r="F911" t="str">
        <f t="shared" si="74"/>
        <v>RENNES116</v>
      </c>
      <c r="G911" t="s">
        <v>442</v>
      </c>
      <c r="I911" s="16">
        <v>16.97</v>
      </c>
      <c r="J911" s="16">
        <v>3.77</v>
      </c>
      <c r="K911" s="16">
        <v>0</v>
      </c>
      <c r="L911" s="159">
        <f t="shared" si="75"/>
        <v>0.22215674720094286</v>
      </c>
      <c r="M911" s="159">
        <f t="shared" si="75"/>
        <v>0</v>
      </c>
    </row>
    <row r="912" spans="2:13">
      <c r="B912" t="s">
        <v>169</v>
      </c>
      <c r="C912">
        <f t="shared" si="72"/>
        <v>117</v>
      </c>
      <c r="D912" t="str">
        <f t="shared" si="73"/>
        <v>RENNES117</v>
      </c>
      <c r="E912" t="s">
        <v>170</v>
      </c>
      <c r="F912" t="str">
        <f t="shared" si="74"/>
        <v>RENNES117</v>
      </c>
      <c r="G912" t="s">
        <v>381</v>
      </c>
      <c r="I912" s="16">
        <v>16.760000000000002</v>
      </c>
      <c r="J912" s="16">
        <v>9.99</v>
      </c>
      <c r="K912" s="16">
        <v>0</v>
      </c>
      <c r="L912" s="159">
        <f t="shared" si="75"/>
        <v>0.59606205250596656</v>
      </c>
      <c r="M912" s="159">
        <f t="shared" si="75"/>
        <v>0</v>
      </c>
    </row>
    <row r="913" spans="2:13">
      <c r="B913" t="s">
        <v>169</v>
      </c>
      <c r="C913">
        <f t="shared" si="72"/>
        <v>118</v>
      </c>
      <c r="D913" t="str">
        <f t="shared" si="73"/>
        <v>RENNES118</v>
      </c>
      <c r="E913" t="s">
        <v>170</v>
      </c>
      <c r="F913" t="str">
        <f t="shared" si="74"/>
        <v>RENNES118</v>
      </c>
      <c r="G913" t="s">
        <v>344</v>
      </c>
      <c r="I913" s="16">
        <v>16.52</v>
      </c>
      <c r="J913" s="16">
        <v>0</v>
      </c>
      <c r="K913" s="16">
        <v>0</v>
      </c>
      <c r="L913" s="159">
        <f t="shared" si="75"/>
        <v>0</v>
      </c>
      <c r="M913" s="159">
        <f t="shared" si="75"/>
        <v>0</v>
      </c>
    </row>
    <row r="914" spans="2:13">
      <c r="B914" t="s">
        <v>169</v>
      </c>
      <c r="C914">
        <f t="shared" si="72"/>
        <v>119</v>
      </c>
      <c r="D914" t="str">
        <f t="shared" si="73"/>
        <v>RENNES119</v>
      </c>
      <c r="E914" t="s">
        <v>170</v>
      </c>
      <c r="F914" t="str">
        <f t="shared" si="74"/>
        <v>RENNES119</v>
      </c>
      <c r="G914" t="s">
        <v>313</v>
      </c>
      <c r="I914" s="16">
        <v>16.260000000000002</v>
      </c>
      <c r="J914" s="16">
        <v>11.92</v>
      </c>
      <c r="K914" s="16">
        <v>0</v>
      </c>
      <c r="L914" s="159">
        <f t="shared" si="75"/>
        <v>0.73308733087330868</v>
      </c>
      <c r="M914" s="159">
        <f t="shared" si="75"/>
        <v>0</v>
      </c>
    </row>
    <row r="915" spans="2:13">
      <c r="B915" t="s">
        <v>169</v>
      </c>
      <c r="C915">
        <f t="shared" si="72"/>
        <v>120</v>
      </c>
      <c r="D915" t="str">
        <f t="shared" si="73"/>
        <v>RENNES120</v>
      </c>
      <c r="E915" t="s">
        <v>170</v>
      </c>
      <c r="F915" t="str">
        <f t="shared" si="74"/>
        <v>RENNES120</v>
      </c>
      <c r="G915" t="s">
        <v>314</v>
      </c>
      <c r="I915" s="16">
        <v>15.65</v>
      </c>
      <c r="J915" s="16">
        <v>0</v>
      </c>
      <c r="K915" s="16">
        <v>0</v>
      </c>
      <c r="L915" s="159">
        <f t="shared" si="75"/>
        <v>0</v>
      </c>
      <c r="M915" s="159">
        <f t="shared" si="75"/>
        <v>0</v>
      </c>
    </row>
    <row r="916" spans="2:13">
      <c r="B916" t="s">
        <v>169</v>
      </c>
      <c r="C916">
        <f t="shared" si="72"/>
        <v>121</v>
      </c>
      <c r="D916" t="str">
        <f t="shared" si="73"/>
        <v>RENNES121</v>
      </c>
      <c r="E916" t="s">
        <v>170</v>
      </c>
      <c r="F916" t="str">
        <f t="shared" si="74"/>
        <v>RENNES121</v>
      </c>
      <c r="G916" t="s">
        <v>452</v>
      </c>
      <c r="H916" t="s">
        <v>453</v>
      </c>
      <c r="I916" s="16">
        <v>15.39</v>
      </c>
      <c r="J916" s="16">
        <v>0</v>
      </c>
      <c r="K916" s="16">
        <v>0</v>
      </c>
      <c r="L916" s="159">
        <f t="shared" si="75"/>
        <v>0</v>
      </c>
      <c r="M916" s="159">
        <f t="shared" si="75"/>
        <v>0</v>
      </c>
    </row>
    <row r="917" spans="2:13">
      <c r="B917" t="s">
        <v>169</v>
      </c>
      <c r="C917">
        <f t="shared" si="72"/>
        <v>122</v>
      </c>
      <c r="D917" t="str">
        <f t="shared" si="73"/>
        <v>RENNES122</v>
      </c>
      <c r="E917" t="s">
        <v>170</v>
      </c>
      <c r="F917" t="str">
        <f t="shared" si="74"/>
        <v>RENNES122</v>
      </c>
      <c r="G917" t="s">
        <v>293</v>
      </c>
      <c r="I917" s="16">
        <v>14.6</v>
      </c>
      <c r="J917" s="16">
        <v>13.45</v>
      </c>
      <c r="K917" s="16">
        <v>0</v>
      </c>
      <c r="L917" s="159">
        <f t="shared" si="75"/>
        <v>0.92123287671232879</v>
      </c>
      <c r="M917" s="159">
        <f t="shared" si="75"/>
        <v>0</v>
      </c>
    </row>
    <row r="918" spans="2:13">
      <c r="B918" t="s">
        <v>169</v>
      </c>
      <c r="C918">
        <f t="shared" si="72"/>
        <v>123</v>
      </c>
      <c r="D918" t="str">
        <f t="shared" si="73"/>
        <v>RENNES123</v>
      </c>
      <c r="E918" t="s">
        <v>170</v>
      </c>
      <c r="F918" t="str">
        <f t="shared" si="74"/>
        <v>RENNES123</v>
      </c>
      <c r="G918" t="s">
        <v>355</v>
      </c>
      <c r="I918" s="16">
        <v>14.27</v>
      </c>
      <c r="J918" s="16">
        <v>0</v>
      </c>
      <c r="K918" s="16">
        <v>0</v>
      </c>
      <c r="L918" s="159">
        <f t="shared" si="75"/>
        <v>0</v>
      </c>
      <c r="M918" s="159">
        <f t="shared" si="75"/>
        <v>0</v>
      </c>
    </row>
    <row r="919" spans="2:13">
      <c r="B919" t="s">
        <v>169</v>
      </c>
      <c r="C919">
        <f t="shared" si="72"/>
        <v>124</v>
      </c>
      <c r="D919" t="str">
        <f t="shared" si="73"/>
        <v>RENNES124</v>
      </c>
      <c r="E919" t="s">
        <v>170</v>
      </c>
      <c r="F919" t="str">
        <f t="shared" si="74"/>
        <v>RENNES124</v>
      </c>
      <c r="G919" t="s">
        <v>383</v>
      </c>
      <c r="I919" s="16">
        <v>13.51</v>
      </c>
      <c r="J919" s="16">
        <v>10.58</v>
      </c>
      <c r="K919" s="16">
        <v>0</v>
      </c>
      <c r="L919" s="159">
        <f t="shared" si="75"/>
        <v>0.78312361213915616</v>
      </c>
      <c r="M919" s="159">
        <f t="shared" si="75"/>
        <v>0</v>
      </c>
    </row>
    <row r="920" spans="2:13">
      <c r="B920" t="s">
        <v>169</v>
      </c>
      <c r="C920">
        <f t="shared" si="72"/>
        <v>125</v>
      </c>
      <c r="D920" t="str">
        <f t="shared" si="73"/>
        <v>RENNES125</v>
      </c>
      <c r="E920" t="s">
        <v>170</v>
      </c>
      <c r="F920" t="str">
        <f t="shared" si="74"/>
        <v>RENNES125</v>
      </c>
      <c r="G920" t="s">
        <v>439</v>
      </c>
      <c r="H920" t="s">
        <v>440</v>
      </c>
      <c r="I920" s="16">
        <v>13.05</v>
      </c>
      <c r="J920" s="16">
        <v>0</v>
      </c>
      <c r="K920" s="16">
        <v>0</v>
      </c>
      <c r="L920" s="159">
        <f t="shared" si="75"/>
        <v>0</v>
      </c>
      <c r="M920" s="159">
        <f t="shared" si="75"/>
        <v>0</v>
      </c>
    </row>
    <row r="921" spans="2:13">
      <c r="B921" t="s">
        <v>169</v>
      </c>
      <c r="C921">
        <f t="shared" si="72"/>
        <v>126</v>
      </c>
      <c r="D921" t="str">
        <f t="shared" si="73"/>
        <v>RENNES126</v>
      </c>
      <c r="E921" t="s">
        <v>170</v>
      </c>
      <c r="F921" t="str">
        <f t="shared" si="74"/>
        <v>RENNES126</v>
      </c>
      <c r="G921" t="s">
        <v>433</v>
      </c>
      <c r="I921" s="16">
        <v>12.95</v>
      </c>
      <c r="J921" s="16">
        <v>12.95</v>
      </c>
      <c r="K921" s="16">
        <v>0</v>
      </c>
      <c r="L921" s="159">
        <f t="shared" si="75"/>
        <v>1</v>
      </c>
      <c r="M921" s="159">
        <f t="shared" si="75"/>
        <v>0</v>
      </c>
    </row>
    <row r="922" spans="2:13">
      <c r="B922" t="s">
        <v>169</v>
      </c>
      <c r="C922">
        <f t="shared" si="72"/>
        <v>127</v>
      </c>
      <c r="D922" t="str">
        <f t="shared" si="73"/>
        <v>RENNES127</v>
      </c>
      <c r="E922" t="s">
        <v>170</v>
      </c>
      <c r="F922" t="str">
        <f t="shared" si="74"/>
        <v>RENNES127</v>
      </c>
      <c r="G922" t="s">
        <v>315</v>
      </c>
      <c r="I922" s="16">
        <v>12.55</v>
      </c>
      <c r="J922" s="16">
        <v>2.85</v>
      </c>
      <c r="K922" s="16">
        <v>0</v>
      </c>
      <c r="L922" s="159">
        <f t="shared" si="75"/>
        <v>0.22709163346613545</v>
      </c>
      <c r="M922" s="159">
        <f t="shared" si="75"/>
        <v>0</v>
      </c>
    </row>
    <row r="923" spans="2:13">
      <c r="B923" t="s">
        <v>169</v>
      </c>
      <c r="C923">
        <f t="shared" si="72"/>
        <v>128</v>
      </c>
      <c r="D923" t="str">
        <f t="shared" si="73"/>
        <v>RENNES128</v>
      </c>
      <c r="E923" t="s">
        <v>170</v>
      </c>
      <c r="F923" t="str">
        <f t="shared" si="74"/>
        <v>RENNES128</v>
      </c>
      <c r="G923" t="s">
        <v>448</v>
      </c>
      <c r="I923" s="16">
        <v>12.33</v>
      </c>
      <c r="J923" s="16">
        <v>7.53</v>
      </c>
      <c r="K923" s="16">
        <v>0</v>
      </c>
      <c r="L923" s="159">
        <f t="shared" si="75"/>
        <v>0.61070559610705599</v>
      </c>
      <c r="M923" s="159">
        <f t="shared" si="75"/>
        <v>0</v>
      </c>
    </row>
    <row r="924" spans="2:13">
      <c r="B924" t="s">
        <v>169</v>
      </c>
      <c r="C924">
        <f t="shared" ref="C924:C956" si="76">RANK(I924,$I$795:$I$956,0)</f>
        <v>129</v>
      </c>
      <c r="D924" t="str">
        <f t="shared" si="73"/>
        <v>RENNES129</v>
      </c>
      <c r="E924" t="s">
        <v>170</v>
      </c>
      <c r="F924" t="str">
        <f t="shared" si="74"/>
        <v>RENNES129</v>
      </c>
      <c r="G924" t="s">
        <v>401</v>
      </c>
      <c r="I924" s="16">
        <v>12.25</v>
      </c>
      <c r="J924" s="16">
        <v>0</v>
      </c>
      <c r="K924" s="16">
        <v>0</v>
      </c>
      <c r="L924" s="159">
        <f t="shared" si="75"/>
        <v>0</v>
      </c>
      <c r="M924" s="159">
        <f t="shared" si="75"/>
        <v>0</v>
      </c>
    </row>
    <row r="925" spans="2:13">
      <c r="B925" t="s">
        <v>169</v>
      </c>
      <c r="C925">
        <f t="shared" si="76"/>
        <v>130</v>
      </c>
      <c r="D925" t="str">
        <f t="shared" si="73"/>
        <v>RENNES130</v>
      </c>
      <c r="E925" t="s">
        <v>170</v>
      </c>
      <c r="F925" t="str">
        <f t="shared" si="74"/>
        <v>RENNES130</v>
      </c>
      <c r="G925" t="s">
        <v>432</v>
      </c>
      <c r="I925" s="16">
        <v>10.199999999999999</v>
      </c>
      <c r="J925" s="16">
        <v>0</v>
      </c>
      <c r="K925" s="16">
        <v>3.05</v>
      </c>
      <c r="L925" s="159">
        <f t="shared" si="75"/>
        <v>0</v>
      </c>
      <c r="M925" s="159">
        <f t="shared" si="75"/>
        <v>0.29901960784313725</v>
      </c>
    </row>
    <row r="926" spans="2:13">
      <c r="B926" t="s">
        <v>169</v>
      </c>
      <c r="C926">
        <f t="shared" si="76"/>
        <v>131</v>
      </c>
      <c r="D926" t="str">
        <f t="shared" si="73"/>
        <v>RENNES131</v>
      </c>
      <c r="E926" t="s">
        <v>170</v>
      </c>
      <c r="F926" t="str">
        <f t="shared" si="74"/>
        <v>RENNES131</v>
      </c>
      <c r="G926" t="s">
        <v>372</v>
      </c>
      <c r="I926" s="16">
        <v>10.02</v>
      </c>
      <c r="J926" s="16">
        <v>0</v>
      </c>
      <c r="K926" s="16">
        <v>0</v>
      </c>
      <c r="L926" s="159">
        <f t="shared" si="75"/>
        <v>0</v>
      </c>
      <c r="M926" s="159">
        <f t="shared" si="75"/>
        <v>0</v>
      </c>
    </row>
    <row r="927" spans="2:13">
      <c r="B927" t="s">
        <v>169</v>
      </c>
      <c r="C927">
        <f t="shared" si="76"/>
        <v>132</v>
      </c>
      <c r="D927" t="str">
        <f t="shared" si="73"/>
        <v>RENNES132</v>
      </c>
      <c r="E927" t="s">
        <v>170</v>
      </c>
      <c r="F927" t="str">
        <f t="shared" si="74"/>
        <v>RENNES132</v>
      </c>
      <c r="G927" t="s">
        <v>233</v>
      </c>
      <c r="I927" s="16">
        <v>9.86</v>
      </c>
      <c r="J927" s="16">
        <v>9.86</v>
      </c>
      <c r="K927" s="16">
        <v>0</v>
      </c>
      <c r="L927" s="159">
        <f t="shared" si="75"/>
        <v>1</v>
      </c>
      <c r="M927" s="159">
        <f t="shared" si="75"/>
        <v>0</v>
      </c>
    </row>
    <row r="928" spans="2:13">
      <c r="B928" t="s">
        <v>169</v>
      </c>
      <c r="C928">
        <f t="shared" si="76"/>
        <v>133</v>
      </c>
      <c r="D928" t="str">
        <f t="shared" si="73"/>
        <v>RENNES133</v>
      </c>
      <c r="E928" t="s">
        <v>170</v>
      </c>
      <c r="F928" t="str">
        <f t="shared" si="74"/>
        <v>RENNES133</v>
      </c>
      <c r="G928" t="s">
        <v>343</v>
      </c>
      <c r="I928" s="16">
        <v>9.75</v>
      </c>
      <c r="J928" s="16">
        <v>3.22</v>
      </c>
      <c r="K928" s="16">
        <v>0</v>
      </c>
      <c r="L928" s="159">
        <f t="shared" si="75"/>
        <v>0.33025641025641028</v>
      </c>
      <c r="M928" s="159">
        <f t="shared" si="75"/>
        <v>0</v>
      </c>
    </row>
    <row r="929" spans="2:13">
      <c r="B929" t="s">
        <v>169</v>
      </c>
      <c r="C929">
        <f t="shared" si="76"/>
        <v>134</v>
      </c>
      <c r="D929" t="str">
        <f t="shared" si="73"/>
        <v>RENNES134</v>
      </c>
      <c r="E929" t="s">
        <v>170</v>
      </c>
      <c r="F929" t="str">
        <f t="shared" si="74"/>
        <v>RENNES134</v>
      </c>
      <c r="G929" t="s">
        <v>435</v>
      </c>
      <c r="I929" s="16">
        <v>8.98</v>
      </c>
      <c r="J929" s="16">
        <v>8.98</v>
      </c>
      <c r="K929" s="16">
        <v>0</v>
      </c>
      <c r="L929" s="159">
        <f t="shared" si="75"/>
        <v>1</v>
      </c>
      <c r="M929" s="159">
        <f t="shared" si="75"/>
        <v>0</v>
      </c>
    </row>
    <row r="930" spans="2:13">
      <c r="B930" t="s">
        <v>169</v>
      </c>
      <c r="C930">
        <f t="shared" si="76"/>
        <v>135</v>
      </c>
      <c r="D930" t="str">
        <f t="shared" si="73"/>
        <v>RENNES135</v>
      </c>
      <c r="E930" t="s">
        <v>170</v>
      </c>
      <c r="F930" t="str">
        <f t="shared" si="74"/>
        <v>RENNES135</v>
      </c>
      <c r="G930" t="s">
        <v>375</v>
      </c>
      <c r="I930" s="16">
        <v>8.6</v>
      </c>
      <c r="J930" s="16">
        <v>2.85</v>
      </c>
      <c r="K930" s="16">
        <v>0</v>
      </c>
      <c r="L930" s="159">
        <f t="shared" si="75"/>
        <v>0.33139534883720934</v>
      </c>
      <c r="M930" s="159">
        <f t="shared" si="75"/>
        <v>0</v>
      </c>
    </row>
    <row r="931" spans="2:13">
      <c r="B931" t="s">
        <v>169</v>
      </c>
      <c r="C931">
        <f t="shared" si="76"/>
        <v>136</v>
      </c>
      <c r="D931" t="str">
        <f t="shared" si="73"/>
        <v>RENNES136</v>
      </c>
      <c r="E931" t="s">
        <v>170</v>
      </c>
      <c r="F931" t="str">
        <f t="shared" si="74"/>
        <v>RENNES136</v>
      </c>
      <c r="G931" t="s">
        <v>456</v>
      </c>
      <c r="I931" s="16">
        <v>7.7</v>
      </c>
      <c r="J931" s="16">
        <v>0</v>
      </c>
      <c r="K931" s="16">
        <v>0</v>
      </c>
      <c r="L931" s="159">
        <f t="shared" si="75"/>
        <v>0</v>
      </c>
      <c r="M931" s="159">
        <f t="shared" si="75"/>
        <v>0</v>
      </c>
    </row>
    <row r="932" spans="2:13">
      <c r="B932" t="s">
        <v>169</v>
      </c>
      <c r="C932">
        <f t="shared" si="76"/>
        <v>137</v>
      </c>
      <c r="D932" t="str">
        <f t="shared" si="73"/>
        <v>RENNES137</v>
      </c>
      <c r="E932" t="s">
        <v>170</v>
      </c>
      <c r="F932" t="str">
        <f t="shared" si="74"/>
        <v>RENNES137</v>
      </c>
      <c r="G932" t="s">
        <v>339</v>
      </c>
      <c r="I932" s="16">
        <v>7.6</v>
      </c>
      <c r="J932" s="16">
        <v>0</v>
      </c>
      <c r="K932" s="16">
        <v>0</v>
      </c>
      <c r="L932" s="159">
        <f t="shared" si="75"/>
        <v>0</v>
      </c>
      <c r="M932" s="159">
        <f t="shared" si="75"/>
        <v>0</v>
      </c>
    </row>
    <row r="933" spans="2:13">
      <c r="B933" t="s">
        <v>169</v>
      </c>
      <c r="C933">
        <f t="shared" si="76"/>
        <v>138</v>
      </c>
      <c r="D933" t="str">
        <f t="shared" si="73"/>
        <v>RENNES138</v>
      </c>
      <c r="E933" t="s">
        <v>170</v>
      </c>
      <c r="F933" t="str">
        <f t="shared" si="74"/>
        <v>RENNES138</v>
      </c>
      <c r="G933" t="s">
        <v>400</v>
      </c>
      <c r="I933" s="16">
        <v>7.53</v>
      </c>
      <c r="J933" s="16">
        <v>7.53</v>
      </c>
      <c r="K933" s="16">
        <v>0</v>
      </c>
      <c r="L933" s="159">
        <f t="shared" si="75"/>
        <v>1</v>
      </c>
      <c r="M933" s="159">
        <f t="shared" si="75"/>
        <v>0</v>
      </c>
    </row>
    <row r="934" spans="2:13">
      <c r="B934" t="s">
        <v>169</v>
      </c>
      <c r="C934">
        <f t="shared" si="76"/>
        <v>139</v>
      </c>
      <c r="D934" t="str">
        <f t="shared" si="73"/>
        <v>RENNES139</v>
      </c>
      <c r="E934" t="s">
        <v>170</v>
      </c>
      <c r="F934" t="str">
        <f t="shared" si="74"/>
        <v>RENNES139</v>
      </c>
      <c r="G934" t="s">
        <v>365</v>
      </c>
      <c r="I934" s="16">
        <v>7.47</v>
      </c>
      <c r="J934" s="16">
        <v>0</v>
      </c>
      <c r="K934" s="16">
        <v>0</v>
      </c>
      <c r="L934" s="159">
        <f t="shared" si="75"/>
        <v>0</v>
      </c>
      <c r="M934" s="159">
        <f t="shared" si="75"/>
        <v>0</v>
      </c>
    </row>
    <row r="935" spans="2:13">
      <c r="B935" t="s">
        <v>169</v>
      </c>
      <c r="C935">
        <f t="shared" si="76"/>
        <v>140</v>
      </c>
      <c r="D935" t="str">
        <f t="shared" si="73"/>
        <v>RENNES140</v>
      </c>
      <c r="E935" t="s">
        <v>170</v>
      </c>
      <c r="F935" t="str">
        <f t="shared" si="74"/>
        <v>RENNES140</v>
      </c>
      <c r="G935" t="s">
        <v>333</v>
      </c>
      <c r="I935" s="16">
        <v>6.75</v>
      </c>
      <c r="J935" s="16">
        <v>1.72</v>
      </c>
      <c r="K935" s="16">
        <v>0</v>
      </c>
      <c r="L935" s="159">
        <f t="shared" si="75"/>
        <v>0.25481481481481483</v>
      </c>
      <c r="M935" s="159">
        <f t="shared" si="75"/>
        <v>0</v>
      </c>
    </row>
    <row r="936" spans="2:13">
      <c r="B936" t="s">
        <v>169</v>
      </c>
      <c r="C936">
        <f t="shared" si="76"/>
        <v>141</v>
      </c>
      <c r="D936" t="str">
        <f t="shared" si="73"/>
        <v>RENNES141</v>
      </c>
      <c r="E936" t="s">
        <v>170</v>
      </c>
      <c r="F936" t="str">
        <f t="shared" si="74"/>
        <v>RENNES141</v>
      </c>
      <c r="G936" t="s">
        <v>332</v>
      </c>
      <c r="H936" t="s">
        <v>940</v>
      </c>
      <c r="I936" s="16">
        <v>6.45</v>
      </c>
      <c r="J936" s="16">
        <v>6.45</v>
      </c>
      <c r="K936" s="16">
        <v>0</v>
      </c>
      <c r="L936" s="159">
        <f t="shared" si="75"/>
        <v>1</v>
      </c>
      <c r="M936" s="159">
        <f t="shared" si="75"/>
        <v>0</v>
      </c>
    </row>
    <row r="937" spans="2:13">
      <c r="B937" t="s">
        <v>169</v>
      </c>
      <c r="C937">
        <f t="shared" si="76"/>
        <v>142</v>
      </c>
      <c r="D937" t="str">
        <f t="shared" si="73"/>
        <v>RENNES142</v>
      </c>
      <c r="E937" t="s">
        <v>170</v>
      </c>
      <c r="F937" t="str">
        <f t="shared" si="74"/>
        <v>RENNES142</v>
      </c>
      <c r="G937" t="s">
        <v>436</v>
      </c>
      <c r="I937" s="16">
        <v>6.29</v>
      </c>
      <c r="J937" s="16">
        <v>6.29</v>
      </c>
      <c r="K937" s="16">
        <v>0</v>
      </c>
      <c r="L937" s="159">
        <f t="shared" si="75"/>
        <v>1</v>
      </c>
      <c r="M937" s="159">
        <f t="shared" si="75"/>
        <v>0</v>
      </c>
    </row>
    <row r="938" spans="2:13">
      <c r="B938" t="s">
        <v>169</v>
      </c>
      <c r="C938">
        <f t="shared" si="76"/>
        <v>143</v>
      </c>
      <c r="D938" t="str">
        <f t="shared" si="73"/>
        <v>RENNES143</v>
      </c>
      <c r="E938" t="s">
        <v>170</v>
      </c>
      <c r="F938" t="str">
        <f t="shared" si="74"/>
        <v>RENNES143</v>
      </c>
      <c r="G938" t="s">
        <v>362</v>
      </c>
      <c r="H938" t="s">
        <v>943</v>
      </c>
      <c r="I938" s="16">
        <v>6.26</v>
      </c>
      <c r="J938" s="16">
        <v>0</v>
      </c>
      <c r="K938" s="16">
        <v>0</v>
      </c>
      <c r="L938" s="159">
        <f t="shared" si="75"/>
        <v>0</v>
      </c>
      <c r="M938" s="159">
        <f t="shared" si="75"/>
        <v>0</v>
      </c>
    </row>
    <row r="939" spans="2:13">
      <c r="B939" t="s">
        <v>169</v>
      </c>
      <c r="C939">
        <f t="shared" si="76"/>
        <v>144</v>
      </c>
      <c r="D939" t="str">
        <f t="shared" si="73"/>
        <v>RENNES144</v>
      </c>
      <c r="E939" t="s">
        <v>170</v>
      </c>
      <c r="F939" t="str">
        <f t="shared" si="74"/>
        <v>RENNES144</v>
      </c>
      <c r="G939" t="s">
        <v>447</v>
      </c>
      <c r="I939" s="16">
        <v>6.02</v>
      </c>
      <c r="J939" s="16">
        <v>6.02</v>
      </c>
      <c r="K939" s="16">
        <v>0</v>
      </c>
      <c r="L939" s="159">
        <f t="shared" si="75"/>
        <v>1</v>
      </c>
      <c r="M939" s="159">
        <f t="shared" si="75"/>
        <v>0</v>
      </c>
    </row>
    <row r="940" spans="2:13">
      <c r="B940" t="s">
        <v>169</v>
      </c>
      <c r="C940">
        <f t="shared" si="76"/>
        <v>145</v>
      </c>
      <c r="D940" t="str">
        <f t="shared" si="73"/>
        <v>RENNES145</v>
      </c>
      <c r="E940" t="s">
        <v>170</v>
      </c>
      <c r="F940" t="str">
        <f t="shared" si="74"/>
        <v>RENNES145</v>
      </c>
      <c r="G940" t="s">
        <v>323</v>
      </c>
      <c r="I940" s="16">
        <v>5.72</v>
      </c>
      <c r="J940" s="16">
        <v>5.72</v>
      </c>
      <c r="K940" s="16">
        <v>0</v>
      </c>
      <c r="L940" s="159">
        <f t="shared" si="75"/>
        <v>1</v>
      </c>
      <c r="M940" s="159">
        <f t="shared" si="75"/>
        <v>0</v>
      </c>
    </row>
    <row r="941" spans="2:13">
      <c r="B941" t="s">
        <v>169</v>
      </c>
      <c r="C941">
        <f t="shared" si="76"/>
        <v>146</v>
      </c>
      <c r="D941" t="str">
        <f t="shared" si="73"/>
        <v>RENNES146</v>
      </c>
      <c r="E941" t="s">
        <v>170</v>
      </c>
      <c r="F941" t="str">
        <f t="shared" si="74"/>
        <v>RENNES146</v>
      </c>
      <c r="G941" t="s">
        <v>418</v>
      </c>
      <c r="I941" s="16">
        <v>5.65</v>
      </c>
      <c r="J941" s="16">
        <v>0</v>
      </c>
      <c r="K941" s="16">
        <v>0</v>
      </c>
      <c r="L941" s="159">
        <f t="shared" si="75"/>
        <v>0</v>
      </c>
      <c r="M941" s="159">
        <f t="shared" si="75"/>
        <v>0</v>
      </c>
    </row>
    <row r="942" spans="2:13">
      <c r="B942" t="s">
        <v>169</v>
      </c>
      <c r="C942">
        <f t="shared" si="76"/>
        <v>147</v>
      </c>
      <c r="D942" t="str">
        <f t="shared" si="73"/>
        <v>RENNES147</v>
      </c>
      <c r="E942" t="s">
        <v>170</v>
      </c>
      <c r="F942" t="str">
        <f t="shared" si="74"/>
        <v>RENNES147</v>
      </c>
      <c r="G942" t="s">
        <v>368</v>
      </c>
      <c r="I942" s="16">
        <v>5.45</v>
      </c>
      <c r="J942" s="16">
        <v>0</v>
      </c>
      <c r="K942" s="16">
        <v>0</v>
      </c>
      <c r="L942" s="159">
        <f t="shared" si="75"/>
        <v>0</v>
      </c>
      <c r="M942" s="159">
        <f t="shared" si="75"/>
        <v>0</v>
      </c>
    </row>
    <row r="943" spans="2:13">
      <c r="B943" t="s">
        <v>169</v>
      </c>
      <c r="C943">
        <f t="shared" si="76"/>
        <v>148</v>
      </c>
      <c r="D943" t="str">
        <f t="shared" si="73"/>
        <v>RENNES148</v>
      </c>
      <c r="E943" t="s">
        <v>170</v>
      </c>
      <c r="F943" t="str">
        <f t="shared" si="74"/>
        <v>RENNES148</v>
      </c>
      <c r="G943" t="s">
        <v>415</v>
      </c>
      <c r="I943" s="16">
        <v>5.07</v>
      </c>
      <c r="J943" s="16">
        <v>0</v>
      </c>
      <c r="K943" s="16">
        <v>0</v>
      </c>
      <c r="L943" s="159">
        <f t="shared" si="75"/>
        <v>0</v>
      </c>
      <c r="M943" s="159">
        <f t="shared" si="75"/>
        <v>0</v>
      </c>
    </row>
    <row r="944" spans="2:13">
      <c r="B944" t="s">
        <v>169</v>
      </c>
      <c r="C944">
        <f t="shared" si="76"/>
        <v>149</v>
      </c>
      <c r="D944" t="str">
        <f t="shared" si="73"/>
        <v>RENNES149</v>
      </c>
      <c r="E944" t="s">
        <v>170</v>
      </c>
      <c r="F944" t="str">
        <f t="shared" si="74"/>
        <v>RENNES149</v>
      </c>
      <c r="G944" t="s">
        <v>327</v>
      </c>
      <c r="H944" t="s">
        <v>1799</v>
      </c>
      <c r="I944" s="16">
        <v>5.01</v>
      </c>
      <c r="J944" s="16">
        <v>5.01</v>
      </c>
      <c r="K944" s="16">
        <v>0</v>
      </c>
      <c r="L944" s="159">
        <f t="shared" si="75"/>
        <v>1</v>
      </c>
      <c r="M944" s="159">
        <f t="shared" si="75"/>
        <v>0</v>
      </c>
    </row>
    <row r="945" spans="2:13">
      <c r="B945" t="s">
        <v>169</v>
      </c>
      <c r="C945">
        <f t="shared" si="76"/>
        <v>150</v>
      </c>
      <c r="D945" t="str">
        <f t="shared" si="73"/>
        <v>RENNES150</v>
      </c>
      <c r="E945" t="s">
        <v>170</v>
      </c>
      <c r="F945" t="str">
        <f t="shared" si="74"/>
        <v>RENNES150</v>
      </c>
      <c r="G945" t="s">
        <v>367</v>
      </c>
      <c r="I945" s="16">
        <v>4.24</v>
      </c>
      <c r="J945" s="16">
        <v>4.24</v>
      </c>
      <c r="K945" s="16">
        <v>0</v>
      </c>
      <c r="L945" s="159">
        <f t="shared" si="75"/>
        <v>1</v>
      </c>
      <c r="M945" s="159">
        <f t="shared" si="75"/>
        <v>0</v>
      </c>
    </row>
    <row r="946" spans="2:13">
      <c r="B946" t="s">
        <v>169</v>
      </c>
      <c r="C946">
        <f t="shared" si="76"/>
        <v>151</v>
      </c>
      <c r="D946" t="str">
        <f t="shared" si="73"/>
        <v>RENNES151</v>
      </c>
      <c r="E946" t="s">
        <v>170</v>
      </c>
      <c r="F946" t="str">
        <f t="shared" si="74"/>
        <v>RENNES151</v>
      </c>
      <c r="G946" t="s">
        <v>370</v>
      </c>
      <c r="I946" s="16">
        <v>4.05</v>
      </c>
      <c r="J946" s="16">
        <v>4.05</v>
      </c>
      <c r="K946" s="16">
        <v>0</v>
      </c>
      <c r="L946" s="159">
        <f t="shared" si="75"/>
        <v>1</v>
      </c>
      <c r="M946" s="159">
        <f t="shared" si="75"/>
        <v>0</v>
      </c>
    </row>
    <row r="947" spans="2:13">
      <c r="B947" t="s">
        <v>169</v>
      </c>
      <c r="C947">
        <f t="shared" si="76"/>
        <v>152</v>
      </c>
      <c r="D947" t="str">
        <f t="shared" si="73"/>
        <v>RENNES152</v>
      </c>
      <c r="E947" t="s">
        <v>170</v>
      </c>
      <c r="F947" t="str">
        <f t="shared" si="74"/>
        <v>RENNES152</v>
      </c>
      <c r="G947" t="s">
        <v>337</v>
      </c>
      <c r="I947" s="16">
        <v>3.9</v>
      </c>
      <c r="J947" s="16">
        <v>2.75</v>
      </c>
      <c r="K947" s="16">
        <v>0</v>
      </c>
      <c r="L947" s="159">
        <f t="shared" si="75"/>
        <v>0.70512820512820518</v>
      </c>
      <c r="M947" s="159">
        <f t="shared" si="75"/>
        <v>0</v>
      </c>
    </row>
    <row r="948" spans="2:13">
      <c r="B948" t="s">
        <v>169</v>
      </c>
      <c r="C948">
        <f t="shared" si="76"/>
        <v>153</v>
      </c>
      <c r="D948" t="str">
        <f t="shared" si="73"/>
        <v>RENNES153</v>
      </c>
      <c r="E948" t="s">
        <v>170</v>
      </c>
      <c r="F948" t="str">
        <f t="shared" si="74"/>
        <v>RENNES153</v>
      </c>
      <c r="G948" t="s">
        <v>283</v>
      </c>
      <c r="I948" s="16">
        <v>3.77</v>
      </c>
      <c r="J948" s="16">
        <v>3.77</v>
      </c>
      <c r="K948" s="16">
        <v>0</v>
      </c>
      <c r="L948" s="159">
        <f t="shared" si="75"/>
        <v>1</v>
      </c>
      <c r="M948" s="159">
        <f t="shared" si="75"/>
        <v>0</v>
      </c>
    </row>
    <row r="949" spans="2:13">
      <c r="B949" t="s">
        <v>169</v>
      </c>
      <c r="C949">
        <f t="shared" si="76"/>
        <v>154</v>
      </c>
      <c r="D949" t="str">
        <f t="shared" si="73"/>
        <v>RENNES154</v>
      </c>
      <c r="E949" t="s">
        <v>170</v>
      </c>
      <c r="F949" t="str">
        <f t="shared" si="74"/>
        <v>RENNES154</v>
      </c>
      <c r="G949" t="s">
        <v>403</v>
      </c>
      <c r="I949" s="16">
        <v>3.39</v>
      </c>
      <c r="J949" s="16">
        <v>0</v>
      </c>
      <c r="K949" s="16">
        <v>0</v>
      </c>
      <c r="L949" s="159">
        <f t="shared" si="75"/>
        <v>0</v>
      </c>
      <c r="M949" s="159">
        <f t="shared" si="75"/>
        <v>0</v>
      </c>
    </row>
    <row r="950" spans="2:13">
      <c r="B950" t="s">
        <v>169</v>
      </c>
      <c r="C950">
        <f t="shared" si="76"/>
        <v>155</v>
      </c>
      <c r="D950" t="str">
        <f t="shared" si="73"/>
        <v>RENNES155</v>
      </c>
      <c r="E950" t="s">
        <v>170</v>
      </c>
      <c r="F950" t="str">
        <f t="shared" si="74"/>
        <v>RENNES155</v>
      </c>
      <c r="G950" t="s">
        <v>385</v>
      </c>
      <c r="I950" s="16">
        <v>3.19</v>
      </c>
      <c r="J950" s="16">
        <v>3.19</v>
      </c>
      <c r="K950" s="16">
        <v>0</v>
      </c>
      <c r="L950" s="159">
        <f t="shared" si="75"/>
        <v>1</v>
      </c>
      <c r="M950" s="159">
        <f t="shared" si="75"/>
        <v>0</v>
      </c>
    </row>
    <row r="951" spans="2:13">
      <c r="B951" t="s">
        <v>169</v>
      </c>
      <c r="C951">
        <f t="shared" si="76"/>
        <v>156</v>
      </c>
      <c r="D951" t="str">
        <f t="shared" si="73"/>
        <v>RENNES156</v>
      </c>
      <c r="E951" t="s">
        <v>170</v>
      </c>
      <c r="F951" t="str">
        <f t="shared" si="74"/>
        <v>RENNES156</v>
      </c>
      <c r="G951" t="s">
        <v>301</v>
      </c>
      <c r="H951" t="s">
        <v>918</v>
      </c>
      <c r="I951" s="16">
        <v>2.84</v>
      </c>
      <c r="J951" s="16">
        <v>0</v>
      </c>
      <c r="K951" s="16">
        <v>0</v>
      </c>
      <c r="L951" s="159">
        <f t="shared" si="75"/>
        <v>0</v>
      </c>
      <c r="M951" s="159">
        <f t="shared" si="75"/>
        <v>0</v>
      </c>
    </row>
    <row r="952" spans="2:13">
      <c r="B952" t="s">
        <v>169</v>
      </c>
      <c r="C952">
        <f t="shared" si="76"/>
        <v>157</v>
      </c>
      <c r="D952" t="str">
        <f t="shared" si="73"/>
        <v>RENNES157</v>
      </c>
      <c r="E952" t="s">
        <v>170</v>
      </c>
      <c r="F952" t="str">
        <f t="shared" si="74"/>
        <v>RENNES157</v>
      </c>
      <c r="G952" t="s">
        <v>438</v>
      </c>
      <c r="I952" s="16">
        <v>2.81</v>
      </c>
      <c r="J952" s="16">
        <v>2.81</v>
      </c>
      <c r="K952" s="16">
        <v>0</v>
      </c>
      <c r="L952" s="159">
        <f t="shared" si="75"/>
        <v>1</v>
      </c>
      <c r="M952" s="159">
        <f t="shared" si="75"/>
        <v>0</v>
      </c>
    </row>
    <row r="953" spans="2:13">
      <c r="B953" t="s">
        <v>169</v>
      </c>
      <c r="C953">
        <f t="shared" si="76"/>
        <v>158</v>
      </c>
      <c r="D953" t="str">
        <f t="shared" si="73"/>
        <v>RENNES158</v>
      </c>
      <c r="E953" t="s">
        <v>170</v>
      </c>
      <c r="F953" t="str">
        <f t="shared" si="74"/>
        <v>RENNES158</v>
      </c>
      <c r="G953" t="s">
        <v>411</v>
      </c>
      <c r="I953" s="16">
        <v>2.75</v>
      </c>
      <c r="J953" s="16">
        <v>2.75</v>
      </c>
      <c r="K953" s="16">
        <v>0</v>
      </c>
      <c r="L953" s="159">
        <f t="shared" si="75"/>
        <v>1</v>
      </c>
      <c r="M953" s="159">
        <f t="shared" si="75"/>
        <v>0</v>
      </c>
    </row>
    <row r="954" spans="2:13">
      <c r="B954" t="s">
        <v>169</v>
      </c>
      <c r="C954">
        <f t="shared" si="76"/>
        <v>159</v>
      </c>
      <c r="D954" t="str">
        <f t="shared" si="73"/>
        <v>RENNES159</v>
      </c>
      <c r="E954" t="s">
        <v>170</v>
      </c>
      <c r="F954" t="str">
        <f t="shared" si="74"/>
        <v>RENNES159</v>
      </c>
      <c r="G954" t="s">
        <v>454</v>
      </c>
      <c r="I954" s="16">
        <v>2.56</v>
      </c>
      <c r="J954" s="16">
        <v>0</v>
      </c>
      <c r="K954" s="16">
        <v>0</v>
      </c>
      <c r="L954" s="159">
        <f t="shared" si="75"/>
        <v>0</v>
      </c>
      <c r="M954" s="159">
        <f t="shared" si="75"/>
        <v>0</v>
      </c>
    </row>
    <row r="955" spans="2:13">
      <c r="B955" t="s">
        <v>169</v>
      </c>
      <c r="C955">
        <f t="shared" si="76"/>
        <v>160</v>
      </c>
      <c r="D955" t="str">
        <f t="shared" si="73"/>
        <v>RENNES160</v>
      </c>
      <c r="E955" t="s">
        <v>170</v>
      </c>
      <c r="F955" t="str">
        <f t="shared" si="74"/>
        <v>RENNES160</v>
      </c>
      <c r="G955" t="s">
        <v>423</v>
      </c>
      <c r="I955" s="16">
        <v>2.4500000000000002</v>
      </c>
      <c r="J955" s="16">
        <v>2.4500000000000002</v>
      </c>
      <c r="K955" s="16">
        <v>0</v>
      </c>
      <c r="L955" s="159">
        <f t="shared" si="75"/>
        <v>1</v>
      </c>
      <c r="M955" s="159">
        <f t="shared" si="75"/>
        <v>0</v>
      </c>
    </row>
    <row r="956" spans="2:13">
      <c r="B956" t="s">
        <v>169</v>
      </c>
      <c r="C956">
        <f t="shared" si="76"/>
        <v>161</v>
      </c>
      <c r="D956" t="str">
        <f t="shared" si="73"/>
        <v>RENNES161</v>
      </c>
      <c r="E956" t="s">
        <v>170</v>
      </c>
      <c r="F956" t="str">
        <f t="shared" si="74"/>
        <v>RENNES161</v>
      </c>
      <c r="G956" t="s">
        <v>366</v>
      </c>
      <c r="I956" s="16">
        <v>2.2999999999999998</v>
      </c>
      <c r="J956" s="16">
        <v>0</v>
      </c>
      <c r="K956" s="16">
        <v>0</v>
      </c>
      <c r="L956" s="159">
        <f t="shared" si="75"/>
        <v>0</v>
      </c>
      <c r="M956" s="159">
        <f t="shared" si="75"/>
        <v>0</v>
      </c>
    </row>
    <row r="957" spans="2:13">
      <c r="B957" t="s">
        <v>173</v>
      </c>
      <c r="C957">
        <f t="shared" ref="C957:C988" si="77">RANK(I957,$I$956:$I$1133,0)</f>
        <v>1</v>
      </c>
      <c r="D957" t="str">
        <f t="shared" si="73"/>
        <v>BORDEAUX1</v>
      </c>
      <c r="E957" t="s">
        <v>1299</v>
      </c>
      <c r="F957" t="str">
        <f t="shared" si="74"/>
        <v>BORDEAUX1</v>
      </c>
      <c r="G957" t="s">
        <v>219</v>
      </c>
      <c r="H957" t="s">
        <v>912</v>
      </c>
      <c r="I957" s="16">
        <v>2326.48</v>
      </c>
      <c r="J957" s="16">
        <v>190.3</v>
      </c>
      <c r="K957" s="16">
        <v>1941.42</v>
      </c>
      <c r="L957" s="159">
        <f t="shared" si="75"/>
        <v>8.1797393487156561E-2</v>
      </c>
      <c r="M957" s="159">
        <f t="shared" si="75"/>
        <v>0.83448815377738039</v>
      </c>
    </row>
    <row r="958" spans="2:13">
      <c r="B958" t="s">
        <v>173</v>
      </c>
      <c r="C958">
        <f t="shared" si="77"/>
        <v>2</v>
      </c>
      <c r="D958" t="str">
        <f t="shared" si="73"/>
        <v>BORDEAUX2</v>
      </c>
      <c r="E958" t="s">
        <v>1299</v>
      </c>
      <c r="F958" t="str">
        <f t="shared" si="74"/>
        <v>BORDEAUX2</v>
      </c>
      <c r="G958" t="s">
        <v>225</v>
      </c>
      <c r="H958" t="s">
        <v>1779</v>
      </c>
      <c r="I958" s="16">
        <v>1688.89</v>
      </c>
      <c r="J958" s="16">
        <v>473.5</v>
      </c>
      <c r="K958" s="16">
        <v>277.51</v>
      </c>
      <c r="L958" s="159">
        <f t="shared" si="75"/>
        <v>0.28036165765680415</v>
      </c>
      <c r="M958" s="159">
        <f t="shared" si="75"/>
        <v>0.16431502347695823</v>
      </c>
    </row>
    <row r="959" spans="2:13">
      <c r="B959" t="s">
        <v>173</v>
      </c>
      <c r="C959">
        <f t="shared" si="77"/>
        <v>3</v>
      </c>
      <c r="D959" t="str">
        <f t="shared" si="73"/>
        <v>BORDEAUX3</v>
      </c>
      <c r="E959" t="s">
        <v>1299</v>
      </c>
      <c r="F959" t="str">
        <f t="shared" si="74"/>
        <v>BORDEAUX3</v>
      </c>
      <c r="G959" t="s">
        <v>208</v>
      </c>
      <c r="H959" t="s">
        <v>907</v>
      </c>
      <c r="I959" s="16">
        <v>1449.13</v>
      </c>
      <c r="J959" s="16">
        <v>303.33999999999997</v>
      </c>
      <c r="K959" s="16">
        <v>188.04</v>
      </c>
      <c r="L959" s="159">
        <f t="shared" si="75"/>
        <v>0.20932559535721429</v>
      </c>
      <c r="M959" s="159">
        <f t="shared" si="75"/>
        <v>0.12976061498968344</v>
      </c>
    </row>
    <row r="960" spans="2:13">
      <c r="B960" t="s">
        <v>173</v>
      </c>
      <c r="C960">
        <f t="shared" si="77"/>
        <v>4</v>
      </c>
      <c r="D960" t="str">
        <f t="shared" si="73"/>
        <v>BORDEAUX4</v>
      </c>
      <c r="E960" t="s">
        <v>1299</v>
      </c>
      <c r="F960" t="str">
        <f t="shared" si="74"/>
        <v>BORDEAUX4</v>
      </c>
      <c r="G960" t="s">
        <v>221</v>
      </c>
      <c r="H960" t="s">
        <v>914</v>
      </c>
      <c r="I960" s="16">
        <v>1175.83</v>
      </c>
      <c r="J960" s="16">
        <v>66.67</v>
      </c>
      <c r="K960" s="16">
        <v>1014.06</v>
      </c>
      <c r="L960" s="159">
        <f t="shared" si="75"/>
        <v>5.6700373353290874E-2</v>
      </c>
      <c r="M960" s="159">
        <f t="shared" si="75"/>
        <v>0.86242058801017152</v>
      </c>
    </row>
    <row r="961" spans="2:13">
      <c r="B961" t="s">
        <v>173</v>
      </c>
      <c r="C961">
        <f t="shared" si="77"/>
        <v>5</v>
      </c>
      <c r="D961" t="str">
        <f t="shared" si="73"/>
        <v>BORDEAUX5</v>
      </c>
      <c r="E961" t="s">
        <v>1299</v>
      </c>
      <c r="F961" t="str">
        <f t="shared" si="74"/>
        <v>BORDEAUX5</v>
      </c>
      <c r="G961" t="s">
        <v>216</v>
      </c>
      <c r="H961" t="s">
        <v>910</v>
      </c>
      <c r="I961" s="16">
        <v>1092.6199999999999</v>
      </c>
      <c r="J961" s="16">
        <v>708.16</v>
      </c>
      <c r="K961" s="16">
        <v>124.63</v>
      </c>
      <c r="L961" s="159">
        <f t="shared" si="75"/>
        <v>0.64813018249711707</v>
      </c>
      <c r="M961" s="159">
        <f t="shared" si="75"/>
        <v>0.11406527429481431</v>
      </c>
    </row>
    <row r="962" spans="2:13">
      <c r="B962" t="s">
        <v>173</v>
      </c>
      <c r="C962">
        <f t="shared" si="77"/>
        <v>6</v>
      </c>
      <c r="D962" t="str">
        <f t="shared" ref="D962:D1025" si="78">CONCATENATE(E962,C962)</f>
        <v>BORDEAUX6</v>
      </c>
      <c r="E962" t="s">
        <v>1299</v>
      </c>
      <c r="F962" t="str">
        <f t="shared" si="74"/>
        <v>BORDEAUX6</v>
      </c>
      <c r="G962" t="s">
        <v>242</v>
      </c>
      <c r="H962" t="s">
        <v>243</v>
      </c>
      <c r="I962" s="16">
        <v>933.4</v>
      </c>
      <c r="J962" s="16">
        <v>220.9</v>
      </c>
      <c r="K962" s="16">
        <v>200</v>
      </c>
      <c r="L962" s="159">
        <f t="shared" si="75"/>
        <v>0.23666166702378402</v>
      </c>
      <c r="M962" s="159">
        <f t="shared" si="75"/>
        <v>0.21427040925648169</v>
      </c>
    </row>
    <row r="963" spans="2:13">
      <c r="B963" t="s">
        <v>173</v>
      </c>
      <c r="C963">
        <f t="shared" si="77"/>
        <v>7</v>
      </c>
      <c r="D963" t="str">
        <f t="shared" si="78"/>
        <v>BORDEAUX7</v>
      </c>
      <c r="E963" t="s">
        <v>1299</v>
      </c>
      <c r="F963" t="str">
        <f t="shared" ref="F963:F1026" si="79">D963</f>
        <v>BORDEAUX7</v>
      </c>
      <c r="G963" t="s">
        <v>223</v>
      </c>
      <c r="H963" t="s">
        <v>916</v>
      </c>
      <c r="I963" s="16">
        <v>831.69</v>
      </c>
      <c r="J963" s="16">
        <v>214.98</v>
      </c>
      <c r="K963" s="16">
        <v>489.95</v>
      </c>
      <c r="L963" s="159">
        <f t="shared" ref="L963:M1026" si="80">J963/$I963</f>
        <v>0.25848573386718604</v>
      </c>
      <c r="M963" s="159">
        <f t="shared" si="80"/>
        <v>0.58910170856929855</v>
      </c>
    </row>
    <row r="964" spans="2:13">
      <c r="B964" t="s">
        <v>173</v>
      </c>
      <c r="C964">
        <f t="shared" si="77"/>
        <v>8</v>
      </c>
      <c r="D964" t="str">
        <f t="shared" si="78"/>
        <v>BORDEAUX8</v>
      </c>
      <c r="E964" t="s">
        <v>1299</v>
      </c>
      <c r="F964" t="str">
        <f t="shared" si="79"/>
        <v>BORDEAUX8</v>
      </c>
      <c r="G964" t="s">
        <v>220</v>
      </c>
      <c r="H964" t="s">
        <v>913</v>
      </c>
      <c r="I964" s="16">
        <v>815.9</v>
      </c>
      <c r="J964" s="16">
        <v>277.12</v>
      </c>
      <c r="K964" s="16">
        <v>306.14</v>
      </c>
      <c r="L964" s="159">
        <f t="shared" si="80"/>
        <v>0.33964946684642727</v>
      </c>
      <c r="M964" s="159">
        <f t="shared" si="80"/>
        <v>0.37521755117048655</v>
      </c>
    </row>
    <row r="965" spans="2:13">
      <c r="B965" t="s">
        <v>173</v>
      </c>
      <c r="C965">
        <f t="shared" si="77"/>
        <v>9</v>
      </c>
      <c r="D965" t="str">
        <f t="shared" si="78"/>
        <v>BORDEAUX9</v>
      </c>
      <c r="E965" t="s">
        <v>1299</v>
      </c>
      <c r="F965" t="str">
        <f t="shared" si="79"/>
        <v>BORDEAUX9</v>
      </c>
      <c r="G965" t="s">
        <v>354</v>
      </c>
      <c r="H965" t="s">
        <v>942</v>
      </c>
      <c r="I965" s="16">
        <v>758.9</v>
      </c>
      <c r="J965" s="16">
        <v>294.91000000000003</v>
      </c>
      <c r="K965" s="16">
        <v>0</v>
      </c>
      <c r="L965" s="159">
        <f t="shared" si="80"/>
        <v>0.38860192383713271</v>
      </c>
      <c r="M965" s="159">
        <f t="shared" si="80"/>
        <v>0</v>
      </c>
    </row>
    <row r="966" spans="2:13">
      <c r="B966" t="s">
        <v>173</v>
      </c>
      <c r="C966">
        <f t="shared" si="77"/>
        <v>10</v>
      </c>
      <c r="D966" t="str">
        <f t="shared" si="78"/>
        <v>BORDEAUX10</v>
      </c>
      <c r="E966" t="s">
        <v>1299</v>
      </c>
      <c r="F966" t="str">
        <f t="shared" si="79"/>
        <v>BORDEAUX10</v>
      </c>
      <c r="G966" t="s">
        <v>207</v>
      </c>
      <c r="H966" t="s">
        <v>906</v>
      </c>
      <c r="I966" s="16">
        <v>723.9</v>
      </c>
      <c r="J966" s="16">
        <v>265.58999999999997</v>
      </c>
      <c r="K966" s="16">
        <v>226.84</v>
      </c>
      <c r="L966" s="159">
        <f t="shared" si="80"/>
        <v>0.36688769167012014</v>
      </c>
      <c r="M966" s="159">
        <f t="shared" si="80"/>
        <v>0.31335819864622189</v>
      </c>
    </row>
    <row r="967" spans="2:13">
      <c r="B967" t="s">
        <v>173</v>
      </c>
      <c r="C967">
        <f t="shared" si="77"/>
        <v>11</v>
      </c>
      <c r="D967" t="str">
        <f t="shared" si="78"/>
        <v>BORDEAUX11</v>
      </c>
      <c r="E967" t="s">
        <v>1299</v>
      </c>
      <c r="F967" t="str">
        <f t="shared" si="79"/>
        <v>BORDEAUX11</v>
      </c>
      <c r="G967" t="s">
        <v>228</v>
      </c>
      <c r="I967" s="16">
        <v>693.71</v>
      </c>
      <c r="J967" s="16">
        <v>181.37</v>
      </c>
      <c r="K967" s="16">
        <v>3.53</v>
      </c>
      <c r="L967" s="159">
        <f t="shared" si="80"/>
        <v>0.26144930878897521</v>
      </c>
      <c r="M967" s="159">
        <f t="shared" si="80"/>
        <v>5.0885816839889861E-3</v>
      </c>
    </row>
    <row r="968" spans="2:13">
      <c r="B968" t="s">
        <v>173</v>
      </c>
      <c r="C968">
        <f t="shared" si="77"/>
        <v>12</v>
      </c>
      <c r="D968" t="str">
        <f t="shared" si="78"/>
        <v>BORDEAUX12</v>
      </c>
      <c r="E968" t="s">
        <v>1299</v>
      </c>
      <c r="F968" t="str">
        <f t="shared" si="79"/>
        <v>BORDEAUX12</v>
      </c>
      <c r="G968" t="s">
        <v>224</v>
      </c>
      <c r="H968" t="s">
        <v>917</v>
      </c>
      <c r="I968" s="16">
        <v>670.06</v>
      </c>
      <c r="J968" s="16">
        <v>273.45</v>
      </c>
      <c r="K968" s="16">
        <v>95.79</v>
      </c>
      <c r="L968" s="159">
        <f t="shared" si="80"/>
        <v>0.4080977822881533</v>
      </c>
      <c r="M968" s="159">
        <f t="shared" si="80"/>
        <v>0.14295734710324451</v>
      </c>
    </row>
    <row r="969" spans="2:13">
      <c r="B969" t="s">
        <v>173</v>
      </c>
      <c r="C969">
        <f t="shared" si="77"/>
        <v>13</v>
      </c>
      <c r="D969" t="str">
        <f t="shared" si="78"/>
        <v>BORDEAUX13</v>
      </c>
      <c r="E969" t="s">
        <v>1299</v>
      </c>
      <c r="F969" t="str">
        <f t="shared" si="79"/>
        <v>BORDEAUX13</v>
      </c>
      <c r="G969" t="s">
        <v>211</v>
      </c>
      <c r="H969" t="s">
        <v>908</v>
      </c>
      <c r="I969" s="16">
        <v>658.3</v>
      </c>
      <c r="J969" s="16">
        <v>277.93</v>
      </c>
      <c r="K969" s="16">
        <v>261.10000000000002</v>
      </c>
      <c r="L969" s="159">
        <f t="shared" si="80"/>
        <v>0.4221935287862677</v>
      </c>
      <c r="M969" s="159">
        <f t="shared" si="80"/>
        <v>0.39662767735075199</v>
      </c>
    </row>
    <row r="970" spans="2:13">
      <c r="B970" t="s">
        <v>173</v>
      </c>
      <c r="C970">
        <f t="shared" si="77"/>
        <v>14</v>
      </c>
      <c r="D970" t="str">
        <f t="shared" si="78"/>
        <v>BORDEAUX14</v>
      </c>
      <c r="E970" t="s">
        <v>1299</v>
      </c>
      <c r="F970" t="str">
        <f t="shared" si="79"/>
        <v>BORDEAUX14</v>
      </c>
      <c r="G970" t="s">
        <v>235</v>
      </c>
      <c r="H970" t="s">
        <v>236</v>
      </c>
      <c r="I970" s="16">
        <v>609.16</v>
      </c>
      <c r="J970" s="16">
        <v>18.22</v>
      </c>
      <c r="K970" s="16">
        <v>468.52</v>
      </c>
      <c r="L970" s="159">
        <f t="shared" si="80"/>
        <v>2.9910040055157922E-2</v>
      </c>
      <c r="M970" s="159">
        <f t="shared" si="80"/>
        <v>0.76912469630310598</v>
      </c>
    </row>
    <row r="971" spans="2:13">
      <c r="B971" t="s">
        <v>173</v>
      </c>
      <c r="C971">
        <f t="shared" si="77"/>
        <v>15</v>
      </c>
      <c r="D971" t="str">
        <f t="shared" si="78"/>
        <v>BORDEAUX15</v>
      </c>
      <c r="E971" t="s">
        <v>1299</v>
      </c>
      <c r="F971" t="str">
        <f t="shared" si="79"/>
        <v>BORDEAUX15</v>
      </c>
      <c r="G971" t="s">
        <v>212</v>
      </c>
      <c r="H971" t="s">
        <v>909</v>
      </c>
      <c r="I971" s="16">
        <v>595.26</v>
      </c>
      <c r="J971" s="16">
        <v>11</v>
      </c>
      <c r="K971" s="16">
        <v>431.8</v>
      </c>
      <c r="L971" s="159">
        <f t="shared" si="80"/>
        <v>1.8479319961025434E-2</v>
      </c>
      <c r="M971" s="159">
        <f t="shared" si="80"/>
        <v>0.72539730537916203</v>
      </c>
    </row>
    <row r="972" spans="2:13">
      <c r="B972" t="s">
        <v>173</v>
      </c>
      <c r="C972">
        <f t="shared" si="77"/>
        <v>16</v>
      </c>
      <c r="D972" t="str">
        <f t="shared" si="78"/>
        <v>BORDEAUX16</v>
      </c>
      <c r="E972" t="s">
        <v>1299</v>
      </c>
      <c r="F972" t="str">
        <f t="shared" si="79"/>
        <v>BORDEAUX16</v>
      </c>
      <c r="G972" t="s">
        <v>234</v>
      </c>
      <c r="H972" t="s">
        <v>923</v>
      </c>
      <c r="I972" s="16">
        <v>568.52</v>
      </c>
      <c r="J972" s="16">
        <v>150.27000000000001</v>
      </c>
      <c r="K972" s="16">
        <v>74.81</v>
      </c>
      <c r="L972" s="159">
        <f t="shared" si="80"/>
        <v>0.26431787799901502</v>
      </c>
      <c r="M972" s="159">
        <f t="shared" si="80"/>
        <v>0.13158727925138958</v>
      </c>
    </row>
    <row r="973" spans="2:13">
      <c r="B973" t="s">
        <v>173</v>
      </c>
      <c r="C973">
        <f t="shared" si="77"/>
        <v>17</v>
      </c>
      <c r="D973" t="str">
        <f t="shared" si="78"/>
        <v>BORDEAUX17</v>
      </c>
      <c r="E973" t="s">
        <v>1299</v>
      </c>
      <c r="F973" t="str">
        <f t="shared" si="79"/>
        <v>BORDEAUX17</v>
      </c>
      <c r="G973" t="s">
        <v>229</v>
      </c>
      <c r="H973" t="s">
        <v>921</v>
      </c>
      <c r="I973" s="16">
        <v>562.63</v>
      </c>
      <c r="J973" s="16">
        <v>138.34</v>
      </c>
      <c r="K973" s="16">
        <v>82.09</v>
      </c>
      <c r="L973" s="159">
        <f t="shared" si="80"/>
        <v>0.24588095195776977</v>
      </c>
      <c r="M973" s="159">
        <f t="shared" si="80"/>
        <v>0.14590405772888043</v>
      </c>
    </row>
    <row r="974" spans="2:13">
      <c r="B974" t="s">
        <v>173</v>
      </c>
      <c r="C974">
        <f t="shared" si="77"/>
        <v>18</v>
      </c>
      <c r="D974" t="str">
        <f t="shared" si="78"/>
        <v>BORDEAUX18</v>
      </c>
      <c r="E974" t="s">
        <v>1299</v>
      </c>
      <c r="F974" t="str">
        <f t="shared" si="79"/>
        <v>BORDEAUX18</v>
      </c>
      <c r="G974" t="s">
        <v>334</v>
      </c>
      <c r="H974" t="s">
        <v>946</v>
      </c>
      <c r="I974" s="16">
        <v>540.04</v>
      </c>
      <c r="J974" s="16">
        <v>3.48</v>
      </c>
      <c r="K974" s="16">
        <v>527.46</v>
      </c>
      <c r="L974" s="159">
        <f t="shared" si="80"/>
        <v>6.4439671135471449E-3</v>
      </c>
      <c r="M974" s="159">
        <f t="shared" si="80"/>
        <v>0.97670542922746473</v>
      </c>
    </row>
    <row r="975" spans="2:13">
      <c r="B975" t="s">
        <v>173</v>
      </c>
      <c r="C975">
        <f t="shared" si="77"/>
        <v>19</v>
      </c>
      <c r="D975" t="str">
        <f t="shared" si="78"/>
        <v>BORDEAUX19</v>
      </c>
      <c r="E975" t="s">
        <v>1299</v>
      </c>
      <c r="F975" t="str">
        <f t="shared" si="79"/>
        <v>BORDEAUX19</v>
      </c>
      <c r="G975" t="s">
        <v>249</v>
      </c>
      <c r="I975" s="16">
        <v>539.62</v>
      </c>
      <c r="J975" s="16">
        <v>14.93</v>
      </c>
      <c r="K975" s="16">
        <v>28.3</v>
      </c>
      <c r="L975" s="159">
        <f t="shared" si="80"/>
        <v>2.7667617953374597E-2</v>
      </c>
      <c r="M975" s="159">
        <f t="shared" si="80"/>
        <v>5.2444312664467592E-2</v>
      </c>
    </row>
    <row r="976" spans="2:13">
      <c r="B976" t="s">
        <v>173</v>
      </c>
      <c r="C976">
        <f t="shared" si="77"/>
        <v>20</v>
      </c>
      <c r="D976" t="str">
        <f t="shared" si="78"/>
        <v>BORDEAUX20</v>
      </c>
      <c r="E976" t="s">
        <v>1299</v>
      </c>
      <c r="F976" t="str">
        <f t="shared" si="79"/>
        <v>BORDEAUX20</v>
      </c>
      <c r="G976" t="s">
        <v>214</v>
      </c>
      <c r="H976" t="s">
        <v>215</v>
      </c>
      <c r="I976" s="16">
        <v>510.1</v>
      </c>
      <c r="J976" s="16">
        <v>261.57</v>
      </c>
      <c r="K976" s="16">
        <v>102.05</v>
      </c>
      <c r="L976" s="159">
        <f t="shared" si="80"/>
        <v>0.5127818074887277</v>
      </c>
      <c r="M976" s="159">
        <f t="shared" si="80"/>
        <v>0.2000588119976475</v>
      </c>
    </row>
    <row r="977" spans="2:13">
      <c r="B977" t="s">
        <v>173</v>
      </c>
      <c r="C977">
        <f t="shared" si="77"/>
        <v>21</v>
      </c>
      <c r="D977" t="str">
        <f t="shared" si="78"/>
        <v>BORDEAUX21</v>
      </c>
      <c r="E977" t="s">
        <v>1299</v>
      </c>
      <c r="F977" t="str">
        <f t="shared" si="79"/>
        <v>BORDEAUX21</v>
      </c>
      <c r="G977" t="s">
        <v>238</v>
      </c>
      <c r="H977" t="s">
        <v>924</v>
      </c>
      <c r="I977" s="16">
        <v>500.44</v>
      </c>
      <c r="J977" s="16">
        <v>103.84</v>
      </c>
      <c r="K977" s="16">
        <v>18.66</v>
      </c>
      <c r="L977" s="159">
        <f t="shared" si="80"/>
        <v>0.20749740228598834</v>
      </c>
      <c r="M977" s="159">
        <f t="shared" si="80"/>
        <v>3.7287187275197829E-2</v>
      </c>
    </row>
    <row r="978" spans="2:13">
      <c r="B978" t="s">
        <v>173</v>
      </c>
      <c r="C978">
        <f t="shared" si="77"/>
        <v>22</v>
      </c>
      <c r="D978" t="str">
        <f t="shared" si="78"/>
        <v>BORDEAUX22</v>
      </c>
      <c r="E978" t="s">
        <v>1299</v>
      </c>
      <c r="F978" t="str">
        <f t="shared" si="79"/>
        <v>BORDEAUX22</v>
      </c>
      <c r="G978" t="s">
        <v>274</v>
      </c>
      <c r="H978" t="s">
        <v>275</v>
      </c>
      <c r="I978" s="16">
        <v>419.57</v>
      </c>
      <c r="J978" s="16">
        <v>81.540000000000006</v>
      </c>
      <c r="K978" s="16">
        <v>294.98</v>
      </c>
      <c r="L978" s="159">
        <f t="shared" si="80"/>
        <v>0.19434182615534953</v>
      </c>
      <c r="M978" s="159">
        <f t="shared" si="80"/>
        <v>0.70305312581929125</v>
      </c>
    </row>
    <row r="979" spans="2:13">
      <c r="B979" t="s">
        <v>173</v>
      </c>
      <c r="C979">
        <f t="shared" si="77"/>
        <v>23</v>
      </c>
      <c r="D979" t="str">
        <f t="shared" si="78"/>
        <v>BORDEAUX23</v>
      </c>
      <c r="E979" t="s">
        <v>1299</v>
      </c>
      <c r="F979" t="str">
        <f t="shared" si="79"/>
        <v>BORDEAUX23</v>
      </c>
      <c r="G979" t="s">
        <v>232</v>
      </c>
      <c r="H979" t="s">
        <v>922</v>
      </c>
      <c r="I979" s="16">
        <v>408.17</v>
      </c>
      <c r="J979" s="16">
        <v>231.82</v>
      </c>
      <c r="K979" s="16">
        <v>50.19</v>
      </c>
      <c r="L979" s="159">
        <f t="shared" si="80"/>
        <v>0.56794962883112421</v>
      </c>
      <c r="M979" s="159">
        <f t="shared" si="80"/>
        <v>0.12296347110272679</v>
      </c>
    </row>
    <row r="980" spans="2:13">
      <c r="B980" t="s">
        <v>173</v>
      </c>
      <c r="C980">
        <f t="shared" si="77"/>
        <v>24</v>
      </c>
      <c r="D980" t="str">
        <f t="shared" si="78"/>
        <v>BORDEAUX24</v>
      </c>
      <c r="E980" t="s">
        <v>1299</v>
      </c>
      <c r="F980" t="str">
        <f t="shared" si="79"/>
        <v>BORDEAUX24</v>
      </c>
      <c r="G980" t="s">
        <v>218</v>
      </c>
      <c r="H980" t="s">
        <v>911</v>
      </c>
      <c r="I980" s="16">
        <v>395.23</v>
      </c>
      <c r="J980" s="16">
        <v>244.73</v>
      </c>
      <c r="K980" s="16">
        <v>56.22</v>
      </c>
      <c r="L980" s="159">
        <f t="shared" si="80"/>
        <v>0.61920906813754006</v>
      </c>
      <c r="M980" s="159">
        <f t="shared" si="80"/>
        <v>0.14224628697214278</v>
      </c>
    </row>
    <row r="981" spans="2:13">
      <c r="B981" t="s">
        <v>173</v>
      </c>
      <c r="C981">
        <f t="shared" si="77"/>
        <v>25</v>
      </c>
      <c r="D981" t="str">
        <f t="shared" si="78"/>
        <v>BORDEAUX25</v>
      </c>
      <c r="E981" t="s">
        <v>1299</v>
      </c>
      <c r="F981" t="str">
        <f t="shared" si="79"/>
        <v>BORDEAUX25</v>
      </c>
      <c r="G981" t="s">
        <v>213</v>
      </c>
      <c r="H981" t="s">
        <v>919</v>
      </c>
      <c r="I981" s="16">
        <v>395.03</v>
      </c>
      <c r="J981" s="16">
        <v>74.38</v>
      </c>
      <c r="K981" s="16">
        <v>90.81</v>
      </c>
      <c r="L981" s="159">
        <f t="shared" si="80"/>
        <v>0.18828949700022785</v>
      </c>
      <c r="M981" s="159">
        <f t="shared" si="80"/>
        <v>0.2298812748398856</v>
      </c>
    </row>
    <row r="982" spans="2:13">
      <c r="B982" t="s">
        <v>173</v>
      </c>
      <c r="C982">
        <f t="shared" si="77"/>
        <v>26</v>
      </c>
      <c r="D982" t="str">
        <f t="shared" si="78"/>
        <v>BORDEAUX26</v>
      </c>
      <c r="E982" t="s">
        <v>1299</v>
      </c>
      <c r="F982" t="str">
        <f t="shared" si="79"/>
        <v>BORDEAUX26</v>
      </c>
      <c r="G982" t="s">
        <v>209</v>
      </c>
      <c r="H982" t="s">
        <v>210</v>
      </c>
      <c r="I982" s="16">
        <v>355.03</v>
      </c>
      <c r="J982" s="16">
        <v>114.4</v>
      </c>
      <c r="K982" s="16">
        <v>208.45</v>
      </c>
      <c r="L982" s="159">
        <f t="shared" si="80"/>
        <v>0.32222629073599418</v>
      </c>
      <c r="M982" s="159">
        <f t="shared" si="80"/>
        <v>0.58713348167760471</v>
      </c>
    </row>
    <row r="983" spans="2:13">
      <c r="B983" t="s">
        <v>173</v>
      </c>
      <c r="C983">
        <f t="shared" si="77"/>
        <v>27</v>
      </c>
      <c r="D983" t="str">
        <f t="shared" si="78"/>
        <v>BORDEAUX27</v>
      </c>
      <c r="E983" t="s">
        <v>1299</v>
      </c>
      <c r="F983" t="str">
        <f t="shared" si="79"/>
        <v>BORDEAUX27</v>
      </c>
      <c r="G983" t="s">
        <v>251</v>
      </c>
      <c r="H983" t="s">
        <v>929</v>
      </c>
      <c r="I983" s="16">
        <v>315.20999999999998</v>
      </c>
      <c r="J983" s="16">
        <v>208.14</v>
      </c>
      <c r="K983" s="16">
        <v>54.66</v>
      </c>
      <c r="L983" s="159">
        <f t="shared" si="80"/>
        <v>0.66032169030170362</v>
      </c>
      <c r="M983" s="159">
        <f t="shared" si="80"/>
        <v>0.17340820405443991</v>
      </c>
    </row>
    <row r="984" spans="2:13">
      <c r="B984" t="s">
        <v>173</v>
      </c>
      <c r="C984">
        <f t="shared" si="77"/>
        <v>28</v>
      </c>
      <c r="D984" t="str">
        <f t="shared" si="78"/>
        <v>BORDEAUX28</v>
      </c>
      <c r="E984" t="s">
        <v>1299</v>
      </c>
      <c r="F984" t="str">
        <f t="shared" si="79"/>
        <v>BORDEAUX28</v>
      </c>
      <c r="G984" t="s">
        <v>222</v>
      </c>
      <c r="H984" t="s">
        <v>915</v>
      </c>
      <c r="I984" s="16">
        <v>312.66000000000003</v>
      </c>
      <c r="J984" s="16">
        <v>53.72</v>
      </c>
      <c r="K984" s="16">
        <v>204.84</v>
      </c>
      <c r="L984" s="159">
        <f t="shared" si="80"/>
        <v>0.17181603019254141</v>
      </c>
      <c r="M984" s="159">
        <f t="shared" si="80"/>
        <v>0.65515256188831317</v>
      </c>
    </row>
    <row r="985" spans="2:13">
      <c r="B985" t="s">
        <v>173</v>
      </c>
      <c r="C985">
        <f t="shared" si="77"/>
        <v>29</v>
      </c>
      <c r="D985" t="str">
        <f t="shared" si="78"/>
        <v>BORDEAUX29</v>
      </c>
      <c r="E985" t="s">
        <v>1299</v>
      </c>
      <c r="F985" t="str">
        <f t="shared" si="79"/>
        <v>BORDEAUX29</v>
      </c>
      <c r="G985" t="s">
        <v>290</v>
      </c>
      <c r="H985" t="s">
        <v>291</v>
      </c>
      <c r="I985" s="16">
        <v>304.32</v>
      </c>
      <c r="J985" s="16">
        <v>95.17</v>
      </c>
      <c r="K985" s="16">
        <v>0</v>
      </c>
      <c r="L985" s="159">
        <f t="shared" si="80"/>
        <v>0.31273002103049424</v>
      </c>
      <c r="M985" s="159">
        <f t="shared" si="80"/>
        <v>0</v>
      </c>
    </row>
    <row r="986" spans="2:13">
      <c r="B986" t="s">
        <v>173</v>
      </c>
      <c r="C986">
        <f t="shared" si="77"/>
        <v>30</v>
      </c>
      <c r="D986" t="str">
        <f t="shared" si="78"/>
        <v>BORDEAUX30</v>
      </c>
      <c r="E986" t="s">
        <v>1299</v>
      </c>
      <c r="F986" t="str">
        <f t="shared" si="79"/>
        <v>BORDEAUX30</v>
      </c>
      <c r="G986" t="s">
        <v>303</v>
      </c>
      <c r="H986" t="s">
        <v>936</v>
      </c>
      <c r="I986" s="16">
        <v>295.38</v>
      </c>
      <c r="J986" s="16">
        <v>76.11</v>
      </c>
      <c r="K986" s="16">
        <v>0</v>
      </c>
      <c r="L986" s="159">
        <f t="shared" si="80"/>
        <v>0.25766808856388379</v>
      </c>
      <c r="M986" s="159">
        <f t="shared" si="80"/>
        <v>0</v>
      </c>
    </row>
    <row r="987" spans="2:13">
      <c r="B987" t="s">
        <v>173</v>
      </c>
      <c r="C987">
        <f t="shared" si="77"/>
        <v>31</v>
      </c>
      <c r="D987" t="str">
        <f t="shared" si="78"/>
        <v>BORDEAUX31</v>
      </c>
      <c r="E987" t="s">
        <v>1299</v>
      </c>
      <c r="F987" t="str">
        <f t="shared" si="79"/>
        <v>BORDEAUX31</v>
      </c>
      <c r="G987" t="s">
        <v>241</v>
      </c>
      <c r="H987" t="s">
        <v>927</v>
      </c>
      <c r="I987" s="16">
        <v>294.35000000000002</v>
      </c>
      <c r="J987" s="16">
        <v>104.82</v>
      </c>
      <c r="K987" s="16">
        <v>74.599999999999994</v>
      </c>
      <c r="L987" s="159">
        <f t="shared" si="80"/>
        <v>0.35610667572617627</v>
      </c>
      <c r="M987" s="159">
        <f t="shared" si="80"/>
        <v>0.25343978257176825</v>
      </c>
    </row>
    <row r="988" spans="2:13">
      <c r="B988" t="s">
        <v>173</v>
      </c>
      <c r="C988">
        <f t="shared" si="77"/>
        <v>32</v>
      </c>
      <c r="D988" t="str">
        <f t="shared" si="78"/>
        <v>BORDEAUX32</v>
      </c>
      <c r="E988" t="s">
        <v>1299</v>
      </c>
      <c r="F988" t="str">
        <f t="shared" si="79"/>
        <v>BORDEAUX32</v>
      </c>
      <c r="G988" t="s">
        <v>298</v>
      </c>
      <c r="I988" s="16">
        <v>288.85000000000002</v>
      </c>
      <c r="J988" s="16">
        <v>169.18</v>
      </c>
      <c r="K988" s="16">
        <v>0</v>
      </c>
      <c r="L988" s="159">
        <f t="shared" si="80"/>
        <v>0.58570192141249777</v>
      </c>
      <c r="M988" s="159">
        <f t="shared" si="80"/>
        <v>0</v>
      </c>
    </row>
    <row r="989" spans="2:13">
      <c r="B989" t="s">
        <v>173</v>
      </c>
      <c r="C989">
        <f t="shared" ref="C989:C1020" si="81">RANK(I989,$I$956:$I$1133,0)</f>
        <v>33</v>
      </c>
      <c r="D989" t="str">
        <f t="shared" si="78"/>
        <v>BORDEAUX33</v>
      </c>
      <c r="E989" t="s">
        <v>1299</v>
      </c>
      <c r="F989" t="str">
        <f t="shared" si="79"/>
        <v>BORDEAUX33</v>
      </c>
      <c r="G989" t="s">
        <v>260</v>
      </c>
      <c r="H989" t="s">
        <v>932</v>
      </c>
      <c r="I989" s="16">
        <v>285.91000000000003</v>
      </c>
      <c r="J989" s="16">
        <v>114.35</v>
      </c>
      <c r="K989" s="16">
        <v>65.89</v>
      </c>
      <c r="L989" s="159">
        <f t="shared" si="80"/>
        <v>0.39995103354202366</v>
      </c>
      <c r="M989" s="159">
        <f t="shared" si="80"/>
        <v>0.23045713686125002</v>
      </c>
    </row>
    <row r="990" spans="2:13">
      <c r="B990" t="s">
        <v>173</v>
      </c>
      <c r="C990">
        <f t="shared" si="81"/>
        <v>34</v>
      </c>
      <c r="D990" t="str">
        <f t="shared" si="78"/>
        <v>BORDEAUX34</v>
      </c>
      <c r="E990" t="s">
        <v>1299</v>
      </c>
      <c r="F990" t="str">
        <f t="shared" si="79"/>
        <v>BORDEAUX34</v>
      </c>
      <c r="G990" t="s">
        <v>246</v>
      </c>
      <c r="H990" t="s">
        <v>928</v>
      </c>
      <c r="I990" s="16">
        <v>284.98</v>
      </c>
      <c r="J990" s="16">
        <v>81.19</v>
      </c>
      <c r="K990" s="16">
        <v>6.59</v>
      </c>
      <c r="L990" s="159">
        <f t="shared" si="80"/>
        <v>0.28489718576742223</v>
      </c>
      <c r="M990" s="159">
        <f t="shared" si="80"/>
        <v>2.3124429784546281E-2</v>
      </c>
    </row>
    <row r="991" spans="2:13">
      <c r="B991" t="s">
        <v>173</v>
      </c>
      <c r="C991">
        <f t="shared" si="81"/>
        <v>35</v>
      </c>
      <c r="D991" t="str">
        <f t="shared" si="78"/>
        <v>BORDEAUX35</v>
      </c>
      <c r="E991" t="s">
        <v>1299</v>
      </c>
      <c r="F991" t="str">
        <f t="shared" si="79"/>
        <v>BORDEAUX35</v>
      </c>
      <c r="G991" t="s">
        <v>266</v>
      </c>
      <c r="H991" t="s">
        <v>267</v>
      </c>
      <c r="I991" s="16">
        <v>272.64999999999998</v>
      </c>
      <c r="J991" s="16">
        <v>62.61</v>
      </c>
      <c r="K991" s="16">
        <v>16.73</v>
      </c>
      <c r="L991" s="159">
        <f t="shared" si="80"/>
        <v>0.22963506326792593</v>
      </c>
      <c r="M991" s="159">
        <f t="shared" si="80"/>
        <v>6.1360718870346602E-2</v>
      </c>
    </row>
    <row r="992" spans="2:13">
      <c r="B992" t="s">
        <v>173</v>
      </c>
      <c r="C992">
        <f t="shared" si="81"/>
        <v>36</v>
      </c>
      <c r="D992" t="str">
        <f t="shared" si="78"/>
        <v>BORDEAUX36</v>
      </c>
      <c r="E992" t="s">
        <v>1299</v>
      </c>
      <c r="F992" t="str">
        <f t="shared" si="79"/>
        <v>BORDEAUX36</v>
      </c>
      <c r="G992" t="s">
        <v>230</v>
      </c>
      <c r="H992" t="s">
        <v>231</v>
      </c>
      <c r="I992" s="16">
        <v>254.73</v>
      </c>
      <c r="J992" s="16">
        <v>141.46</v>
      </c>
      <c r="K992" s="16">
        <v>63.8</v>
      </c>
      <c r="L992" s="159">
        <f t="shared" si="80"/>
        <v>0.55533309778981677</v>
      </c>
      <c r="M992" s="159">
        <f t="shared" si="80"/>
        <v>0.25046127272013502</v>
      </c>
    </row>
    <row r="993" spans="2:13">
      <c r="B993" t="s">
        <v>173</v>
      </c>
      <c r="C993">
        <f t="shared" si="81"/>
        <v>37</v>
      </c>
      <c r="D993" t="str">
        <f t="shared" si="78"/>
        <v>BORDEAUX37</v>
      </c>
      <c r="E993" t="s">
        <v>1299</v>
      </c>
      <c r="F993" t="str">
        <f t="shared" si="79"/>
        <v>BORDEAUX37</v>
      </c>
      <c r="G993" t="s">
        <v>284</v>
      </c>
      <c r="I993" s="16">
        <v>252.39</v>
      </c>
      <c r="J993" s="16">
        <v>164.32</v>
      </c>
      <c r="K993" s="16">
        <v>55.4</v>
      </c>
      <c r="L993" s="159">
        <f t="shared" si="80"/>
        <v>0.65105590554300885</v>
      </c>
      <c r="M993" s="159">
        <f t="shared" si="80"/>
        <v>0.21950156503823448</v>
      </c>
    </row>
    <row r="994" spans="2:13">
      <c r="B994" t="s">
        <v>173</v>
      </c>
      <c r="C994">
        <f t="shared" si="81"/>
        <v>38</v>
      </c>
      <c r="D994" t="str">
        <f t="shared" si="78"/>
        <v>BORDEAUX38</v>
      </c>
      <c r="E994" t="s">
        <v>1299</v>
      </c>
      <c r="F994" t="str">
        <f t="shared" si="79"/>
        <v>BORDEAUX38</v>
      </c>
      <c r="G994" t="s">
        <v>276</v>
      </c>
      <c r="H994" t="s">
        <v>933</v>
      </c>
      <c r="I994" s="16">
        <v>247.24</v>
      </c>
      <c r="J994" s="16">
        <v>108.76</v>
      </c>
      <c r="K994" s="16">
        <v>18.920000000000002</v>
      </c>
      <c r="L994" s="159">
        <f t="shared" si="80"/>
        <v>0.43989645688399936</v>
      </c>
      <c r="M994" s="159">
        <f t="shared" si="80"/>
        <v>7.6524834169228284E-2</v>
      </c>
    </row>
    <row r="995" spans="2:13">
      <c r="B995" t="s">
        <v>173</v>
      </c>
      <c r="C995">
        <f t="shared" si="81"/>
        <v>39</v>
      </c>
      <c r="D995" t="str">
        <f t="shared" si="78"/>
        <v>BORDEAUX39</v>
      </c>
      <c r="E995" t="s">
        <v>1299</v>
      </c>
      <c r="F995" t="str">
        <f t="shared" si="79"/>
        <v>BORDEAUX39</v>
      </c>
      <c r="G995" t="s">
        <v>247</v>
      </c>
      <c r="H995" t="s">
        <v>248</v>
      </c>
      <c r="I995" s="16">
        <v>233</v>
      </c>
      <c r="J995" s="16">
        <v>63.7</v>
      </c>
      <c r="K995" s="16">
        <v>4.5</v>
      </c>
      <c r="L995" s="159">
        <f t="shared" si="80"/>
        <v>0.27339055793991418</v>
      </c>
      <c r="M995" s="159">
        <f t="shared" si="80"/>
        <v>1.9313304721030045E-2</v>
      </c>
    </row>
    <row r="996" spans="2:13">
      <c r="B996" t="s">
        <v>173</v>
      </c>
      <c r="C996">
        <f t="shared" si="81"/>
        <v>40</v>
      </c>
      <c r="D996" t="str">
        <f t="shared" si="78"/>
        <v>BORDEAUX40</v>
      </c>
      <c r="E996" t="s">
        <v>1299</v>
      </c>
      <c r="F996" t="str">
        <f t="shared" si="79"/>
        <v>BORDEAUX40</v>
      </c>
      <c r="G996" t="s">
        <v>240</v>
      </c>
      <c r="H996" t="s">
        <v>926</v>
      </c>
      <c r="I996" s="16">
        <v>231.76</v>
      </c>
      <c r="J996" s="16">
        <v>20.54</v>
      </c>
      <c r="K996" s="16">
        <v>15.61</v>
      </c>
      <c r="L996" s="159">
        <f t="shared" si="80"/>
        <v>8.8626164998274082E-2</v>
      </c>
      <c r="M996" s="159">
        <f t="shared" si="80"/>
        <v>6.7354159475319295E-2</v>
      </c>
    </row>
    <row r="997" spans="2:13">
      <c r="B997" t="s">
        <v>173</v>
      </c>
      <c r="C997">
        <f t="shared" si="81"/>
        <v>41</v>
      </c>
      <c r="D997" t="str">
        <f t="shared" si="78"/>
        <v>BORDEAUX41</v>
      </c>
      <c r="E997" t="s">
        <v>1299</v>
      </c>
      <c r="F997" t="str">
        <f t="shared" si="79"/>
        <v>BORDEAUX41</v>
      </c>
      <c r="G997" t="s">
        <v>270</v>
      </c>
      <c r="I997" s="16">
        <v>219.07</v>
      </c>
      <c r="J997" s="16">
        <v>55.3</v>
      </c>
      <c r="K997" s="16">
        <v>6.89</v>
      </c>
      <c r="L997" s="159">
        <f t="shared" si="80"/>
        <v>0.25243072990368376</v>
      </c>
      <c r="M997" s="159">
        <f t="shared" si="80"/>
        <v>3.1451134340621717E-2</v>
      </c>
    </row>
    <row r="998" spans="2:13">
      <c r="B998" t="s">
        <v>173</v>
      </c>
      <c r="C998">
        <f t="shared" si="81"/>
        <v>42</v>
      </c>
      <c r="D998" t="str">
        <f t="shared" si="78"/>
        <v>BORDEAUX42</v>
      </c>
      <c r="E998" t="s">
        <v>1299</v>
      </c>
      <c r="F998" t="str">
        <f t="shared" si="79"/>
        <v>BORDEAUX42</v>
      </c>
      <c r="G998" t="s">
        <v>289</v>
      </c>
      <c r="H998" t="s">
        <v>935</v>
      </c>
      <c r="I998" s="16">
        <v>207.12</v>
      </c>
      <c r="J998" s="16">
        <v>102.82</v>
      </c>
      <c r="K998" s="16">
        <v>13.21</v>
      </c>
      <c r="L998" s="159">
        <f t="shared" si="80"/>
        <v>0.49642719196600998</v>
      </c>
      <c r="M998" s="159">
        <f t="shared" si="80"/>
        <v>6.3779451525685593E-2</v>
      </c>
    </row>
    <row r="999" spans="2:13">
      <c r="B999" t="s">
        <v>173</v>
      </c>
      <c r="C999">
        <f t="shared" si="81"/>
        <v>43</v>
      </c>
      <c r="D999" t="str">
        <f t="shared" si="78"/>
        <v>BORDEAUX43</v>
      </c>
      <c r="E999" t="s">
        <v>1299</v>
      </c>
      <c r="F999" t="str">
        <f t="shared" si="79"/>
        <v>BORDEAUX43</v>
      </c>
      <c r="G999" t="s">
        <v>268</v>
      </c>
      <c r="H999" t="s">
        <v>269</v>
      </c>
      <c r="I999" s="16">
        <v>206.46</v>
      </c>
      <c r="J999" s="16">
        <v>162.93</v>
      </c>
      <c r="K999" s="16">
        <v>11.7</v>
      </c>
      <c r="L999" s="159">
        <f t="shared" si="80"/>
        <v>0.78916012786980527</v>
      </c>
      <c r="M999" s="159">
        <f t="shared" si="80"/>
        <v>5.6669572798605052E-2</v>
      </c>
    </row>
    <row r="1000" spans="2:13">
      <c r="B1000" t="s">
        <v>173</v>
      </c>
      <c r="C1000">
        <f t="shared" si="81"/>
        <v>44</v>
      </c>
      <c r="D1000" t="str">
        <f t="shared" si="78"/>
        <v>BORDEAUX44</v>
      </c>
      <c r="E1000" t="s">
        <v>1299</v>
      </c>
      <c r="F1000" t="str">
        <f t="shared" si="79"/>
        <v>BORDEAUX44</v>
      </c>
      <c r="G1000" t="s">
        <v>278</v>
      </c>
      <c r="H1000" t="s">
        <v>934</v>
      </c>
      <c r="I1000" s="16">
        <v>198.46</v>
      </c>
      <c r="J1000" s="16">
        <v>26.97</v>
      </c>
      <c r="K1000" s="16">
        <v>15.92</v>
      </c>
      <c r="L1000" s="159">
        <f t="shared" si="80"/>
        <v>0.13589640229769223</v>
      </c>
      <c r="M1000" s="159">
        <f t="shared" si="80"/>
        <v>8.0217676106016322E-2</v>
      </c>
    </row>
    <row r="1001" spans="2:13">
      <c r="B1001" t="s">
        <v>173</v>
      </c>
      <c r="C1001">
        <f t="shared" si="81"/>
        <v>45</v>
      </c>
      <c r="D1001" t="str">
        <f t="shared" si="78"/>
        <v>BORDEAUX45</v>
      </c>
      <c r="E1001" t="s">
        <v>1299</v>
      </c>
      <c r="F1001" t="str">
        <f t="shared" si="79"/>
        <v>BORDEAUX45</v>
      </c>
      <c r="G1001" t="s">
        <v>226</v>
      </c>
      <c r="H1001" t="s">
        <v>227</v>
      </c>
      <c r="I1001" s="16">
        <v>197.2</v>
      </c>
      <c r="J1001" s="16">
        <v>87.34</v>
      </c>
      <c r="K1001" s="16">
        <v>77.64</v>
      </c>
      <c r="L1001" s="159">
        <f t="shared" si="80"/>
        <v>0.44290060851926982</v>
      </c>
      <c r="M1001" s="159">
        <f t="shared" si="80"/>
        <v>0.39371196754563897</v>
      </c>
    </row>
    <row r="1002" spans="2:13">
      <c r="B1002" t="s">
        <v>173</v>
      </c>
      <c r="C1002">
        <f t="shared" si="81"/>
        <v>46</v>
      </c>
      <c r="D1002" t="str">
        <f t="shared" si="78"/>
        <v>BORDEAUX46</v>
      </c>
      <c r="E1002" t="s">
        <v>1299</v>
      </c>
      <c r="F1002" t="str">
        <f t="shared" si="79"/>
        <v>BORDEAUX46</v>
      </c>
      <c r="G1002" t="s">
        <v>239</v>
      </c>
      <c r="H1002" t="s">
        <v>925</v>
      </c>
      <c r="I1002" s="16">
        <v>195.96</v>
      </c>
      <c r="J1002" s="16">
        <v>85.11</v>
      </c>
      <c r="K1002" s="16">
        <v>31.01</v>
      </c>
      <c r="L1002" s="159">
        <f t="shared" si="80"/>
        <v>0.43432333129210043</v>
      </c>
      <c r="M1002" s="159">
        <f t="shared" si="80"/>
        <v>0.15824658093488467</v>
      </c>
    </row>
    <row r="1003" spans="2:13">
      <c r="B1003" t="s">
        <v>173</v>
      </c>
      <c r="C1003">
        <f t="shared" si="81"/>
        <v>47</v>
      </c>
      <c r="D1003" t="str">
        <f t="shared" si="78"/>
        <v>BORDEAUX47</v>
      </c>
      <c r="E1003" t="s">
        <v>1299</v>
      </c>
      <c r="F1003" t="str">
        <f t="shared" si="79"/>
        <v>BORDEAUX47</v>
      </c>
      <c r="G1003" t="s">
        <v>302</v>
      </c>
      <c r="I1003" s="16">
        <v>193.17</v>
      </c>
      <c r="J1003" s="16">
        <v>18.39</v>
      </c>
      <c r="K1003" s="16">
        <v>50.79</v>
      </c>
      <c r="L1003" s="159">
        <f t="shared" si="80"/>
        <v>9.5201118186053743E-2</v>
      </c>
      <c r="M1003" s="159">
        <f t="shared" si="80"/>
        <v>0.26292902624631154</v>
      </c>
    </row>
    <row r="1004" spans="2:13">
      <c r="B1004" t="s">
        <v>173</v>
      </c>
      <c r="C1004">
        <f t="shared" si="81"/>
        <v>48</v>
      </c>
      <c r="D1004" t="str">
        <f t="shared" si="78"/>
        <v>BORDEAUX48</v>
      </c>
      <c r="E1004" t="s">
        <v>1299</v>
      </c>
      <c r="F1004" t="str">
        <f t="shared" si="79"/>
        <v>BORDEAUX48</v>
      </c>
      <c r="G1004" t="s">
        <v>402</v>
      </c>
      <c r="H1004" t="s">
        <v>1790</v>
      </c>
      <c r="I1004" s="16">
        <v>189.01</v>
      </c>
      <c r="J1004" s="16">
        <v>51.28</v>
      </c>
      <c r="K1004" s="16">
        <v>10.66</v>
      </c>
      <c r="L1004" s="159">
        <f t="shared" si="80"/>
        <v>0.2713083963811439</v>
      </c>
      <c r="M1004" s="159">
        <f t="shared" si="80"/>
        <v>5.6399132321041219E-2</v>
      </c>
    </row>
    <row r="1005" spans="2:13">
      <c r="B1005" t="s">
        <v>173</v>
      </c>
      <c r="C1005">
        <f t="shared" si="81"/>
        <v>49</v>
      </c>
      <c r="D1005" t="str">
        <f t="shared" si="78"/>
        <v>BORDEAUX49</v>
      </c>
      <c r="E1005" t="s">
        <v>1299</v>
      </c>
      <c r="F1005" t="str">
        <f t="shared" si="79"/>
        <v>BORDEAUX49</v>
      </c>
      <c r="G1005" t="s">
        <v>252</v>
      </c>
      <c r="H1005" t="s">
        <v>930</v>
      </c>
      <c r="I1005" s="16">
        <v>184.93</v>
      </c>
      <c r="J1005" s="16">
        <v>53.21</v>
      </c>
      <c r="K1005" s="16">
        <v>0</v>
      </c>
      <c r="L1005" s="159">
        <f t="shared" si="80"/>
        <v>0.28773049261882871</v>
      </c>
      <c r="M1005" s="159">
        <f t="shared" si="80"/>
        <v>0</v>
      </c>
    </row>
    <row r="1006" spans="2:13">
      <c r="B1006" t="s">
        <v>173</v>
      </c>
      <c r="C1006">
        <f t="shared" si="81"/>
        <v>50</v>
      </c>
      <c r="D1006" t="str">
        <f t="shared" si="78"/>
        <v>BORDEAUX50</v>
      </c>
      <c r="E1006" t="s">
        <v>1299</v>
      </c>
      <c r="F1006" t="str">
        <f t="shared" si="79"/>
        <v>BORDEAUX50</v>
      </c>
      <c r="G1006" t="s">
        <v>287</v>
      </c>
      <c r="I1006" s="16">
        <v>167.33</v>
      </c>
      <c r="J1006" s="16">
        <v>47.54</v>
      </c>
      <c r="K1006" s="16">
        <v>10.37</v>
      </c>
      <c r="L1006" s="159">
        <f t="shared" si="80"/>
        <v>0.2841092452040877</v>
      </c>
      <c r="M1006" s="159">
        <f t="shared" si="80"/>
        <v>6.197334608259128E-2</v>
      </c>
    </row>
    <row r="1007" spans="2:13">
      <c r="B1007" t="s">
        <v>173</v>
      </c>
      <c r="C1007">
        <f t="shared" si="81"/>
        <v>51</v>
      </c>
      <c r="D1007" t="str">
        <f t="shared" si="78"/>
        <v>BORDEAUX51</v>
      </c>
      <c r="E1007" t="s">
        <v>1299</v>
      </c>
      <c r="F1007" t="str">
        <f t="shared" si="79"/>
        <v>BORDEAUX51</v>
      </c>
      <c r="G1007" t="s">
        <v>282</v>
      </c>
      <c r="H1007" t="s">
        <v>920</v>
      </c>
      <c r="I1007" s="16">
        <v>153.31</v>
      </c>
      <c r="J1007" s="16">
        <v>39.520000000000003</v>
      </c>
      <c r="K1007" s="16">
        <v>0</v>
      </c>
      <c r="L1007" s="159">
        <f t="shared" si="80"/>
        <v>0.25777835757615292</v>
      </c>
      <c r="M1007" s="159">
        <f t="shared" si="80"/>
        <v>0</v>
      </c>
    </row>
    <row r="1008" spans="2:13">
      <c r="B1008" t="s">
        <v>173</v>
      </c>
      <c r="C1008">
        <f t="shared" si="81"/>
        <v>52</v>
      </c>
      <c r="D1008" t="str">
        <f t="shared" si="78"/>
        <v>BORDEAUX52</v>
      </c>
      <c r="E1008" t="s">
        <v>1299</v>
      </c>
      <c r="F1008" t="str">
        <f t="shared" si="79"/>
        <v>BORDEAUX52</v>
      </c>
      <c r="G1008" t="s">
        <v>254</v>
      </c>
      <c r="H1008" t="s">
        <v>931</v>
      </c>
      <c r="I1008" s="16">
        <v>152.22999999999999</v>
      </c>
      <c r="J1008" s="16">
        <v>13.88</v>
      </c>
      <c r="K1008" s="16">
        <v>10.09</v>
      </c>
      <c r="L1008" s="159">
        <f t="shared" si="80"/>
        <v>9.1177823030940033E-2</v>
      </c>
      <c r="M1008" s="159">
        <f t="shared" si="80"/>
        <v>6.6281284897851941E-2</v>
      </c>
    </row>
    <row r="1009" spans="2:13">
      <c r="B1009" t="s">
        <v>173</v>
      </c>
      <c r="C1009">
        <f t="shared" si="81"/>
        <v>53</v>
      </c>
      <c r="D1009" t="str">
        <f t="shared" si="78"/>
        <v>BORDEAUX53</v>
      </c>
      <c r="E1009" t="s">
        <v>1299</v>
      </c>
      <c r="F1009" t="str">
        <f t="shared" si="79"/>
        <v>BORDEAUX53</v>
      </c>
      <c r="G1009" t="s">
        <v>325</v>
      </c>
      <c r="H1009" t="s">
        <v>938</v>
      </c>
      <c r="I1009" s="16">
        <v>148.54</v>
      </c>
      <c r="J1009" s="16">
        <v>10</v>
      </c>
      <c r="K1009" s="16">
        <v>6.59</v>
      </c>
      <c r="L1009" s="159">
        <f t="shared" si="80"/>
        <v>6.7321933485929714E-2</v>
      </c>
      <c r="M1009" s="159">
        <f t="shared" si="80"/>
        <v>4.4365154167227687E-2</v>
      </c>
    </row>
    <row r="1010" spans="2:13">
      <c r="B1010" t="s">
        <v>173</v>
      </c>
      <c r="C1010">
        <f t="shared" si="81"/>
        <v>54</v>
      </c>
      <c r="D1010" t="str">
        <f t="shared" si="78"/>
        <v>BORDEAUX54</v>
      </c>
      <c r="E1010" t="s">
        <v>1299</v>
      </c>
      <c r="F1010" t="str">
        <f t="shared" si="79"/>
        <v>BORDEAUX54</v>
      </c>
      <c r="G1010" t="s">
        <v>341</v>
      </c>
      <c r="I1010" s="16">
        <v>136.68</v>
      </c>
      <c r="J1010" s="16">
        <v>53.97</v>
      </c>
      <c r="K1010" s="16">
        <v>3.53</v>
      </c>
      <c r="L1010" s="159">
        <f t="shared" si="80"/>
        <v>0.39486391571553991</v>
      </c>
      <c r="M1010" s="159">
        <f t="shared" si="80"/>
        <v>2.5826748609891714E-2</v>
      </c>
    </row>
    <row r="1011" spans="2:13">
      <c r="B1011" t="s">
        <v>173</v>
      </c>
      <c r="C1011">
        <f t="shared" si="81"/>
        <v>55</v>
      </c>
      <c r="D1011" t="str">
        <f t="shared" si="78"/>
        <v>BORDEAUX55</v>
      </c>
      <c r="E1011" t="s">
        <v>1299</v>
      </c>
      <c r="F1011" t="str">
        <f t="shared" si="79"/>
        <v>BORDEAUX55</v>
      </c>
      <c r="G1011" t="s">
        <v>304</v>
      </c>
      <c r="I1011" s="16">
        <v>111.71</v>
      </c>
      <c r="J1011" s="16">
        <v>48.28</v>
      </c>
      <c r="K1011" s="16">
        <v>0</v>
      </c>
      <c r="L1011" s="159">
        <f t="shared" si="80"/>
        <v>0.43219049324142872</v>
      </c>
      <c r="M1011" s="159">
        <f t="shared" si="80"/>
        <v>0</v>
      </c>
    </row>
    <row r="1012" spans="2:13">
      <c r="B1012" t="s">
        <v>173</v>
      </c>
      <c r="C1012">
        <f t="shared" si="81"/>
        <v>56</v>
      </c>
      <c r="D1012" t="str">
        <f t="shared" si="78"/>
        <v>BORDEAUX56</v>
      </c>
      <c r="E1012" t="s">
        <v>1299</v>
      </c>
      <c r="F1012" t="str">
        <f t="shared" si="79"/>
        <v>BORDEAUX56</v>
      </c>
      <c r="G1012" t="s">
        <v>340</v>
      </c>
      <c r="H1012" t="s">
        <v>945</v>
      </c>
      <c r="I1012" s="16">
        <v>109.9</v>
      </c>
      <c r="J1012" s="16">
        <v>26.55</v>
      </c>
      <c r="K1012" s="16">
        <v>0</v>
      </c>
      <c r="L1012" s="159">
        <f t="shared" si="80"/>
        <v>0.24158325750682438</v>
      </c>
      <c r="M1012" s="159">
        <f t="shared" si="80"/>
        <v>0</v>
      </c>
    </row>
    <row r="1013" spans="2:13">
      <c r="B1013" t="s">
        <v>173</v>
      </c>
      <c r="C1013">
        <f t="shared" si="81"/>
        <v>57</v>
      </c>
      <c r="D1013" t="str">
        <f t="shared" si="78"/>
        <v>BORDEAUX57</v>
      </c>
      <c r="E1013" t="s">
        <v>1299</v>
      </c>
      <c r="F1013" t="str">
        <f t="shared" si="79"/>
        <v>BORDEAUX57</v>
      </c>
      <c r="G1013" t="s">
        <v>257</v>
      </c>
      <c r="I1013" s="16">
        <v>107.36</v>
      </c>
      <c r="J1013" s="16">
        <v>2.02</v>
      </c>
      <c r="K1013" s="16">
        <v>0</v>
      </c>
      <c r="L1013" s="159">
        <f t="shared" si="80"/>
        <v>1.8815201192250372E-2</v>
      </c>
      <c r="M1013" s="159">
        <f t="shared" si="80"/>
        <v>0</v>
      </c>
    </row>
    <row r="1014" spans="2:13">
      <c r="B1014" t="s">
        <v>173</v>
      </c>
      <c r="C1014">
        <f t="shared" si="81"/>
        <v>58</v>
      </c>
      <c r="D1014" t="str">
        <f t="shared" si="78"/>
        <v>BORDEAUX58</v>
      </c>
      <c r="E1014" t="s">
        <v>1299</v>
      </c>
      <c r="F1014" t="str">
        <f t="shared" si="79"/>
        <v>BORDEAUX58</v>
      </c>
      <c r="G1014" t="s">
        <v>310</v>
      </c>
      <c r="I1014" s="16">
        <v>106.25</v>
      </c>
      <c r="J1014" s="16">
        <v>82.65</v>
      </c>
      <c r="K1014" s="16">
        <v>20.059999999999999</v>
      </c>
      <c r="L1014" s="159">
        <f t="shared" si="80"/>
        <v>0.77788235294117647</v>
      </c>
      <c r="M1014" s="159">
        <f t="shared" si="80"/>
        <v>0.1888</v>
      </c>
    </row>
    <row r="1015" spans="2:13">
      <c r="B1015" t="s">
        <v>173</v>
      </c>
      <c r="C1015">
        <f t="shared" si="81"/>
        <v>59</v>
      </c>
      <c r="D1015" t="str">
        <f t="shared" si="78"/>
        <v>BORDEAUX59</v>
      </c>
      <c r="E1015" t="s">
        <v>1299</v>
      </c>
      <c r="F1015" t="str">
        <f t="shared" si="79"/>
        <v>BORDEAUX59</v>
      </c>
      <c r="G1015" t="s">
        <v>305</v>
      </c>
      <c r="H1015" t="s">
        <v>937</v>
      </c>
      <c r="I1015" s="16">
        <v>106.18</v>
      </c>
      <c r="J1015" s="16">
        <v>68.95</v>
      </c>
      <c r="K1015" s="16">
        <v>10.88</v>
      </c>
      <c r="L1015" s="159">
        <f t="shared" si="80"/>
        <v>0.64936899604445275</v>
      </c>
      <c r="M1015" s="159">
        <f t="shared" si="80"/>
        <v>0.10246750800527406</v>
      </c>
    </row>
    <row r="1016" spans="2:13">
      <c r="B1016" t="s">
        <v>173</v>
      </c>
      <c r="C1016">
        <f t="shared" si="81"/>
        <v>60</v>
      </c>
      <c r="D1016" t="str">
        <f t="shared" si="78"/>
        <v>BORDEAUX60</v>
      </c>
      <c r="E1016" t="s">
        <v>1299</v>
      </c>
      <c r="F1016" t="str">
        <f t="shared" si="79"/>
        <v>BORDEAUX60</v>
      </c>
      <c r="G1016" t="s">
        <v>308</v>
      </c>
      <c r="I1016" s="16">
        <v>100.71</v>
      </c>
      <c r="J1016" s="16">
        <v>45.48</v>
      </c>
      <c r="K1016" s="16">
        <v>22.41</v>
      </c>
      <c r="L1016" s="159">
        <f t="shared" si="80"/>
        <v>0.45159368483765266</v>
      </c>
      <c r="M1016" s="159">
        <f t="shared" si="80"/>
        <v>0.22252010723860591</v>
      </c>
    </row>
    <row r="1017" spans="2:13">
      <c r="B1017" t="s">
        <v>173</v>
      </c>
      <c r="C1017">
        <f t="shared" si="81"/>
        <v>61</v>
      </c>
      <c r="D1017" t="str">
        <f t="shared" si="78"/>
        <v>BORDEAUX61</v>
      </c>
      <c r="E1017" t="s">
        <v>1299</v>
      </c>
      <c r="F1017" t="str">
        <f t="shared" si="79"/>
        <v>BORDEAUX61</v>
      </c>
      <c r="G1017" t="s">
        <v>360</v>
      </c>
      <c r="I1017" s="16">
        <v>96.9</v>
      </c>
      <c r="J1017" s="16">
        <v>82.8</v>
      </c>
      <c r="K1017" s="16">
        <v>14.1</v>
      </c>
      <c r="L1017" s="159">
        <f t="shared" si="80"/>
        <v>0.85448916408668718</v>
      </c>
      <c r="M1017" s="159">
        <f t="shared" si="80"/>
        <v>0.14551083591331268</v>
      </c>
    </row>
    <row r="1018" spans="2:13">
      <c r="B1018" t="s">
        <v>173</v>
      </c>
      <c r="C1018">
        <f t="shared" si="81"/>
        <v>62</v>
      </c>
      <c r="D1018" t="str">
        <f t="shared" si="78"/>
        <v>BORDEAUX62</v>
      </c>
      <c r="E1018" t="s">
        <v>1299</v>
      </c>
      <c r="F1018" t="str">
        <f t="shared" si="79"/>
        <v>BORDEAUX62</v>
      </c>
      <c r="G1018" t="s">
        <v>320</v>
      </c>
      <c r="I1018" s="16">
        <v>94.52</v>
      </c>
      <c r="J1018" s="16">
        <v>4.67</v>
      </c>
      <c r="K1018" s="16">
        <v>0</v>
      </c>
      <c r="L1018" s="159">
        <f t="shared" si="80"/>
        <v>4.9407532797291577E-2</v>
      </c>
      <c r="M1018" s="159">
        <f t="shared" si="80"/>
        <v>0</v>
      </c>
    </row>
    <row r="1019" spans="2:13">
      <c r="B1019" t="s">
        <v>173</v>
      </c>
      <c r="C1019">
        <f t="shared" si="81"/>
        <v>63</v>
      </c>
      <c r="D1019" t="str">
        <f t="shared" si="78"/>
        <v>BORDEAUX63</v>
      </c>
      <c r="E1019" t="s">
        <v>1299</v>
      </c>
      <c r="F1019" t="str">
        <f t="shared" si="79"/>
        <v>BORDEAUX63</v>
      </c>
      <c r="G1019" t="s">
        <v>336</v>
      </c>
      <c r="H1019" t="s">
        <v>941</v>
      </c>
      <c r="I1019" s="16">
        <v>87.98</v>
      </c>
      <c r="J1019" s="16">
        <v>33.53</v>
      </c>
      <c r="K1019" s="16">
        <v>6.12</v>
      </c>
      <c r="L1019" s="159">
        <f t="shared" si="80"/>
        <v>0.38110934303250737</v>
      </c>
      <c r="M1019" s="159">
        <f t="shared" si="80"/>
        <v>6.9561263923618999E-2</v>
      </c>
    </row>
    <row r="1020" spans="2:13">
      <c r="B1020" t="s">
        <v>173</v>
      </c>
      <c r="C1020">
        <f t="shared" si="81"/>
        <v>64</v>
      </c>
      <c r="D1020" t="str">
        <f t="shared" si="78"/>
        <v>BORDEAUX64</v>
      </c>
      <c r="E1020" t="s">
        <v>1299</v>
      </c>
      <c r="F1020" t="str">
        <f t="shared" si="79"/>
        <v>BORDEAUX64</v>
      </c>
      <c r="G1020" t="s">
        <v>265</v>
      </c>
      <c r="I1020" s="16">
        <v>86.66</v>
      </c>
      <c r="J1020" s="16">
        <v>36.06</v>
      </c>
      <c r="K1020" s="16">
        <v>45.62</v>
      </c>
      <c r="L1020" s="159">
        <f t="shared" si="80"/>
        <v>0.41610893145626593</v>
      </c>
      <c r="M1020" s="159">
        <f t="shared" si="80"/>
        <v>0.52642510962381717</v>
      </c>
    </row>
    <row r="1021" spans="2:13">
      <c r="B1021" t="s">
        <v>173</v>
      </c>
      <c r="C1021">
        <f t="shared" ref="C1021:C1052" si="82">RANK(I1021,$I$956:$I$1133,0)</f>
        <v>65</v>
      </c>
      <c r="D1021" t="str">
        <f t="shared" si="78"/>
        <v>BORDEAUX65</v>
      </c>
      <c r="E1021" t="s">
        <v>1299</v>
      </c>
      <c r="F1021" t="str">
        <f t="shared" si="79"/>
        <v>BORDEAUX65</v>
      </c>
      <c r="G1021" t="s">
        <v>349</v>
      </c>
      <c r="I1021" s="16">
        <v>86.24</v>
      </c>
      <c r="J1021" s="16">
        <v>23.81</v>
      </c>
      <c r="K1021" s="16">
        <v>0</v>
      </c>
      <c r="L1021" s="159">
        <f t="shared" si="80"/>
        <v>0.27608998144712432</v>
      </c>
      <c r="M1021" s="159">
        <f t="shared" si="80"/>
        <v>0</v>
      </c>
    </row>
    <row r="1022" spans="2:13">
      <c r="B1022" t="s">
        <v>173</v>
      </c>
      <c r="C1022">
        <f t="shared" si="82"/>
        <v>66</v>
      </c>
      <c r="D1022" t="str">
        <f t="shared" si="78"/>
        <v>BORDEAUX66</v>
      </c>
      <c r="E1022" t="s">
        <v>1299</v>
      </c>
      <c r="F1022" t="str">
        <f t="shared" si="79"/>
        <v>BORDEAUX66</v>
      </c>
      <c r="G1022" t="s">
        <v>347</v>
      </c>
      <c r="I1022" s="16">
        <v>85.9</v>
      </c>
      <c r="J1022" s="16">
        <v>57.57</v>
      </c>
      <c r="K1022" s="16">
        <v>7.31</v>
      </c>
      <c r="L1022" s="159">
        <f t="shared" si="80"/>
        <v>0.67019790454016293</v>
      </c>
      <c r="M1022" s="159">
        <f t="shared" si="80"/>
        <v>8.5098952270081477E-2</v>
      </c>
    </row>
    <row r="1023" spans="2:13">
      <c r="B1023" t="s">
        <v>173</v>
      </c>
      <c r="C1023">
        <f t="shared" si="82"/>
        <v>67</v>
      </c>
      <c r="D1023" t="str">
        <f t="shared" si="78"/>
        <v>BORDEAUX67</v>
      </c>
      <c r="E1023" t="s">
        <v>1299</v>
      </c>
      <c r="F1023" t="str">
        <f t="shared" si="79"/>
        <v>BORDEAUX67</v>
      </c>
      <c r="G1023" t="s">
        <v>386</v>
      </c>
      <c r="I1023" s="16">
        <v>85.76</v>
      </c>
      <c r="J1023" s="16">
        <v>30.11</v>
      </c>
      <c r="K1023" s="16">
        <v>33.9</v>
      </c>
      <c r="L1023" s="159">
        <f t="shared" si="80"/>
        <v>0.35109608208955223</v>
      </c>
      <c r="M1023" s="159">
        <f t="shared" si="80"/>
        <v>0.39528917910447758</v>
      </c>
    </row>
    <row r="1024" spans="2:13">
      <c r="B1024" t="s">
        <v>173</v>
      </c>
      <c r="C1024">
        <f t="shared" si="82"/>
        <v>68</v>
      </c>
      <c r="D1024" t="str">
        <f t="shared" si="78"/>
        <v>BORDEAUX68</v>
      </c>
      <c r="E1024" t="s">
        <v>1299</v>
      </c>
      <c r="F1024" t="str">
        <f t="shared" si="79"/>
        <v>BORDEAUX68</v>
      </c>
      <c r="G1024" t="s">
        <v>253</v>
      </c>
      <c r="I1024" s="16">
        <v>85.23</v>
      </c>
      <c r="J1024" s="16">
        <v>75.099999999999994</v>
      </c>
      <c r="K1024" s="16">
        <v>0</v>
      </c>
      <c r="L1024" s="159">
        <f t="shared" si="80"/>
        <v>0.88114513668895922</v>
      </c>
      <c r="M1024" s="159">
        <f t="shared" si="80"/>
        <v>0</v>
      </c>
    </row>
    <row r="1025" spans="2:13">
      <c r="B1025" t="s">
        <v>173</v>
      </c>
      <c r="C1025">
        <f t="shared" si="82"/>
        <v>69</v>
      </c>
      <c r="D1025" t="str">
        <f t="shared" si="78"/>
        <v>BORDEAUX69</v>
      </c>
      <c r="E1025" t="s">
        <v>1299</v>
      </c>
      <c r="F1025" t="str">
        <f t="shared" si="79"/>
        <v>BORDEAUX69</v>
      </c>
      <c r="G1025" t="s">
        <v>343</v>
      </c>
      <c r="I1025" s="16">
        <v>83.15</v>
      </c>
      <c r="J1025" s="16">
        <v>14.18</v>
      </c>
      <c r="K1025" s="16">
        <v>15.75</v>
      </c>
      <c r="L1025" s="159">
        <f t="shared" si="80"/>
        <v>0.17053517739025856</v>
      </c>
      <c r="M1025" s="159">
        <f t="shared" si="80"/>
        <v>0.18941671677690919</v>
      </c>
    </row>
    <row r="1026" spans="2:13">
      <c r="B1026" t="s">
        <v>173</v>
      </c>
      <c r="C1026">
        <f t="shared" si="82"/>
        <v>70</v>
      </c>
      <c r="D1026" t="str">
        <f t="shared" ref="D1026:D1089" si="83">CONCATENATE(E1026,C1026)</f>
        <v>BORDEAUX70</v>
      </c>
      <c r="E1026" t="s">
        <v>1299</v>
      </c>
      <c r="F1026" t="str">
        <f t="shared" si="79"/>
        <v>BORDEAUX70</v>
      </c>
      <c r="G1026" t="s">
        <v>345</v>
      </c>
      <c r="I1026" s="16">
        <v>82.97</v>
      </c>
      <c r="J1026" s="16">
        <v>61.08</v>
      </c>
      <c r="K1026" s="16">
        <v>0</v>
      </c>
      <c r="L1026" s="159">
        <f t="shared" si="80"/>
        <v>0.73616969989152703</v>
      </c>
      <c r="M1026" s="159">
        <f t="shared" si="80"/>
        <v>0</v>
      </c>
    </row>
    <row r="1027" spans="2:13">
      <c r="B1027" t="s">
        <v>173</v>
      </c>
      <c r="C1027">
        <f t="shared" si="82"/>
        <v>71</v>
      </c>
      <c r="D1027" t="str">
        <f t="shared" si="83"/>
        <v>BORDEAUX71</v>
      </c>
      <c r="E1027" t="s">
        <v>1299</v>
      </c>
      <c r="F1027" t="str">
        <f t="shared" ref="F1027:F1090" si="84">D1027</f>
        <v>BORDEAUX71</v>
      </c>
      <c r="G1027" t="s">
        <v>362</v>
      </c>
      <c r="H1027" t="s">
        <v>943</v>
      </c>
      <c r="I1027" s="16">
        <v>82.46</v>
      </c>
      <c r="J1027" s="16">
        <v>8.06</v>
      </c>
      <c r="K1027" s="16">
        <v>0</v>
      </c>
      <c r="L1027" s="159">
        <f t="shared" ref="L1027:M1090" si="85">J1027/$I1027</f>
        <v>9.7744360902255648E-2</v>
      </c>
      <c r="M1027" s="159">
        <f t="shared" si="85"/>
        <v>0</v>
      </c>
    </row>
    <row r="1028" spans="2:13">
      <c r="B1028" t="s">
        <v>173</v>
      </c>
      <c r="C1028">
        <f t="shared" si="82"/>
        <v>72</v>
      </c>
      <c r="D1028" t="str">
        <f t="shared" si="83"/>
        <v>BORDEAUX72</v>
      </c>
      <c r="E1028" t="s">
        <v>1299</v>
      </c>
      <c r="F1028" t="str">
        <f t="shared" si="84"/>
        <v>BORDEAUX72</v>
      </c>
      <c r="G1028" t="s">
        <v>326</v>
      </c>
      <c r="I1028" s="16">
        <v>81.61</v>
      </c>
      <c r="J1028" s="16">
        <v>38.22</v>
      </c>
      <c r="K1028" s="16">
        <v>0</v>
      </c>
      <c r="L1028" s="159">
        <f t="shared" si="85"/>
        <v>0.46832496017644898</v>
      </c>
      <c r="M1028" s="159">
        <f t="shared" si="85"/>
        <v>0</v>
      </c>
    </row>
    <row r="1029" spans="2:13">
      <c r="B1029" t="s">
        <v>173</v>
      </c>
      <c r="C1029">
        <f t="shared" si="82"/>
        <v>73</v>
      </c>
      <c r="D1029" t="str">
        <f t="shared" si="83"/>
        <v>BORDEAUX73</v>
      </c>
      <c r="E1029" t="s">
        <v>1299</v>
      </c>
      <c r="F1029" t="str">
        <f t="shared" si="84"/>
        <v>BORDEAUX73</v>
      </c>
      <c r="G1029" t="s">
        <v>293</v>
      </c>
      <c r="I1029" s="16">
        <v>78.67</v>
      </c>
      <c r="J1029" s="16">
        <v>58.22</v>
      </c>
      <c r="K1029" s="16">
        <v>0</v>
      </c>
      <c r="L1029" s="159">
        <f t="shared" si="85"/>
        <v>0.7400533875683234</v>
      </c>
      <c r="M1029" s="159">
        <f t="shared" si="85"/>
        <v>0</v>
      </c>
    </row>
    <row r="1030" spans="2:13">
      <c r="B1030" t="s">
        <v>173</v>
      </c>
      <c r="C1030">
        <f t="shared" si="82"/>
        <v>74</v>
      </c>
      <c r="D1030" t="str">
        <f t="shared" si="83"/>
        <v>BORDEAUX74</v>
      </c>
      <c r="E1030" t="s">
        <v>1299</v>
      </c>
      <c r="F1030" t="str">
        <f t="shared" si="84"/>
        <v>BORDEAUX74</v>
      </c>
      <c r="G1030" t="s">
        <v>365</v>
      </c>
      <c r="I1030" s="16">
        <v>78.209999999999994</v>
      </c>
      <c r="J1030" s="16">
        <v>0</v>
      </c>
      <c r="K1030" s="16">
        <v>0</v>
      </c>
      <c r="L1030" s="159">
        <f t="shared" si="85"/>
        <v>0</v>
      </c>
      <c r="M1030" s="159">
        <f t="shared" si="85"/>
        <v>0</v>
      </c>
    </row>
    <row r="1031" spans="2:13">
      <c r="B1031" t="s">
        <v>173</v>
      </c>
      <c r="C1031">
        <f t="shared" si="82"/>
        <v>75</v>
      </c>
      <c r="D1031" t="str">
        <f t="shared" si="83"/>
        <v>BORDEAUX75</v>
      </c>
      <c r="E1031" t="s">
        <v>1299</v>
      </c>
      <c r="F1031" t="str">
        <f t="shared" si="84"/>
        <v>BORDEAUX75</v>
      </c>
      <c r="G1031" t="s">
        <v>374</v>
      </c>
      <c r="I1031" s="16">
        <v>78.12</v>
      </c>
      <c r="J1031" s="16">
        <v>71.069999999999993</v>
      </c>
      <c r="K1031" s="16">
        <v>10.71</v>
      </c>
      <c r="L1031" s="159">
        <f t="shared" si="85"/>
        <v>0.90975422427035313</v>
      </c>
      <c r="M1031" s="159">
        <f t="shared" si="85"/>
        <v>0.13709677419354838</v>
      </c>
    </row>
    <row r="1032" spans="2:13">
      <c r="B1032" t="s">
        <v>173</v>
      </c>
      <c r="C1032">
        <f t="shared" si="82"/>
        <v>76</v>
      </c>
      <c r="D1032" t="str">
        <f t="shared" si="83"/>
        <v>BORDEAUX76</v>
      </c>
      <c r="E1032" t="s">
        <v>1299</v>
      </c>
      <c r="F1032" t="str">
        <f t="shared" si="84"/>
        <v>BORDEAUX76</v>
      </c>
      <c r="G1032" t="s">
        <v>428</v>
      </c>
      <c r="I1032" s="16">
        <v>76.95</v>
      </c>
      <c r="J1032" s="16">
        <v>20.28</v>
      </c>
      <c r="K1032" s="16">
        <v>0</v>
      </c>
      <c r="L1032" s="159">
        <f t="shared" si="85"/>
        <v>0.26354775828460042</v>
      </c>
      <c r="M1032" s="159">
        <f t="shared" si="85"/>
        <v>0</v>
      </c>
    </row>
    <row r="1033" spans="2:13">
      <c r="B1033" t="s">
        <v>173</v>
      </c>
      <c r="C1033">
        <f t="shared" si="82"/>
        <v>77</v>
      </c>
      <c r="D1033" t="str">
        <f t="shared" si="83"/>
        <v>BORDEAUX77</v>
      </c>
      <c r="E1033" t="s">
        <v>1299</v>
      </c>
      <c r="F1033" t="str">
        <f t="shared" si="84"/>
        <v>BORDEAUX77</v>
      </c>
      <c r="G1033" t="s">
        <v>333</v>
      </c>
      <c r="I1033" s="16">
        <v>76.27</v>
      </c>
      <c r="J1033" s="16">
        <v>56.97</v>
      </c>
      <c r="K1033" s="16">
        <v>0</v>
      </c>
      <c r="L1033" s="159">
        <f t="shared" si="85"/>
        <v>0.74695161924741049</v>
      </c>
      <c r="M1033" s="159">
        <f t="shared" si="85"/>
        <v>0</v>
      </c>
    </row>
    <row r="1034" spans="2:13">
      <c r="B1034" t="s">
        <v>173</v>
      </c>
      <c r="C1034">
        <f t="shared" si="82"/>
        <v>78</v>
      </c>
      <c r="D1034" t="str">
        <f t="shared" si="83"/>
        <v>BORDEAUX78</v>
      </c>
      <c r="E1034" t="s">
        <v>1299</v>
      </c>
      <c r="F1034" t="str">
        <f t="shared" si="84"/>
        <v>BORDEAUX78</v>
      </c>
      <c r="G1034" t="s">
        <v>409</v>
      </c>
      <c r="I1034" s="16">
        <v>74.540000000000006</v>
      </c>
      <c r="J1034" s="16">
        <v>30.43</v>
      </c>
      <c r="K1034" s="16">
        <v>26.51</v>
      </c>
      <c r="L1034" s="159">
        <f t="shared" si="85"/>
        <v>0.40823718808693316</v>
      </c>
      <c r="M1034" s="159">
        <f t="shared" si="85"/>
        <v>0.35564797424201772</v>
      </c>
    </row>
    <row r="1035" spans="2:13">
      <c r="B1035" t="s">
        <v>173</v>
      </c>
      <c r="C1035">
        <f t="shared" si="82"/>
        <v>79</v>
      </c>
      <c r="D1035" t="str">
        <f t="shared" si="83"/>
        <v>BORDEAUX79</v>
      </c>
      <c r="E1035" t="s">
        <v>1299</v>
      </c>
      <c r="F1035" t="str">
        <f t="shared" si="84"/>
        <v>BORDEAUX79</v>
      </c>
      <c r="G1035" t="s">
        <v>435</v>
      </c>
      <c r="I1035" s="16">
        <v>73.3</v>
      </c>
      <c r="J1035" s="16">
        <v>67.64</v>
      </c>
      <c r="K1035" s="16">
        <v>0</v>
      </c>
      <c r="L1035" s="159">
        <f t="shared" si="85"/>
        <v>0.92278308321964531</v>
      </c>
      <c r="M1035" s="159">
        <f t="shared" si="85"/>
        <v>0</v>
      </c>
    </row>
    <row r="1036" spans="2:13">
      <c r="B1036" t="s">
        <v>173</v>
      </c>
      <c r="C1036">
        <f t="shared" si="82"/>
        <v>80</v>
      </c>
      <c r="D1036" t="str">
        <f t="shared" si="83"/>
        <v>BORDEAUX80</v>
      </c>
      <c r="E1036" t="s">
        <v>1299</v>
      </c>
      <c r="F1036" t="str">
        <f t="shared" si="84"/>
        <v>BORDEAUX80</v>
      </c>
      <c r="G1036" t="s">
        <v>417</v>
      </c>
      <c r="I1036" s="16">
        <v>72.72</v>
      </c>
      <c r="J1036" s="16">
        <v>12.98</v>
      </c>
      <c r="K1036" s="16">
        <v>0</v>
      </c>
      <c r="L1036" s="159">
        <f t="shared" si="85"/>
        <v>0.17849284928492851</v>
      </c>
      <c r="M1036" s="159">
        <f t="shared" si="85"/>
        <v>0</v>
      </c>
    </row>
    <row r="1037" spans="2:13">
      <c r="B1037" t="s">
        <v>173</v>
      </c>
      <c r="C1037">
        <f t="shared" si="82"/>
        <v>81</v>
      </c>
      <c r="D1037" t="str">
        <f t="shared" si="83"/>
        <v>BORDEAUX81</v>
      </c>
      <c r="E1037" t="s">
        <v>1299</v>
      </c>
      <c r="F1037" t="str">
        <f t="shared" si="84"/>
        <v>BORDEAUX81</v>
      </c>
      <c r="G1037" t="s">
        <v>407</v>
      </c>
      <c r="I1037" s="16">
        <v>72.27</v>
      </c>
      <c r="J1037" s="16">
        <v>38.1</v>
      </c>
      <c r="K1037" s="16">
        <v>8.27</v>
      </c>
      <c r="L1037" s="159">
        <f t="shared" si="85"/>
        <v>0.52718970527189712</v>
      </c>
      <c r="M1037" s="159">
        <f t="shared" si="85"/>
        <v>0.11443199114431991</v>
      </c>
    </row>
    <row r="1038" spans="2:13">
      <c r="B1038" t="s">
        <v>173</v>
      </c>
      <c r="C1038">
        <f t="shared" si="82"/>
        <v>82</v>
      </c>
      <c r="D1038" t="str">
        <f t="shared" si="83"/>
        <v>BORDEAUX82</v>
      </c>
      <c r="E1038" t="s">
        <v>1299</v>
      </c>
      <c r="F1038" t="str">
        <f t="shared" si="84"/>
        <v>BORDEAUX82</v>
      </c>
      <c r="G1038" t="s">
        <v>255</v>
      </c>
      <c r="H1038" t="s">
        <v>256</v>
      </c>
      <c r="I1038" s="16">
        <v>71.73</v>
      </c>
      <c r="J1038" s="16">
        <v>45.81</v>
      </c>
      <c r="K1038" s="16">
        <v>60.25</v>
      </c>
      <c r="L1038" s="159">
        <f t="shared" si="85"/>
        <v>0.6386449184441656</v>
      </c>
      <c r="M1038" s="159">
        <f t="shared" si="85"/>
        <v>0.83995538826153626</v>
      </c>
    </row>
    <row r="1039" spans="2:13">
      <c r="B1039" t="s">
        <v>173</v>
      </c>
      <c r="C1039">
        <f t="shared" si="82"/>
        <v>83</v>
      </c>
      <c r="D1039" t="str">
        <f t="shared" si="83"/>
        <v>BORDEAUX83</v>
      </c>
      <c r="E1039" t="s">
        <v>1299</v>
      </c>
      <c r="F1039" t="str">
        <f t="shared" si="84"/>
        <v>BORDEAUX83</v>
      </c>
      <c r="G1039" t="s">
        <v>321</v>
      </c>
      <c r="I1039" s="16">
        <v>71.58</v>
      </c>
      <c r="J1039" s="16">
        <v>40.380000000000003</v>
      </c>
      <c r="K1039" s="16">
        <v>2.87</v>
      </c>
      <c r="L1039" s="159">
        <f t="shared" si="85"/>
        <v>0.56412405699916179</v>
      </c>
      <c r="M1039" s="159">
        <f t="shared" si="85"/>
        <v>4.0094998602961722E-2</v>
      </c>
    </row>
    <row r="1040" spans="2:13">
      <c r="B1040" t="s">
        <v>173</v>
      </c>
      <c r="C1040">
        <f t="shared" si="82"/>
        <v>84</v>
      </c>
      <c r="D1040" t="str">
        <f t="shared" si="83"/>
        <v>BORDEAUX84</v>
      </c>
      <c r="E1040" t="s">
        <v>1299</v>
      </c>
      <c r="F1040" t="str">
        <f t="shared" si="84"/>
        <v>BORDEAUX84</v>
      </c>
      <c r="G1040" t="s">
        <v>272</v>
      </c>
      <c r="I1040" s="16">
        <v>70.12</v>
      </c>
      <c r="J1040" s="16">
        <v>38.29</v>
      </c>
      <c r="K1040" s="16">
        <v>0</v>
      </c>
      <c r="L1040" s="159">
        <f t="shared" si="85"/>
        <v>0.54606389047347403</v>
      </c>
      <c r="M1040" s="159">
        <f t="shared" si="85"/>
        <v>0</v>
      </c>
    </row>
    <row r="1041" spans="2:13">
      <c r="B1041" t="s">
        <v>173</v>
      </c>
      <c r="C1041">
        <f t="shared" si="82"/>
        <v>85</v>
      </c>
      <c r="D1041" t="str">
        <f t="shared" si="83"/>
        <v>BORDEAUX85</v>
      </c>
      <c r="E1041" t="s">
        <v>1299</v>
      </c>
      <c r="F1041" t="str">
        <f t="shared" si="84"/>
        <v>BORDEAUX85</v>
      </c>
      <c r="G1041" t="s">
        <v>379</v>
      </c>
      <c r="H1041" t="s">
        <v>944</v>
      </c>
      <c r="I1041" s="16">
        <v>70.05</v>
      </c>
      <c r="J1041" s="16">
        <v>14.85</v>
      </c>
      <c r="K1041" s="16">
        <v>10.66</v>
      </c>
      <c r="L1041" s="159">
        <f t="shared" si="85"/>
        <v>0.21199143468950749</v>
      </c>
      <c r="M1041" s="159">
        <f t="shared" si="85"/>
        <v>0.15217701641684511</v>
      </c>
    </row>
    <row r="1042" spans="2:13">
      <c r="B1042" t="s">
        <v>173</v>
      </c>
      <c r="C1042">
        <f t="shared" si="82"/>
        <v>86</v>
      </c>
      <c r="D1042" t="str">
        <f t="shared" si="83"/>
        <v>BORDEAUX86</v>
      </c>
      <c r="E1042" t="s">
        <v>1299</v>
      </c>
      <c r="F1042" t="str">
        <f t="shared" si="84"/>
        <v>BORDEAUX86</v>
      </c>
      <c r="G1042" t="s">
        <v>244</v>
      </c>
      <c r="I1042" s="16">
        <v>68.12</v>
      </c>
      <c r="J1042" s="16">
        <v>37.29</v>
      </c>
      <c r="K1042" s="16">
        <v>14.54</v>
      </c>
      <c r="L1042" s="159">
        <f t="shared" si="85"/>
        <v>0.5474163241338813</v>
      </c>
      <c r="M1042" s="159">
        <f t="shared" si="85"/>
        <v>0.2134468584850264</v>
      </c>
    </row>
    <row r="1043" spans="2:13">
      <c r="B1043" t="s">
        <v>173</v>
      </c>
      <c r="C1043">
        <f t="shared" si="82"/>
        <v>87</v>
      </c>
      <c r="D1043" t="str">
        <f t="shared" si="83"/>
        <v>BORDEAUX87</v>
      </c>
      <c r="E1043" t="s">
        <v>1299</v>
      </c>
      <c r="F1043" t="str">
        <f t="shared" si="84"/>
        <v>BORDEAUX87</v>
      </c>
      <c r="G1043" t="s">
        <v>330</v>
      </c>
      <c r="I1043" s="16">
        <v>68.05</v>
      </c>
      <c r="J1043" s="16">
        <v>27.02</v>
      </c>
      <c r="K1043" s="16">
        <v>0</v>
      </c>
      <c r="L1043" s="159">
        <f t="shared" si="85"/>
        <v>0.39706098457016903</v>
      </c>
      <c r="M1043" s="159">
        <f t="shared" si="85"/>
        <v>0</v>
      </c>
    </row>
    <row r="1044" spans="2:13">
      <c r="B1044" t="s">
        <v>173</v>
      </c>
      <c r="C1044">
        <f t="shared" si="82"/>
        <v>88</v>
      </c>
      <c r="D1044" t="str">
        <f t="shared" si="83"/>
        <v>BORDEAUX88</v>
      </c>
      <c r="E1044" t="s">
        <v>1299</v>
      </c>
      <c r="F1044" t="str">
        <f t="shared" si="84"/>
        <v>BORDEAUX88</v>
      </c>
      <c r="G1044" t="s">
        <v>279</v>
      </c>
      <c r="I1044" s="16">
        <v>62.07</v>
      </c>
      <c r="J1044" s="16">
        <v>7.82</v>
      </c>
      <c r="K1044" s="16">
        <v>0</v>
      </c>
      <c r="L1044" s="159">
        <f t="shared" si="85"/>
        <v>0.12598678910907041</v>
      </c>
      <c r="M1044" s="159">
        <f t="shared" si="85"/>
        <v>0</v>
      </c>
    </row>
    <row r="1045" spans="2:13">
      <c r="B1045" t="s">
        <v>173</v>
      </c>
      <c r="C1045">
        <f t="shared" si="82"/>
        <v>89</v>
      </c>
      <c r="D1045" t="str">
        <f t="shared" si="83"/>
        <v>BORDEAUX89</v>
      </c>
      <c r="E1045" t="s">
        <v>1299</v>
      </c>
      <c r="F1045" t="str">
        <f t="shared" si="84"/>
        <v>BORDEAUX89</v>
      </c>
      <c r="G1045" t="s">
        <v>363</v>
      </c>
      <c r="I1045" s="16">
        <v>58.68</v>
      </c>
      <c r="J1045" s="16">
        <v>36.520000000000003</v>
      </c>
      <c r="K1045" s="16">
        <v>0</v>
      </c>
      <c r="L1045" s="159">
        <f t="shared" si="85"/>
        <v>0.62235855487389236</v>
      </c>
      <c r="M1045" s="159">
        <f t="shared" si="85"/>
        <v>0</v>
      </c>
    </row>
    <row r="1046" spans="2:13">
      <c r="B1046" t="s">
        <v>173</v>
      </c>
      <c r="C1046">
        <f t="shared" si="82"/>
        <v>90</v>
      </c>
      <c r="D1046" t="str">
        <f t="shared" si="83"/>
        <v>BORDEAUX90</v>
      </c>
      <c r="E1046" t="s">
        <v>1299</v>
      </c>
      <c r="F1046" t="str">
        <f t="shared" si="84"/>
        <v>BORDEAUX90</v>
      </c>
      <c r="G1046" t="s">
        <v>328</v>
      </c>
      <c r="H1046" t="s">
        <v>939</v>
      </c>
      <c r="I1046" s="16">
        <v>58.6</v>
      </c>
      <c r="J1046" s="16">
        <v>12.62</v>
      </c>
      <c r="K1046" s="16">
        <v>0</v>
      </c>
      <c r="L1046" s="159">
        <f t="shared" si="85"/>
        <v>0.21535836177474402</v>
      </c>
      <c r="M1046" s="159">
        <f t="shared" si="85"/>
        <v>0</v>
      </c>
    </row>
    <row r="1047" spans="2:13">
      <c r="B1047" t="s">
        <v>173</v>
      </c>
      <c r="C1047">
        <f t="shared" si="82"/>
        <v>91</v>
      </c>
      <c r="D1047" t="str">
        <f t="shared" si="83"/>
        <v>BORDEAUX91</v>
      </c>
      <c r="E1047" t="s">
        <v>1299</v>
      </c>
      <c r="F1047" t="str">
        <f t="shared" si="84"/>
        <v>BORDEAUX91</v>
      </c>
      <c r="G1047" t="s">
        <v>416</v>
      </c>
      <c r="I1047" s="16">
        <v>54.31</v>
      </c>
      <c r="J1047" s="16">
        <v>11.07</v>
      </c>
      <c r="K1047" s="16">
        <v>0</v>
      </c>
      <c r="L1047" s="159">
        <f t="shared" si="85"/>
        <v>0.20382986558644817</v>
      </c>
      <c r="M1047" s="159">
        <f t="shared" si="85"/>
        <v>0</v>
      </c>
    </row>
    <row r="1048" spans="2:13">
      <c r="B1048" t="s">
        <v>173</v>
      </c>
      <c r="C1048">
        <f t="shared" si="82"/>
        <v>92</v>
      </c>
      <c r="D1048" t="str">
        <f t="shared" si="83"/>
        <v>BORDEAUX92</v>
      </c>
      <c r="E1048" t="s">
        <v>1299</v>
      </c>
      <c r="F1048" t="str">
        <f t="shared" si="84"/>
        <v>BORDEAUX92</v>
      </c>
      <c r="G1048" t="s">
        <v>346</v>
      </c>
      <c r="I1048" s="16">
        <v>53.4</v>
      </c>
      <c r="J1048" s="16">
        <v>29.5</v>
      </c>
      <c r="K1048" s="16">
        <v>11.44</v>
      </c>
      <c r="L1048" s="159">
        <f t="shared" si="85"/>
        <v>0.55243445692883897</v>
      </c>
      <c r="M1048" s="159">
        <f t="shared" si="85"/>
        <v>0.21423220973782772</v>
      </c>
    </row>
    <row r="1049" spans="2:13">
      <c r="B1049" t="s">
        <v>173</v>
      </c>
      <c r="C1049">
        <f t="shared" si="82"/>
        <v>93</v>
      </c>
      <c r="D1049" t="str">
        <f t="shared" si="83"/>
        <v>BORDEAUX93</v>
      </c>
      <c r="E1049" t="s">
        <v>1299</v>
      </c>
      <c r="F1049" t="str">
        <f t="shared" si="84"/>
        <v>BORDEAUX93</v>
      </c>
      <c r="G1049" t="s">
        <v>313</v>
      </c>
      <c r="I1049" s="16">
        <v>52.61</v>
      </c>
      <c r="J1049" s="16">
        <v>7.88</v>
      </c>
      <c r="K1049" s="16">
        <v>0</v>
      </c>
      <c r="L1049" s="159">
        <f t="shared" si="85"/>
        <v>0.1497814103782551</v>
      </c>
      <c r="M1049" s="159">
        <f t="shared" si="85"/>
        <v>0</v>
      </c>
    </row>
    <row r="1050" spans="2:13">
      <c r="B1050" t="s">
        <v>173</v>
      </c>
      <c r="C1050">
        <f t="shared" si="82"/>
        <v>94</v>
      </c>
      <c r="D1050" t="str">
        <f t="shared" si="83"/>
        <v>BORDEAUX94</v>
      </c>
      <c r="E1050" t="s">
        <v>1299</v>
      </c>
      <c r="F1050" t="str">
        <f t="shared" si="84"/>
        <v>BORDEAUX94</v>
      </c>
      <c r="G1050" t="s">
        <v>312</v>
      </c>
      <c r="I1050" s="16">
        <v>51.92</v>
      </c>
      <c r="J1050" s="16">
        <v>16.309999999999999</v>
      </c>
      <c r="K1050" s="16">
        <v>8.4499999999999993</v>
      </c>
      <c r="L1050" s="159">
        <f t="shared" si="85"/>
        <v>0.31413713405238824</v>
      </c>
      <c r="M1050" s="159">
        <f t="shared" si="85"/>
        <v>0.1627503852080123</v>
      </c>
    </row>
    <row r="1051" spans="2:13">
      <c r="B1051" t="s">
        <v>173</v>
      </c>
      <c r="C1051">
        <f t="shared" si="82"/>
        <v>95</v>
      </c>
      <c r="D1051" t="str">
        <f t="shared" si="83"/>
        <v>BORDEAUX95</v>
      </c>
      <c r="E1051" t="s">
        <v>1299</v>
      </c>
      <c r="F1051" t="str">
        <f t="shared" si="84"/>
        <v>BORDEAUX95</v>
      </c>
      <c r="G1051" t="s">
        <v>366</v>
      </c>
      <c r="I1051" s="16">
        <v>46.89</v>
      </c>
      <c r="J1051" s="16">
        <v>42.41</v>
      </c>
      <c r="K1051" s="16">
        <v>4</v>
      </c>
      <c r="L1051" s="159">
        <f t="shared" si="85"/>
        <v>0.90445724034975461</v>
      </c>
      <c r="M1051" s="159">
        <f t="shared" si="85"/>
        <v>8.5306035402004696E-2</v>
      </c>
    </row>
    <row r="1052" spans="2:13">
      <c r="B1052" t="s">
        <v>173</v>
      </c>
      <c r="C1052">
        <f t="shared" si="82"/>
        <v>96</v>
      </c>
      <c r="D1052" t="str">
        <f t="shared" si="83"/>
        <v>BORDEAUX96</v>
      </c>
      <c r="E1052" t="s">
        <v>1299</v>
      </c>
      <c r="F1052" t="str">
        <f t="shared" si="84"/>
        <v>BORDEAUX96</v>
      </c>
      <c r="G1052" t="s">
        <v>419</v>
      </c>
      <c r="I1052" s="16">
        <v>46.11</v>
      </c>
      <c r="J1052" s="16">
        <v>42.81</v>
      </c>
      <c r="K1052" s="16">
        <v>0</v>
      </c>
      <c r="L1052" s="159">
        <f t="shared" si="85"/>
        <v>0.92843201040988943</v>
      </c>
      <c r="M1052" s="159">
        <f t="shared" si="85"/>
        <v>0</v>
      </c>
    </row>
    <row r="1053" spans="2:13">
      <c r="B1053" t="s">
        <v>173</v>
      </c>
      <c r="C1053">
        <f t="shared" ref="C1053:C1084" si="86">RANK(I1053,$I$956:$I$1133,0)</f>
        <v>97</v>
      </c>
      <c r="D1053" t="str">
        <f t="shared" si="83"/>
        <v>BORDEAUX97</v>
      </c>
      <c r="E1053" t="s">
        <v>1299</v>
      </c>
      <c r="F1053" t="str">
        <f t="shared" si="84"/>
        <v>BORDEAUX97</v>
      </c>
      <c r="G1053" t="s">
        <v>357</v>
      </c>
      <c r="I1053" s="16">
        <v>45.68</v>
      </c>
      <c r="J1053" s="16">
        <v>0</v>
      </c>
      <c r="K1053" s="16">
        <v>6</v>
      </c>
      <c r="L1053" s="159">
        <f t="shared" si="85"/>
        <v>0</v>
      </c>
      <c r="M1053" s="159">
        <f t="shared" si="85"/>
        <v>0.13134851138353765</v>
      </c>
    </row>
    <row r="1054" spans="2:13">
      <c r="B1054" t="s">
        <v>173</v>
      </c>
      <c r="C1054">
        <f t="shared" si="86"/>
        <v>98</v>
      </c>
      <c r="D1054" t="str">
        <f t="shared" si="83"/>
        <v>BORDEAUX98</v>
      </c>
      <c r="E1054" t="s">
        <v>1299</v>
      </c>
      <c r="F1054" t="str">
        <f t="shared" si="84"/>
        <v>BORDEAUX98</v>
      </c>
      <c r="G1054" t="s">
        <v>332</v>
      </c>
      <c r="H1054" t="s">
        <v>940</v>
      </c>
      <c r="I1054" s="16">
        <v>42.81</v>
      </c>
      <c r="J1054" s="16">
        <v>24.87</v>
      </c>
      <c r="K1054" s="16">
        <v>5.29</v>
      </c>
      <c r="L1054" s="159">
        <f t="shared" si="85"/>
        <v>0.58093903293622984</v>
      </c>
      <c r="M1054" s="159">
        <f t="shared" si="85"/>
        <v>0.12356925951880401</v>
      </c>
    </row>
    <row r="1055" spans="2:13">
      <c r="B1055" t="s">
        <v>173</v>
      </c>
      <c r="C1055">
        <f t="shared" si="86"/>
        <v>99</v>
      </c>
      <c r="D1055" t="str">
        <f t="shared" si="83"/>
        <v>BORDEAUX99</v>
      </c>
      <c r="E1055" t="s">
        <v>1299</v>
      </c>
      <c r="F1055" t="str">
        <f t="shared" si="84"/>
        <v>BORDEAUX99</v>
      </c>
      <c r="G1055" t="s">
        <v>421</v>
      </c>
      <c r="I1055" s="16">
        <v>41.45</v>
      </c>
      <c r="J1055" s="16">
        <v>7.86</v>
      </c>
      <c r="K1055" s="16">
        <v>0</v>
      </c>
      <c r="L1055" s="159">
        <f t="shared" si="85"/>
        <v>0.18962605548854042</v>
      </c>
      <c r="M1055" s="159">
        <f t="shared" si="85"/>
        <v>0</v>
      </c>
    </row>
    <row r="1056" spans="2:13">
      <c r="B1056" t="s">
        <v>173</v>
      </c>
      <c r="C1056">
        <f t="shared" si="86"/>
        <v>100</v>
      </c>
      <c r="D1056" t="str">
        <f t="shared" si="83"/>
        <v>BORDEAUX100</v>
      </c>
      <c r="E1056" t="s">
        <v>1299</v>
      </c>
      <c r="F1056" t="str">
        <f t="shared" si="84"/>
        <v>BORDEAUX100</v>
      </c>
      <c r="G1056" t="s">
        <v>397</v>
      </c>
      <c r="I1056" s="16">
        <v>40.96</v>
      </c>
      <c r="J1056" s="16">
        <v>22.2</v>
      </c>
      <c r="K1056" s="16">
        <v>0</v>
      </c>
      <c r="L1056" s="159">
        <f t="shared" si="85"/>
        <v>0.5419921875</v>
      </c>
      <c r="M1056" s="159">
        <f t="shared" si="85"/>
        <v>0</v>
      </c>
    </row>
    <row r="1057" spans="2:13">
      <c r="B1057" t="s">
        <v>173</v>
      </c>
      <c r="C1057">
        <f t="shared" si="86"/>
        <v>101</v>
      </c>
      <c r="D1057" t="str">
        <f t="shared" si="83"/>
        <v>BORDEAUX101</v>
      </c>
      <c r="E1057" t="s">
        <v>1299</v>
      </c>
      <c r="F1057" t="str">
        <f t="shared" si="84"/>
        <v>BORDEAUX101</v>
      </c>
      <c r="G1057" t="s">
        <v>372</v>
      </c>
      <c r="I1057" s="16">
        <v>40.92</v>
      </c>
      <c r="J1057" s="16">
        <v>5.59</v>
      </c>
      <c r="K1057" s="16">
        <v>0</v>
      </c>
      <c r="L1057" s="159">
        <f t="shared" si="85"/>
        <v>0.13660801564027369</v>
      </c>
      <c r="M1057" s="159">
        <f t="shared" si="85"/>
        <v>0</v>
      </c>
    </row>
    <row r="1058" spans="2:13">
      <c r="B1058" t="s">
        <v>173</v>
      </c>
      <c r="C1058">
        <f t="shared" si="86"/>
        <v>102</v>
      </c>
      <c r="D1058" t="str">
        <f t="shared" si="83"/>
        <v>BORDEAUX102</v>
      </c>
      <c r="E1058" t="s">
        <v>1299</v>
      </c>
      <c r="F1058" t="str">
        <f t="shared" si="84"/>
        <v>BORDEAUX102</v>
      </c>
      <c r="G1058" t="s">
        <v>261</v>
      </c>
      <c r="I1058" s="16">
        <v>40.799999999999997</v>
      </c>
      <c r="J1058" s="16">
        <v>0</v>
      </c>
      <c r="K1058" s="16">
        <v>20.8</v>
      </c>
      <c r="L1058" s="159">
        <f t="shared" si="85"/>
        <v>0</v>
      </c>
      <c r="M1058" s="159">
        <f t="shared" si="85"/>
        <v>0.50980392156862753</v>
      </c>
    </row>
    <row r="1059" spans="2:13">
      <c r="B1059" t="s">
        <v>173</v>
      </c>
      <c r="C1059">
        <f t="shared" si="86"/>
        <v>103</v>
      </c>
      <c r="D1059" t="str">
        <f t="shared" si="83"/>
        <v>BORDEAUX103</v>
      </c>
      <c r="E1059" t="s">
        <v>1299</v>
      </c>
      <c r="F1059" t="str">
        <f t="shared" si="84"/>
        <v>BORDEAUX103</v>
      </c>
      <c r="G1059" t="s">
        <v>429</v>
      </c>
      <c r="I1059" s="16">
        <v>39.96</v>
      </c>
      <c r="J1059" s="16">
        <v>0</v>
      </c>
      <c r="K1059" s="16">
        <v>18.02</v>
      </c>
      <c r="L1059" s="159">
        <f t="shared" si="85"/>
        <v>0</v>
      </c>
      <c r="M1059" s="159">
        <f t="shared" si="85"/>
        <v>0.45095095095095095</v>
      </c>
    </row>
    <row r="1060" spans="2:13">
      <c r="B1060" t="s">
        <v>173</v>
      </c>
      <c r="C1060">
        <f t="shared" si="86"/>
        <v>104</v>
      </c>
      <c r="D1060" t="str">
        <f t="shared" si="83"/>
        <v>BORDEAUX104</v>
      </c>
      <c r="E1060" t="s">
        <v>1299</v>
      </c>
      <c r="F1060" t="str">
        <f t="shared" si="84"/>
        <v>BORDEAUX104</v>
      </c>
      <c r="G1060" t="s">
        <v>393</v>
      </c>
      <c r="I1060" s="16">
        <v>39.43</v>
      </c>
      <c r="J1060" s="16">
        <v>9.17</v>
      </c>
      <c r="K1060" s="16">
        <v>0</v>
      </c>
      <c r="L1060" s="159">
        <f t="shared" si="85"/>
        <v>0.23256403753487193</v>
      </c>
      <c r="M1060" s="159">
        <f t="shared" si="85"/>
        <v>0</v>
      </c>
    </row>
    <row r="1061" spans="2:13">
      <c r="B1061" t="s">
        <v>173</v>
      </c>
      <c r="C1061">
        <f t="shared" si="86"/>
        <v>105</v>
      </c>
      <c r="D1061" t="str">
        <f t="shared" si="83"/>
        <v>BORDEAUX105</v>
      </c>
      <c r="E1061" t="s">
        <v>1299</v>
      </c>
      <c r="F1061" t="str">
        <f t="shared" si="84"/>
        <v>BORDEAUX105</v>
      </c>
      <c r="G1061" t="s">
        <v>411</v>
      </c>
      <c r="I1061" s="16">
        <v>39.19</v>
      </c>
      <c r="J1061" s="16">
        <v>12.54</v>
      </c>
      <c r="K1061" s="16">
        <v>0</v>
      </c>
      <c r="L1061" s="159">
        <f t="shared" si="85"/>
        <v>0.31997958662924214</v>
      </c>
      <c r="M1061" s="159">
        <f t="shared" si="85"/>
        <v>0</v>
      </c>
    </row>
    <row r="1062" spans="2:13">
      <c r="B1062" t="s">
        <v>173</v>
      </c>
      <c r="C1062">
        <f t="shared" si="86"/>
        <v>106</v>
      </c>
      <c r="D1062" t="str">
        <f t="shared" si="83"/>
        <v>BORDEAUX106</v>
      </c>
      <c r="E1062" t="s">
        <v>1299</v>
      </c>
      <c r="F1062" t="str">
        <f t="shared" si="84"/>
        <v>BORDEAUX106</v>
      </c>
      <c r="G1062" t="s">
        <v>433</v>
      </c>
      <c r="I1062" s="16">
        <v>36.96</v>
      </c>
      <c r="J1062" s="16">
        <v>18.850000000000001</v>
      </c>
      <c r="K1062" s="16">
        <v>0</v>
      </c>
      <c r="L1062" s="159">
        <f t="shared" si="85"/>
        <v>0.51001082251082253</v>
      </c>
      <c r="M1062" s="159">
        <f t="shared" si="85"/>
        <v>0</v>
      </c>
    </row>
    <row r="1063" spans="2:13">
      <c r="B1063" t="s">
        <v>173</v>
      </c>
      <c r="C1063">
        <f t="shared" si="86"/>
        <v>107</v>
      </c>
      <c r="D1063" t="str">
        <f t="shared" si="83"/>
        <v>BORDEAUX107</v>
      </c>
      <c r="E1063" t="s">
        <v>1299</v>
      </c>
      <c r="F1063" t="str">
        <f t="shared" si="84"/>
        <v>BORDEAUX107</v>
      </c>
      <c r="G1063" t="s">
        <v>318</v>
      </c>
      <c r="I1063" s="16">
        <v>36.83</v>
      </c>
      <c r="J1063" s="16">
        <v>9.33</v>
      </c>
      <c r="K1063" s="16">
        <v>0</v>
      </c>
      <c r="L1063" s="159">
        <f t="shared" si="85"/>
        <v>0.25332609285908231</v>
      </c>
      <c r="M1063" s="159">
        <f t="shared" si="85"/>
        <v>0</v>
      </c>
    </row>
    <row r="1064" spans="2:13">
      <c r="B1064" t="s">
        <v>173</v>
      </c>
      <c r="C1064">
        <f t="shared" si="86"/>
        <v>108</v>
      </c>
      <c r="D1064" t="str">
        <f t="shared" si="83"/>
        <v>BORDEAUX108</v>
      </c>
      <c r="E1064" t="s">
        <v>1299</v>
      </c>
      <c r="F1064" t="str">
        <f t="shared" si="84"/>
        <v>BORDEAUX108</v>
      </c>
      <c r="G1064" t="s">
        <v>297</v>
      </c>
      <c r="I1064" s="16">
        <v>34.75</v>
      </c>
      <c r="J1064" s="16">
        <v>5.93</v>
      </c>
      <c r="K1064" s="16">
        <v>0</v>
      </c>
      <c r="L1064" s="159">
        <f t="shared" si="85"/>
        <v>0.17064748201438848</v>
      </c>
      <c r="M1064" s="159">
        <f t="shared" si="85"/>
        <v>0</v>
      </c>
    </row>
    <row r="1065" spans="2:13">
      <c r="B1065" t="s">
        <v>173</v>
      </c>
      <c r="C1065">
        <f t="shared" si="86"/>
        <v>109</v>
      </c>
      <c r="D1065" t="str">
        <f t="shared" si="83"/>
        <v>BORDEAUX109</v>
      </c>
      <c r="E1065" t="s">
        <v>1299</v>
      </c>
      <c r="F1065" t="str">
        <f t="shared" si="84"/>
        <v>BORDEAUX109</v>
      </c>
      <c r="G1065" t="s">
        <v>423</v>
      </c>
      <c r="I1065" s="16">
        <v>33.93</v>
      </c>
      <c r="J1065" s="16">
        <v>6.93</v>
      </c>
      <c r="K1065" s="16">
        <v>0</v>
      </c>
      <c r="L1065" s="159">
        <f t="shared" si="85"/>
        <v>0.20424403183023873</v>
      </c>
      <c r="M1065" s="159">
        <f t="shared" si="85"/>
        <v>0</v>
      </c>
    </row>
    <row r="1066" spans="2:13">
      <c r="B1066" t="s">
        <v>173</v>
      </c>
      <c r="C1066">
        <f t="shared" si="86"/>
        <v>110</v>
      </c>
      <c r="D1066" t="str">
        <f t="shared" si="83"/>
        <v>BORDEAUX110</v>
      </c>
      <c r="E1066" t="s">
        <v>1299</v>
      </c>
      <c r="F1066" t="str">
        <f t="shared" si="84"/>
        <v>BORDEAUX110</v>
      </c>
      <c r="G1066" t="s">
        <v>285</v>
      </c>
      <c r="H1066" t="s">
        <v>286</v>
      </c>
      <c r="I1066" s="16">
        <v>32.29</v>
      </c>
      <c r="J1066" s="16">
        <v>5.2</v>
      </c>
      <c r="K1066" s="16">
        <v>3.52</v>
      </c>
      <c r="L1066" s="159">
        <f t="shared" si="85"/>
        <v>0.16104056983586251</v>
      </c>
      <c r="M1066" s="159">
        <f t="shared" si="85"/>
        <v>0.10901207804273769</v>
      </c>
    </row>
    <row r="1067" spans="2:13">
      <c r="B1067" t="s">
        <v>173</v>
      </c>
      <c r="C1067">
        <f t="shared" si="86"/>
        <v>111</v>
      </c>
      <c r="D1067" t="str">
        <f t="shared" si="83"/>
        <v>BORDEAUX111</v>
      </c>
      <c r="E1067" t="s">
        <v>1299</v>
      </c>
      <c r="F1067" t="str">
        <f t="shared" si="84"/>
        <v>BORDEAUX111</v>
      </c>
      <c r="G1067" t="s">
        <v>295</v>
      </c>
      <c r="I1067" s="16">
        <v>31.67</v>
      </c>
      <c r="J1067" s="16">
        <v>11.56</v>
      </c>
      <c r="K1067" s="16">
        <v>17.05</v>
      </c>
      <c r="L1067" s="159">
        <f t="shared" si="85"/>
        <v>0.36501420903062837</v>
      </c>
      <c r="M1067" s="159">
        <f t="shared" si="85"/>
        <v>0.53836438269655829</v>
      </c>
    </row>
    <row r="1068" spans="2:13">
      <c r="B1068" t="s">
        <v>173</v>
      </c>
      <c r="C1068">
        <f t="shared" si="86"/>
        <v>112</v>
      </c>
      <c r="D1068" t="str">
        <f t="shared" si="83"/>
        <v>BORDEAUX112</v>
      </c>
      <c r="E1068" t="s">
        <v>1299</v>
      </c>
      <c r="F1068" t="str">
        <f t="shared" si="84"/>
        <v>BORDEAUX112</v>
      </c>
      <c r="G1068" t="s">
        <v>262</v>
      </c>
      <c r="I1068" s="16">
        <v>30.96</v>
      </c>
      <c r="J1068" s="16">
        <v>6.89</v>
      </c>
      <c r="K1068" s="16">
        <v>0</v>
      </c>
      <c r="L1068" s="159">
        <f t="shared" si="85"/>
        <v>0.22254521963824286</v>
      </c>
      <c r="M1068" s="159">
        <f t="shared" si="85"/>
        <v>0</v>
      </c>
    </row>
    <row r="1069" spans="2:13">
      <c r="B1069" t="s">
        <v>173</v>
      </c>
      <c r="C1069">
        <f t="shared" si="86"/>
        <v>113</v>
      </c>
      <c r="D1069" t="str">
        <f t="shared" si="83"/>
        <v>BORDEAUX113</v>
      </c>
      <c r="E1069" t="s">
        <v>1299</v>
      </c>
      <c r="F1069" t="str">
        <f t="shared" si="84"/>
        <v>BORDEAUX113</v>
      </c>
      <c r="G1069" t="s">
        <v>292</v>
      </c>
      <c r="I1069" s="16">
        <v>30.42</v>
      </c>
      <c r="J1069" s="16">
        <v>0</v>
      </c>
      <c r="K1069" s="16">
        <v>0</v>
      </c>
      <c r="L1069" s="159">
        <f t="shared" si="85"/>
        <v>0</v>
      </c>
      <c r="M1069" s="159">
        <f t="shared" si="85"/>
        <v>0</v>
      </c>
    </row>
    <row r="1070" spans="2:13">
      <c r="B1070" t="s">
        <v>173</v>
      </c>
      <c r="C1070">
        <f t="shared" si="86"/>
        <v>114</v>
      </c>
      <c r="D1070" t="str">
        <f t="shared" si="83"/>
        <v>BORDEAUX114</v>
      </c>
      <c r="E1070" t="s">
        <v>1299</v>
      </c>
      <c r="F1070" t="str">
        <f t="shared" si="84"/>
        <v>BORDEAUX114</v>
      </c>
      <c r="G1070" t="s">
        <v>316</v>
      </c>
      <c r="H1070" t="s">
        <v>317</v>
      </c>
      <c r="I1070" s="16">
        <v>30.26</v>
      </c>
      <c r="J1070" s="16">
        <v>25.15</v>
      </c>
      <c r="K1070" s="16">
        <v>25.15</v>
      </c>
      <c r="L1070" s="159">
        <f t="shared" si="85"/>
        <v>0.83113020489094502</v>
      </c>
      <c r="M1070" s="159">
        <f t="shared" si="85"/>
        <v>0.83113020489094502</v>
      </c>
    </row>
    <row r="1071" spans="2:13">
      <c r="B1071" t="s">
        <v>173</v>
      </c>
      <c r="C1071">
        <f t="shared" si="86"/>
        <v>115</v>
      </c>
      <c r="D1071" t="str">
        <f t="shared" si="83"/>
        <v>BORDEAUX115</v>
      </c>
      <c r="E1071" t="s">
        <v>1299</v>
      </c>
      <c r="F1071" t="str">
        <f t="shared" si="84"/>
        <v>BORDEAUX115</v>
      </c>
      <c r="G1071" t="s">
        <v>451</v>
      </c>
      <c r="I1071" s="16">
        <v>30</v>
      </c>
      <c r="J1071" s="16">
        <v>0</v>
      </c>
      <c r="K1071" s="16">
        <v>0</v>
      </c>
      <c r="L1071" s="159">
        <f t="shared" si="85"/>
        <v>0</v>
      </c>
      <c r="M1071" s="159">
        <f t="shared" si="85"/>
        <v>0</v>
      </c>
    </row>
    <row r="1072" spans="2:13">
      <c r="B1072" t="s">
        <v>173</v>
      </c>
      <c r="C1072">
        <f t="shared" si="86"/>
        <v>116</v>
      </c>
      <c r="D1072" t="str">
        <f t="shared" si="83"/>
        <v>BORDEAUX116</v>
      </c>
      <c r="E1072" t="s">
        <v>1299</v>
      </c>
      <c r="F1072" t="str">
        <f t="shared" si="84"/>
        <v>BORDEAUX116</v>
      </c>
      <c r="G1072" t="s">
        <v>245</v>
      </c>
      <c r="I1072" s="16">
        <v>28.02</v>
      </c>
      <c r="J1072" s="16">
        <v>0</v>
      </c>
      <c r="K1072" s="16">
        <v>7.96</v>
      </c>
      <c r="L1072" s="159">
        <f t="shared" si="85"/>
        <v>0</v>
      </c>
      <c r="M1072" s="159">
        <f t="shared" si="85"/>
        <v>0.28408279800142755</v>
      </c>
    </row>
    <row r="1073" spans="2:13">
      <c r="B1073" t="s">
        <v>173</v>
      </c>
      <c r="C1073">
        <f t="shared" si="86"/>
        <v>117</v>
      </c>
      <c r="D1073" t="str">
        <f t="shared" si="83"/>
        <v>BORDEAUX117</v>
      </c>
      <c r="E1073" t="s">
        <v>1299</v>
      </c>
      <c r="F1073" t="str">
        <f t="shared" si="84"/>
        <v>BORDEAUX117</v>
      </c>
      <c r="G1073" t="s">
        <v>427</v>
      </c>
      <c r="H1073" t="s">
        <v>1797</v>
      </c>
      <c r="I1073" s="16">
        <v>27.84</v>
      </c>
      <c r="J1073" s="16">
        <v>0</v>
      </c>
      <c r="K1073" s="16">
        <v>26.79</v>
      </c>
      <c r="L1073" s="159">
        <f t="shared" si="85"/>
        <v>0</v>
      </c>
      <c r="M1073" s="159">
        <f t="shared" si="85"/>
        <v>0.96228448275862066</v>
      </c>
    </row>
    <row r="1074" spans="2:13">
      <c r="B1074" t="s">
        <v>173</v>
      </c>
      <c r="C1074">
        <f t="shared" si="86"/>
        <v>118</v>
      </c>
      <c r="D1074" t="str">
        <f t="shared" si="83"/>
        <v>BORDEAUX118</v>
      </c>
      <c r="E1074" t="s">
        <v>1299</v>
      </c>
      <c r="F1074" t="str">
        <f t="shared" si="84"/>
        <v>BORDEAUX118</v>
      </c>
      <c r="G1074" t="s">
        <v>383</v>
      </c>
      <c r="I1074" s="16">
        <v>27.72</v>
      </c>
      <c r="J1074" s="16">
        <v>0</v>
      </c>
      <c r="K1074" s="16">
        <v>5.93</v>
      </c>
      <c r="L1074" s="159">
        <f t="shared" si="85"/>
        <v>0</v>
      </c>
      <c r="M1074" s="159">
        <f t="shared" si="85"/>
        <v>0.21392496392496393</v>
      </c>
    </row>
    <row r="1075" spans="2:13">
      <c r="B1075" t="s">
        <v>173</v>
      </c>
      <c r="C1075">
        <f t="shared" si="86"/>
        <v>119</v>
      </c>
      <c r="D1075" t="str">
        <f t="shared" si="83"/>
        <v>BORDEAUX119</v>
      </c>
      <c r="E1075" t="s">
        <v>1299</v>
      </c>
      <c r="F1075" t="str">
        <f t="shared" si="84"/>
        <v>BORDEAUX119</v>
      </c>
      <c r="G1075" t="s">
        <v>412</v>
      </c>
      <c r="I1075" s="16">
        <v>25.86</v>
      </c>
      <c r="J1075" s="16">
        <v>11.93</v>
      </c>
      <c r="K1075" s="16">
        <v>0</v>
      </c>
      <c r="L1075" s="159">
        <f t="shared" si="85"/>
        <v>0.46133023975251353</v>
      </c>
      <c r="M1075" s="159">
        <f t="shared" si="85"/>
        <v>0</v>
      </c>
    </row>
    <row r="1076" spans="2:13">
      <c r="B1076" t="s">
        <v>173</v>
      </c>
      <c r="C1076">
        <f t="shared" si="86"/>
        <v>120</v>
      </c>
      <c r="D1076" t="str">
        <f t="shared" si="83"/>
        <v>BORDEAUX120</v>
      </c>
      <c r="E1076" t="s">
        <v>1299</v>
      </c>
      <c r="F1076" t="str">
        <f t="shared" si="84"/>
        <v>BORDEAUX120</v>
      </c>
      <c r="G1076" t="s">
        <v>314</v>
      </c>
      <c r="I1076" s="16">
        <v>24.48</v>
      </c>
      <c r="J1076" s="16">
        <v>0</v>
      </c>
      <c r="K1076" s="16">
        <v>0</v>
      </c>
      <c r="L1076" s="159">
        <f t="shared" si="85"/>
        <v>0</v>
      </c>
      <c r="M1076" s="159">
        <f t="shared" si="85"/>
        <v>0</v>
      </c>
    </row>
    <row r="1077" spans="2:13">
      <c r="B1077" t="s">
        <v>173</v>
      </c>
      <c r="C1077">
        <f t="shared" si="86"/>
        <v>121</v>
      </c>
      <c r="D1077" t="str">
        <f t="shared" si="83"/>
        <v>BORDEAUX121</v>
      </c>
      <c r="E1077" t="s">
        <v>1299</v>
      </c>
      <c r="F1077" t="str">
        <f t="shared" si="84"/>
        <v>BORDEAUX121</v>
      </c>
      <c r="G1077" t="s">
        <v>381</v>
      </c>
      <c r="I1077" s="16">
        <v>24.47</v>
      </c>
      <c r="J1077" s="16">
        <v>20.170000000000002</v>
      </c>
      <c r="K1077" s="16">
        <v>0</v>
      </c>
      <c r="L1077" s="159">
        <f t="shared" si="85"/>
        <v>0.82427462198610557</v>
      </c>
      <c r="M1077" s="159">
        <f t="shared" si="85"/>
        <v>0</v>
      </c>
    </row>
    <row r="1078" spans="2:13">
      <c r="B1078" t="s">
        <v>173</v>
      </c>
      <c r="C1078">
        <f t="shared" si="86"/>
        <v>122</v>
      </c>
      <c r="D1078" t="str">
        <f t="shared" si="83"/>
        <v>BORDEAUX122</v>
      </c>
      <c r="E1078" t="s">
        <v>1299</v>
      </c>
      <c r="F1078" t="str">
        <f t="shared" si="84"/>
        <v>BORDEAUX122</v>
      </c>
      <c r="G1078" t="s">
        <v>337</v>
      </c>
      <c r="I1078" s="16">
        <v>23.78</v>
      </c>
      <c r="J1078" s="16">
        <v>0</v>
      </c>
      <c r="K1078" s="16">
        <v>0</v>
      </c>
      <c r="L1078" s="159">
        <f t="shared" si="85"/>
        <v>0</v>
      </c>
      <c r="M1078" s="159">
        <f t="shared" si="85"/>
        <v>0</v>
      </c>
    </row>
    <row r="1079" spans="2:13">
      <c r="B1079" t="s">
        <v>173</v>
      </c>
      <c r="C1079">
        <f t="shared" si="86"/>
        <v>123</v>
      </c>
      <c r="D1079" t="str">
        <f t="shared" si="83"/>
        <v>BORDEAUX123</v>
      </c>
      <c r="E1079" t="s">
        <v>1299</v>
      </c>
      <c r="F1079" t="str">
        <f t="shared" si="84"/>
        <v>BORDEAUX123</v>
      </c>
      <c r="G1079" t="s">
        <v>432</v>
      </c>
      <c r="I1079" s="16">
        <v>23.58</v>
      </c>
      <c r="J1079" s="16">
        <v>9.85</v>
      </c>
      <c r="K1079" s="16">
        <v>0</v>
      </c>
      <c r="L1079" s="159">
        <f t="shared" si="85"/>
        <v>0.41772688719253609</v>
      </c>
      <c r="M1079" s="159">
        <f t="shared" si="85"/>
        <v>0</v>
      </c>
    </row>
    <row r="1080" spans="2:13">
      <c r="B1080" t="s">
        <v>173</v>
      </c>
      <c r="C1080">
        <f t="shared" si="86"/>
        <v>124</v>
      </c>
      <c r="D1080" t="str">
        <f t="shared" si="83"/>
        <v>BORDEAUX124</v>
      </c>
      <c r="E1080" t="s">
        <v>1299</v>
      </c>
      <c r="F1080" t="str">
        <f t="shared" si="84"/>
        <v>BORDEAUX124</v>
      </c>
      <c r="G1080" t="s">
        <v>378</v>
      </c>
      <c r="I1080" s="16">
        <v>21.87</v>
      </c>
      <c r="J1080" s="16">
        <v>9.74</v>
      </c>
      <c r="K1080" s="16">
        <v>0</v>
      </c>
      <c r="L1080" s="159">
        <f t="shared" si="85"/>
        <v>0.44535893918609964</v>
      </c>
      <c r="M1080" s="159">
        <f t="shared" si="85"/>
        <v>0</v>
      </c>
    </row>
    <row r="1081" spans="2:13">
      <c r="B1081" t="s">
        <v>173</v>
      </c>
      <c r="C1081">
        <f t="shared" si="86"/>
        <v>125</v>
      </c>
      <c r="D1081" t="str">
        <f t="shared" si="83"/>
        <v>BORDEAUX125</v>
      </c>
      <c r="E1081" t="s">
        <v>1299</v>
      </c>
      <c r="F1081" t="str">
        <f t="shared" si="84"/>
        <v>BORDEAUX125</v>
      </c>
      <c r="G1081" t="s">
        <v>373</v>
      </c>
      <c r="I1081" s="16">
        <v>21.56</v>
      </c>
      <c r="J1081" s="16">
        <v>8.85</v>
      </c>
      <c r="K1081" s="16">
        <v>0</v>
      </c>
      <c r="L1081" s="159">
        <f t="shared" si="85"/>
        <v>0.41048237476808908</v>
      </c>
      <c r="M1081" s="159">
        <f t="shared" si="85"/>
        <v>0</v>
      </c>
    </row>
    <row r="1082" spans="2:13">
      <c r="B1082" t="s">
        <v>173</v>
      </c>
      <c r="C1082">
        <f t="shared" si="86"/>
        <v>126</v>
      </c>
      <c r="D1082" t="str">
        <f t="shared" si="83"/>
        <v>BORDEAUX126</v>
      </c>
      <c r="E1082" t="s">
        <v>1299</v>
      </c>
      <c r="F1082" t="str">
        <f t="shared" si="84"/>
        <v>BORDEAUX126</v>
      </c>
      <c r="G1082" t="s">
        <v>392</v>
      </c>
      <c r="I1082" s="16">
        <v>20.93</v>
      </c>
      <c r="J1082" s="16">
        <v>15</v>
      </c>
      <c r="K1082" s="16">
        <v>0</v>
      </c>
      <c r="L1082" s="159">
        <f t="shared" si="85"/>
        <v>0.71667462971810802</v>
      </c>
      <c r="M1082" s="159">
        <f t="shared" si="85"/>
        <v>0</v>
      </c>
    </row>
    <row r="1083" spans="2:13">
      <c r="B1083" t="s">
        <v>173</v>
      </c>
      <c r="C1083">
        <f t="shared" si="86"/>
        <v>127</v>
      </c>
      <c r="D1083" t="str">
        <f t="shared" si="83"/>
        <v>BORDEAUX127</v>
      </c>
      <c r="E1083" t="s">
        <v>1299</v>
      </c>
      <c r="F1083" t="str">
        <f t="shared" si="84"/>
        <v>BORDEAUX127</v>
      </c>
      <c r="G1083" t="s">
        <v>396</v>
      </c>
      <c r="I1083" s="16">
        <v>20.89</v>
      </c>
      <c r="J1083" s="16">
        <v>0</v>
      </c>
      <c r="K1083" s="16">
        <v>3.78</v>
      </c>
      <c r="L1083" s="159">
        <f t="shared" si="85"/>
        <v>0</v>
      </c>
      <c r="M1083" s="159">
        <f t="shared" si="85"/>
        <v>0.1809478219243657</v>
      </c>
    </row>
    <row r="1084" spans="2:13">
      <c r="B1084" t="s">
        <v>173</v>
      </c>
      <c r="C1084">
        <f t="shared" si="86"/>
        <v>128</v>
      </c>
      <c r="D1084" t="str">
        <f t="shared" si="83"/>
        <v>BORDEAUX128</v>
      </c>
      <c r="E1084" t="s">
        <v>1299</v>
      </c>
      <c r="F1084" t="str">
        <f t="shared" si="84"/>
        <v>BORDEAUX128</v>
      </c>
      <c r="G1084" t="s">
        <v>352</v>
      </c>
      <c r="I1084" s="16">
        <v>20.58</v>
      </c>
      <c r="J1084" s="16">
        <v>18.579999999999998</v>
      </c>
      <c r="K1084" s="16">
        <v>0</v>
      </c>
      <c r="L1084" s="159">
        <f t="shared" si="85"/>
        <v>0.90281827016520888</v>
      </c>
      <c r="M1084" s="159">
        <f t="shared" si="85"/>
        <v>0</v>
      </c>
    </row>
    <row r="1085" spans="2:13">
      <c r="B1085" t="s">
        <v>173</v>
      </c>
      <c r="C1085">
        <f t="shared" ref="C1085:C1116" si="87">RANK(I1085,$I$956:$I$1133,0)</f>
        <v>129</v>
      </c>
      <c r="D1085" t="str">
        <f t="shared" si="83"/>
        <v>BORDEAUX129</v>
      </c>
      <c r="E1085" t="s">
        <v>1299</v>
      </c>
      <c r="F1085" t="str">
        <f t="shared" si="84"/>
        <v>BORDEAUX129</v>
      </c>
      <c r="G1085" t="s">
        <v>415</v>
      </c>
      <c r="I1085" s="16">
        <v>20.03</v>
      </c>
      <c r="J1085" s="16">
        <v>5.59</v>
      </c>
      <c r="K1085" s="16">
        <v>0</v>
      </c>
      <c r="L1085" s="159">
        <f t="shared" si="85"/>
        <v>0.27908137793310034</v>
      </c>
      <c r="M1085" s="159">
        <f t="shared" si="85"/>
        <v>0</v>
      </c>
    </row>
    <row r="1086" spans="2:13">
      <c r="B1086" t="s">
        <v>173</v>
      </c>
      <c r="C1086">
        <f t="shared" si="87"/>
        <v>130</v>
      </c>
      <c r="D1086" t="str">
        <f t="shared" si="83"/>
        <v>BORDEAUX130</v>
      </c>
      <c r="E1086" t="s">
        <v>1299</v>
      </c>
      <c r="F1086" t="str">
        <f t="shared" si="84"/>
        <v>BORDEAUX130</v>
      </c>
      <c r="G1086" t="s">
        <v>414</v>
      </c>
      <c r="I1086" s="16">
        <v>18.190000000000001</v>
      </c>
      <c r="J1086" s="16">
        <v>18.190000000000001</v>
      </c>
      <c r="K1086" s="16">
        <v>0</v>
      </c>
      <c r="L1086" s="159">
        <f t="shared" si="85"/>
        <v>1</v>
      </c>
      <c r="M1086" s="159">
        <f t="shared" si="85"/>
        <v>0</v>
      </c>
    </row>
    <row r="1087" spans="2:13">
      <c r="B1087" t="s">
        <v>173</v>
      </c>
      <c r="C1087">
        <f t="shared" si="87"/>
        <v>131</v>
      </c>
      <c r="D1087" t="str">
        <f t="shared" si="83"/>
        <v>BORDEAUX131</v>
      </c>
      <c r="E1087" t="s">
        <v>1299</v>
      </c>
      <c r="F1087" t="str">
        <f t="shared" si="84"/>
        <v>BORDEAUX131</v>
      </c>
      <c r="G1087" t="s">
        <v>329</v>
      </c>
      <c r="I1087" s="16">
        <v>17.89</v>
      </c>
      <c r="J1087" s="16">
        <v>10.130000000000001</v>
      </c>
      <c r="K1087" s="16">
        <v>2.17</v>
      </c>
      <c r="L1087" s="159">
        <f t="shared" si="85"/>
        <v>0.56623812185578537</v>
      </c>
      <c r="M1087" s="159">
        <f t="shared" si="85"/>
        <v>0.12129681386249301</v>
      </c>
    </row>
    <row r="1088" spans="2:13">
      <c r="B1088" t="s">
        <v>173</v>
      </c>
      <c r="C1088">
        <f t="shared" si="87"/>
        <v>132</v>
      </c>
      <c r="D1088" t="str">
        <f t="shared" si="83"/>
        <v>BORDEAUX132</v>
      </c>
      <c r="E1088" t="s">
        <v>1299</v>
      </c>
      <c r="F1088" t="str">
        <f t="shared" si="84"/>
        <v>BORDEAUX132</v>
      </c>
      <c r="G1088" t="s">
        <v>280</v>
      </c>
      <c r="I1088" s="16">
        <v>17.32</v>
      </c>
      <c r="J1088" s="16">
        <v>13.47</v>
      </c>
      <c r="K1088" s="16">
        <v>0</v>
      </c>
      <c r="L1088" s="159">
        <f t="shared" si="85"/>
        <v>0.77771362586605086</v>
      </c>
      <c r="M1088" s="159">
        <f t="shared" si="85"/>
        <v>0</v>
      </c>
    </row>
    <row r="1089" spans="2:13">
      <c r="B1089" t="s">
        <v>173</v>
      </c>
      <c r="C1089">
        <f t="shared" si="87"/>
        <v>133</v>
      </c>
      <c r="D1089" t="str">
        <f t="shared" si="83"/>
        <v>BORDEAUX133</v>
      </c>
      <c r="E1089" t="s">
        <v>1299</v>
      </c>
      <c r="F1089" t="str">
        <f t="shared" si="84"/>
        <v>BORDEAUX133</v>
      </c>
      <c r="G1089" t="s">
        <v>398</v>
      </c>
      <c r="I1089" s="16">
        <v>17.190000000000001</v>
      </c>
      <c r="J1089" s="16">
        <v>7.86</v>
      </c>
      <c r="K1089" s="16">
        <v>0</v>
      </c>
      <c r="L1089" s="159">
        <f t="shared" si="85"/>
        <v>0.45724258289703312</v>
      </c>
      <c r="M1089" s="159">
        <f t="shared" si="85"/>
        <v>0</v>
      </c>
    </row>
    <row r="1090" spans="2:13">
      <c r="B1090" t="s">
        <v>173</v>
      </c>
      <c r="C1090">
        <f t="shared" si="87"/>
        <v>134</v>
      </c>
      <c r="D1090" t="str">
        <f t="shared" ref="D1090:D1153" si="88">CONCATENATE(E1090,C1090)</f>
        <v>BORDEAUX134</v>
      </c>
      <c r="E1090" t="s">
        <v>1299</v>
      </c>
      <c r="F1090" t="str">
        <f t="shared" si="84"/>
        <v>BORDEAUX134</v>
      </c>
      <c r="G1090" t="s">
        <v>368</v>
      </c>
      <c r="I1090" s="16">
        <v>16.32</v>
      </c>
      <c r="J1090" s="16">
        <v>3.63</v>
      </c>
      <c r="K1090" s="16">
        <v>0</v>
      </c>
      <c r="L1090" s="159">
        <f t="shared" si="85"/>
        <v>0.22242647058823528</v>
      </c>
      <c r="M1090" s="159">
        <f t="shared" si="85"/>
        <v>0</v>
      </c>
    </row>
    <row r="1091" spans="2:13">
      <c r="B1091" t="s">
        <v>173</v>
      </c>
      <c r="C1091">
        <f t="shared" si="87"/>
        <v>135</v>
      </c>
      <c r="D1091" t="str">
        <f t="shared" si="88"/>
        <v>BORDEAUX135</v>
      </c>
      <c r="E1091" t="s">
        <v>1299</v>
      </c>
      <c r="F1091" t="str">
        <f t="shared" ref="F1091:F1154" si="89">D1091</f>
        <v>BORDEAUX135</v>
      </c>
      <c r="G1091" t="s">
        <v>315</v>
      </c>
      <c r="I1091" s="16">
        <v>15.48</v>
      </c>
      <c r="J1091" s="16">
        <v>0</v>
      </c>
      <c r="K1091" s="16">
        <v>7.41</v>
      </c>
      <c r="L1091" s="159">
        <f t="shared" ref="L1091:M1154" si="90">J1091/$I1091</f>
        <v>0</v>
      </c>
      <c r="M1091" s="159">
        <f t="shared" si="90"/>
        <v>0.47868217054263568</v>
      </c>
    </row>
    <row r="1092" spans="2:13">
      <c r="B1092" t="s">
        <v>173</v>
      </c>
      <c r="C1092">
        <f t="shared" si="87"/>
        <v>136</v>
      </c>
      <c r="D1092" t="str">
        <f t="shared" si="88"/>
        <v>BORDEAUX136</v>
      </c>
      <c r="E1092" t="s">
        <v>1299</v>
      </c>
      <c r="F1092" t="str">
        <f t="shared" si="89"/>
        <v>BORDEAUX136</v>
      </c>
      <c r="G1092" t="s">
        <v>233</v>
      </c>
      <c r="I1092" s="16">
        <v>15.44</v>
      </c>
      <c r="J1092" s="16">
        <v>15.44</v>
      </c>
      <c r="K1092" s="16">
        <v>6.13</v>
      </c>
      <c r="L1092" s="159">
        <f t="shared" si="90"/>
        <v>1</v>
      </c>
      <c r="M1092" s="159">
        <f t="shared" si="90"/>
        <v>0.39702072538860106</v>
      </c>
    </row>
    <row r="1093" spans="2:13">
      <c r="B1093" t="s">
        <v>173</v>
      </c>
      <c r="C1093">
        <f t="shared" si="87"/>
        <v>137</v>
      </c>
      <c r="D1093" t="str">
        <f t="shared" si="88"/>
        <v>BORDEAUX137</v>
      </c>
      <c r="E1093" t="s">
        <v>1299</v>
      </c>
      <c r="F1093" t="str">
        <f t="shared" si="89"/>
        <v>BORDEAUX137</v>
      </c>
      <c r="G1093" t="s">
        <v>288</v>
      </c>
      <c r="I1093" s="16">
        <v>15.32</v>
      </c>
      <c r="J1093" s="16">
        <v>15.32</v>
      </c>
      <c r="K1093" s="16">
        <v>0</v>
      </c>
      <c r="L1093" s="159">
        <f t="shared" si="90"/>
        <v>1</v>
      </c>
      <c r="M1093" s="159">
        <f t="shared" si="90"/>
        <v>0</v>
      </c>
    </row>
    <row r="1094" spans="2:13">
      <c r="B1094" t="s">
        <v>173</v>
      </c>
      <c r="C1094">
        <f t="shared" si="87"/>
        <v>138</v>
      </c>
      <c r="D1094" t="str">
        <f t="shared" si="88"/>
        <v>BORDEAUX138</v>
      </c>
      <c r="E1094" t="s">
        <v>1299</v>
      </c>
      <c r="F1094" t="str">
        <f t="shared" si="89"/>
        <v>BORDEAUX138</v>
      </c>
      <c r="G1094" t="s">
        <v>436</v>
      </c>
      <c r="I1094" s="16">
        <v>14.77</v>
      </c>
      <c r="J1094" s="16">
        <v>6.62</v>
      </c>
      <c r="K1094" s="16">
        <v>8.15</v>
      </c>
      <c r="L1094" s="159">
        <f t="shared" si="90"/>
        <v>0.44820582261340558</v>
      </c>
      <c r="M1094" s="159">
        <f t="shared" si="90"/>
        <v>0.55179417738659453</v>
      </c>
    </row>
    <row r="1095" spans="2:13">
      <c r="B1095" t="s">
        <v>173</v>
      </c>
      <c r="C1095">
        <f t="shared" si="87"/>
        <v>139</v>
      </c>
      <c r="D1095" t="str">
        <f t="shared" si="88"/>
        <v>BORDEAUX139</v>
      </c>
      <c r="E1095" t="s">
        <v>1299</v>
      </c>
      <c r="F1095" t="str">
        <f t="shared" si="89"/>
        <v>BORDEAUX139</v>
      </c>
      <c r="G1095" t="s">
        <v>277</v>
      </c>
      <c r="I1095" s="16">
        <v>14.32</v>
      </c>
      <c r="J1095" s="16">
        <v>0</v>
      </c>
      <c r="K1095" s="16">
        <v>14.32</v>
      </c>
      <c r="L1095" s="159">
        <f t="shared" si="90"/>
        <v>0</v>
      </c>
      <c r="M1095" s="159">
        <f t="shared" si="90"/>
        <v>1</v>
      </c>
    </row>
    <row r="1096" spans="2:13">
      <c r="B1096" t="s">
        <v>173</v>
      </c>
      <c r="C1096">
        <f t="shared" si="87"/>
        <v>140</v>
      </c>
      <c r="D1096" t="str">
        <f t="shared" si="88"/>
        <v>BORDEAUX140</v>
      </c>
      <c r="E1096" t="s">
        <v>1299</v>
      </c>
      <c r="F1096" t="str">
        <f t="shared" si="89"/>
        <v>BORDEAUX140</v>
      </c>
      <c r="G1096" t="s">
        <v>263</v>
      </c>
      <c r="I1096" s="16">
        <v>14.28</v>
      </c>
      <c r="J1096" s="16">
        <v>0</v>
      </c>
      <c r="K1096" s="16">
        <v>0</v>
      </c>
      <c r="L1096" s="159">
        <f t="shared" si="90"/>
        <v>0</v>
      </c>
      <c r="M1096" s="159">
        <f t="shared" si="90"/>
        <v>0</v>
      </c>
    </row>
    <row r="1097" spans="2:13">
      <c r="B1097" t="s">
        <v>173</v>
      </c>
      <c r="C1097">
        <f t="shared" si="87"/>
        <v>141</v>
      </c>
      <c r="D1097" t="str">
        <f t="shared" si="88"/>
        <v>BORDEAUX141</v>
      </c>
      <c r="E1097" t="s">
        <v>1299</v>
      </c>
      <c r="F1097" t="str">
        <f t="shared" si="89"/>
        <v>BORDEAUX141</v>
      </c>
      <c r="G1097" t="s">
        <v>430</v>
      </c>
      <c r="I1097" s="16">
        <v>14.05</v>
      </c>
      <c r="J1097" s="16">
        <v>0</v>
      </c>
      <c r="K1097" s="16">
        <v>0</v>
      </c>
      <c r="L1097" s="159">
        <f t="shared" si="90"/>
        <v>0</v>
      </c>
      <c r="M1097" s="159">
        <f t="shared" si="90"/>
        <v>0</v>
      </c>
    </row>
    <row r="1098" spans="2:13">
      <c r="B1098" t="s">
        <v>173</v>
      </c>
      <c r="C1098">
        <f t="shared" si="87"/>
        <v>142</v>
      </c>
      <c r="D1098" t="str">
        <f t="shared" si="88"/>
        <v>BORDEAUX142</v>
      </c>
      <c r="E1098" t="s">
        <v>1299</v>
      </c>
      <c r="F1098" t="str">
        <f t="shared" si="89"/>
        <v>BORDEAUX142</v>
      </c>
      <c r="G1098" t="s">
        <v>445</v>
      </c>
      <c r="I1098" s="16">
        <v>13.22</v>
      </c>
      <c r="J1098" s="16">
        <v>10.59</v>
      </c>
      <c r="K1098" s="16">
        <v>0</v>
      </c>
      <c r="L1098" s="159">
        <f t="shared" si="90"/>
        <v>0.80105900151285925</v>
      </c>
      <c r="M1098" s="159">
        <f t="shared" si="90"/>
        <v>0</v>
      </c>
    </row>
    <row r="1099" spans="2:13">
      <c r="B1099" t="s">
        <v>173</v>
      </c>
      <c r="C1099">
        <f t="shared" si="87"/>
        <v>143</v>
      </c>
      <c r="D1099" t="str">
        <f t="shared" si="88"/>
        <v>BORDEAUX143</v>
      </c>
      <c r="E1099" t="s">
        <v>1299</v>
      </c>
      <c r="F1099" t="str">
        <f t="shared" si="89"/>
        <v>BORDEAUX143</v>
      </c>
      <c r="G1099" t="s">
        <v>401</v>
      </c>
      <c r="I1099" s="16">
        <v>12.96</v>
      </c>
      <c r="J1099" s="16">
        <v>2.19</v>
      </c>
      <c r="K1099" s="16">
        <v>0</v>
      </c>
      <c r="L1099" s="159">
        <f t="shared" si="90"/>
        <v>0.16898148148148145</v>
      </c>
      <c r="M1099" s="159">
        <f t="shared" si="90"/>
        <v>0</v>
      </c>
    </row>
    <row r="1100" spans="2:13">
      <c r="B1100" t="s">
        <v>173</v>
      </c>
      <c r="C1100">
        <f t="shared" si="87"/>
        <v>144</v>
      </c>
      <c r="D1100" t="str">
        <f t="shared" si="88"/>
        <v>BORDEAUX144</v>
      </c>
      <c r="E1100" t="s">
        <v>1299</v>
      </c>
      <c r="F1100" t="str">
        <f t="shared" si="89"/>
        <v>BORDEAUX144</v>
      </c>
      <c r="G1100" t="s">
        <v>371</v>
      </c>
      <c r="I1100" s="16">
        <v>12.54</v>
      </c>
      <c r="J1100" s="16">
        <v>0</v>
      </c>
      <c r="K1100" s="16">
        <v>0</v>
      </c>
      <c r="L1100" s="159">
        <f t="shared" si="90"/>
        <v>0</v>
      </c>
      <c r="M1100" s="159">
        <f t="shared" si="90"/>
        <v>0</v>
      </c>
    </row>
    <row r="1101" spans="2:13">
      <c r="B1101" t="s">
        <v>173</v>
      </c>
      <c r="C1101">
        <f t="shared" si="87"/>
        <v>145</v>
      </c>
      <c r="D1101" t="str">
        <f t="shared" si="88"/>
        <v>BORDEAUX145</v>
      </c>
      <c r="E1101" t="s">
        <v>1299</v>
      </c>
      <c r="F1101" t="str">
        <f t="shared" si="89"/>
        <v>BORDEAUX145</v>
      </c>
      <c r="G1101" t="s">
        <v>424</v>
      </c>
      <c r="I1101" s="16">
        <v>12.39</v>
      </c>
      <c r="J1101" s="16">
        <v>7.82</v>
      </c>
      <c r="K1101" s="16">
        <v>0</v>
      </c>
      <c r="L1101" s="159">
        <f t="shared" si="90"/>
        <v>0.63115415657788543</v>
      </c>
      <c r="M1101" s="159">
        <f t="shared" si="90"/>
        <v>0</v>
      </c>
    </row>
    <row r="1102" spans="2:13">
      <c r="B1102" t="s">
        <v>173</v>
      </c>
      <c r="C1102">
        <f t="shared" si="87"/>
        <v>146</v>
      </c>
      <c r="D1102" t="str">
        <f t="shared" si="88"/>
        <v>BORDEAUX146</v>
      </c>
      <c r="E1102" t="s">
        <v>1299</v>
      </c>
      <c r="F1102" t="str">
        <f t="shared" si="89"/>
        <v>BORDEAUX146</v>
      </c>
      <c r="G1102" t="s">
        <v>391</v>
      </c>
      <c r="I1102" s="16">
        <v>11.89</v>
      </c>
      <c r="J1102" s="16">
        <v>6.84</v>
      </c>
      <c r="K1102" s="16">
        <v>0</v>
      </c>
      <c r="L1102" s="159">
        <f t="shared" si="90"/>
        <v>0.57527333894028587</v>
      </c>
      <c r="M1102" s="159">
        <f t="shared" si="90"/>
        <v>0</v>
      </c>
    </row>
    <row r="1103" spans="2:13">
      <c r="B1103" t="s">
        <v>173</v>
      </c>
      <c r="C1103">
        <f t="shared" si="87"/>
        <v>147</v>
      </c>
      <c r="D1103" t="str">
        <f t="shared" si="88"/>
        <v>BORDEAUX147</v>
      </c>
      <c r="E1103" t="s">
        <v>1299</v>
      </c>
      <c r="F1103" t="str">
        <f t="shared" si="89"/>
        <v>BORDEAUX147</v>
      </c>
      <c r="G1103" t="s">
        <v>283</v>
      </c>
      <c r="I1103" s="16">
        <v>11.62</v>
      </c>
      <c r="J1103" s="16">
        <v>5.51</v>
      </c>
      <c r="K1103" s="16">
        <v>0</v>
      </c>
      <c r="L1103" s="159">
        <f t="shared" si="90"/>
        <v>0.47418244406196214</v>
      </c>
      <c r="M1103" s="159">
        <f t="shared" si="90"/>
        <v>0</v>
      </c>
    </row>
    <row r="1104" spans="2:13">
      <c r="B1104" t="s">
        <v>173</v>
      </c>
      <c r="C1104">
        <f t="shared" si="87"/>
        <v>148</v>
      </c>
      <c r="D1104" t="str">
        <f t="shared" si="88"/>
        <v>BORDEAUX148</v>
      </c>
      <c r="E1104" t="s">
        <v>1299</v>
      </c>
      <c r="F1104" t="str">
        <f t="shared" si="89"/>
        <v>BORDEAUX148</v>
      </c>
      <c r="G1104" t="s">
        <v>355</v>
      </c>
      <c r="I1104" s="16">
        <v>10.69</v>
      </c>
      <c r="J1104" s="16">
        <v>0</v>
      </c>
      <c r="K1104" s="16">
        <v>0</v>
      </c>
      <c r="L1104" s="159">
        <f t="shared" si="90"/>
        <v>0</v>
      </c>
      <c r="M1104" s="159">
        <f t="shared" si="90"/>
        <v>0</v>
      </c>
    </row>
    <row r="1105" spans="2:13">
      <c r="B1105" t="s">
        <v>173</v>
      </c>
      <c r="C1105">
        <f t="shared" si="87"/>
        <v>149</v>
      </c>
      <c r="D1105" t="str">
        <f t="shared" si="88"/>
        <v>BORDEAUX149</v>
      </c>
      <c r="E1105" t="s">
        <v>1299</v>
      </c>
      <c r="F1105" t="str">
        <f t="shared" si="89"/>
        <v>BORDEAUX149</v>
      </c>
      <c r="G1105" t="s">
        <v>442</v>
      </c>
      <c r="I1105" s="16">
        <v>10.42</v>
      </c>
      <c r="J1105" s="16">
        <v>10.42</v>
      </c>
      <c r="K1105" s="16">
        <v>0</v>
      </c>
      <c r="L1105" s="159">
        <f t="shared" si="90"/>
        <v>1</v>
      </c>
      <c r="M1105" s="159">
        <f t="shared" si="90"/>
        <v>0</v>
      </c>
    </row>
    <row r="1106" spans="2:13">
      <c r="B1106" t="s">
        <v>173</v>
      </c>
      <c r="C1106">
        <f t="shared" si="87"/>
        <v>150</v>
      </c>
      <c r="D1106" t="str">
        <f t="shared" si="88"/>
        <v>BORDEAUX150</v>
      </c>
      <c r="E1106" t="s">
        <v>1299</v>
      </c>
      <c r="F1106" t="str">
        <f t="shared" si="89"/>
        <v>BORDEAUX150</v>
      </c>
      <c r="G1106" t="s">
        <v>217</v>
      </c>
      <c r="I1106" s="16">
        <v>10.33</v>
      </c>
      <c r="J1106" s="16">
        <v>0</v>
      </c>
      <c r="K1106" s="16">
        <v>0</v>
      </c>
      <c r="L1106" s="159">
        <f t="shared" si="90"/>
        <v>0</v>
      </c>
      <c r="M1106" s="159">
        <f t="shared" si="90"/>
        <v>0</v>
      </c>
    </row>
    <row r="1107" spans="2:13">
      <c r="B1107" t="s">
        <v>173</v>
      </c>
      <c r="C1107">
        <f t="shared" si="87"/>
        <v>151</v>
      </c>
      <c r="D1107" t="str">
        <f t="shared" si="88"/>
        <v>BORDEAUX151</v>
      </c>
      <c r="E1107" t="s">
        <v>1299</v>
      </c>
      <c r="F1107" t="str">
        <f t="shared" si="89"/>
        <v>BORDEAUX151</v>
      </c>
      <c r="G1107" t="s">
        <v>439</v>
      </c>
      <c r="H1107" t="s">
        <v>440</v>
      </c>
      <c r="I1107" s="16">
        <v>9.27</v>
      </c>
      <c r="J1107" s="16">
        <v>3.4</v>
      </c>
      <c r="K1107" s="16">
        <v>0</v>
      </c>
      <c r="L1107" s="159">
        <f t="shared" si="90"/>
        <v>0.3667745415318231</v>
      </c>
      <c r="M1107" s="159">
        <f t="shared" si="90"/>
        <v>0</v>
      </c>
    </row>
    <row r="1108" spans="2:13">
      <c r="B1108" t="s">
        <v>173</v>
      </c>
      <c r="C1108">
        <f t="shared" si="87"/>
        <v>152</v>
      </c>
      <c r="D1108" t="str">
        <f t="shared" si="88"/>
        <v>BORDEAUX152</v>
      </c>
      <c r="E1108" t="s">
        <v>1299</v>
      </c>
      <c r="F1108" t="str">
        <f t="shared" si="89"/>
        <v>BORDEAUX152</v>
      </c>
      <c r="G1108" t="s">
        <v>375</v>
      </c>
      <c r="I1108" s="16">
        <v>9.1</v>
      </c>
      <c r="J1108" s="16">
        <v>3</v>
      </c>
      <c r="K1108" s="16">
        <v>0</v>
      </c>
      <c r="L1108" s="159">
        <f t="shared" si="90"/>
        <v>0.32967032967032966</v>
      </c>
      <c r="M1108" s="159">
        <f t="shared" si="90"/>
        <v>0</v>
      </c>
    </row>
    <row r="1109" spans="2:13">
      <c r="B1109" t="s">
        <v>173</v>
      </c>
      <c r="C1109">
        <f t="shared" si="87"/>
        <v>153</v>
      </c>
      <c r="D1109" t="str">
        <f t="shared" si="88"/>
        <v>BORDEAUX153</v>
      </c>
      <c r="E1109" t="s">
        <v>1299</v>
      </c>
      <c r="F1109" t="str">
        <f t="shared" si="89"/>
        <v>BORDEAUX153</v>
      </c>
      <c r="G1109" t="s">
        <v>385</v>
      </c>
      <c r="I1109" s="16">
        <v>9.07</v>
      </c>
      <c r="J1109" s="16">
        <v>9.07</v>
      </c>
      <c r="K1109" s="16">
        <v>0</v>
      </c>
      <c r="L1109" s="159">
        <f t="shared" si="90"/>
        <v>1</v>
      </c>
      <c r="M1109" s="159">
        <f t="shared" si="90"/>
        <v>0</v>
      </c>
    </row>
    <row r="1110" spans="2:13">
      <c r="B1110" t="s">
        <v>173</v>
      </c>
      <c r="C1110">
        <f t="shared" si="87"/>
        <v>154</v>
      </c>
      <c r="D1110" t="str">
        <f t="shared" si="88"/>
        <v>BORDEAUX154</v>
      </c>
      <c r="E1110" t="s">
        <v>1299</v>
      </c>
      <c r="F1110" t="str">
        <f t="shared" si="89"/>
        <v>BORDEAUX154</v>
      </c>
      <c r="G1110" t="s">
        <v>388</v>
      </c>
      <c r="I1110" s="16">
        <v>8.4499999999999993</v>
      </c>
      <c r="J1110" s="16">
        <v>0</v>
      </c>
      <c r="K1110" s="16">
        <v>8.4499999999999993</v>
      </c>
      <c r="L1110" s="159">
        <f t="shared" si="90"/>
        <v>0</v>
      </c>
      <c r="M1110" s="159">
        <f t="shared" si="90"/>
        <v>1</v>
      </c>
    </row>
    <row r="1111" spans="2:13">
      <c r="B1111" t="s">
        <v>173</v>
      </c>
      <c r="C1111">
        <f t="shared" si="87"/>
        <v>155</v>
      </c>
      <c r="D1111" t="str">
        <f t="shared" si="88"/>
        <v>BORDEAUX155</v>
      </c>
      <c r="E1111" t="s">
        <v>1299</v>
      </c>
      <c r="F1111" t="str">
        <f t="shared" si="89"/>
        <v>BORDEAUX155</v>
      </c>
      <c r="G1111" t="s">
        <v>380</v>
      </c>
      <c r="I1111" s="16">
        <v>8.06</v>
      </c>
      <c r="J1111" s="16">
        <v>8.06</v>
      </c>
      <c r="K1111" s="16">
        <v>0</v>
      </c>
      <c r="L1111" s="159">
        <f t="shared" si="90"/>
        <v>1</v>
      </c>
      <c r="M1111" s="159">
        <f t="shared" si="90"/>
        <v>0</v>
      </c>
    </row>
    <row r="1112" spans="2:13">
      <c r="B1112" t="s">
        <v>173</v>
      </c>
      <c r="C1112">
        <f t="shared" si="87"/>
        <v>156</v>
      </c>
      <c r="D1112" t="str">
        <f t="shared" si="88"/>
        <v>BORDEAUX156</v>
      </c>
      <c r="E1112" t="s">
        <v>1299</v>
      </c>
      <c r="F1112" t="str">
        <f t="shared" si="89"/>
        <v>BORDEAUX156</v>
      </c>
      <c r="G1112" t="s">
        <v>444</v>
      </c>
      <c r="I1112" s="16">
        <v>7.96</v>
      </c>
      <c r="J1112" s="16">
        <v>7.96</v>
      </c>
      <c r="K1112" s="16">
        <v>0</v>
      </c>
      <c r="L1112" s="159">
        <f t="shared" si="90"/>
        <v>1</v>
      </c>
      <c r="M1112" s="159">
        <f t="shared" si="90"/>
        <v>0</v>
      </c>
    </row>
    <row r="1113" spans="2:13">
      <c r="B1113" t="s">
        <v>173</v>
      </c>
      <c r="C1113">
        <f t="shared" si="87"/>
        <v>157</v>
      </c>
      <c r="D1113" t="str">
        <f t="shared" si="88"/>
        <v>BORDEAUX157</v>
      </c>
      <c r="E1113" t="s">
        <v>1299</v>
      </c>
      <c r="F1113" t="str">
        <f t="shared" si="89"/>
        <v>BORDEAUX157</v>
      </c>
      <c r="G1113" t="s">
        <v>450</v>
      </c>
      <c r="I1113" s="16">
        <v>7.82</v>
      </c>
      <c r="J1113" s="16">
        <v>7.82</v>
      </c>
      <c r="K1113" s="16">
        <v>0</v>
      </c>
      <c r="L1113" s="159">
        <f t="shared" si="90"/>
        <v>1</v>
      </c>
      <c r="M1113" s="159">
        <f t="shared" si="90"/>
        <v>0</v>
      </c>
    </row>
    <row r="1114" spans="2:13">
      <c r="B1114" t="s">
        <v>173</v>
      </c>
      <c r="C1114">
        <f t="shared" si="87"/>
        <v>158</v>
      </c>
      <c r="D1114" t="str">
        <f t="shared" si="88"/>
        <v>BORDEAUX158</v>
      </c>
      <c r="E1114" t="s">
        <v>1299</v>
      </c>
      <c r="F1114" t="str">
        <f t="shared" si="89"/>
        <v>BORDEAUX158</v>
      </c>
      <c r="G1114" t="s">
        <v>323</v>
      </c>
      <c r="I1114" s="16">
        <v>7.39</v>
      </c>
      <c r="J1114" s="16">
        <v>2.19</v>
      </c>
      <c r="K1114" s="16">
        <v>0</v>
      </c>
      <c r="L1114" s="159">
        <f t="shared" si="90"/>
        <v>0.29634641407307172</v>
      </c>
      <c r="M1114" s="159">
        <f t="shared" si="90"/>
        <v>0</v>
      </c>
    </row>
    <row r="1115" spans="2:13">
      <c r="B1115" t="s">
        <v>173</v>
      </c>
      <c r="C1115">
        <f t="shared" si="87"/>
        <v>159</v>
      </c>
      <c r="D1115" t="str">
        <f t="shared" si="88"/>
        <v>BORDEAUX159</v>
      </c>
      <c r="E1115" t="s">
        <v>1299</v>
      </c>
      <c r="F1115" t="str">
        <f t="shared" si="89"/>
        <v>BORDEAUX159</v>
      </c>
      <c r="G1115" t="s">
        <v>441</v>
      </c>
      <c r="I1115" s="16">
        <v>7.21</v>
      </c>
      <c r="J1115" s="16">
        <v>0</v>
      </c>
      <c r="K1115" s="16">
        <v>0</v>
      </c>
      <c r="L1115" s="159">
        <f t="shared" si="90"/>
        <v>0</v>
      </c>
      <c r="M1115" s="159">
        <f t="shared" si="90"/>
        <v>0</v>
      </c>
    </row>
    <row r="1116" spans="2:13">
      <c r="B1116" t="s">
        <v>173</v>
      </c>
      <c r="C1116">
        <f t="shared" si="87"/>
        <v>160</v>
      </c>
      <c r="D1116" t="str">
        <f t="shared" si="88"/>
        <v>BORDEAUX160</v>
      </c>
      <c r="E1116" t="s">
        <v>1299</v>
      </c>
      <c r="F1116" t="str">
        <f t="shared" si="89"/>
        <v>BORDEAUX160</v>
      </c>
      <c r="G1116" t="s">
        <v>405</v>
      </c>
      <c r="I1116" s="16">
        <v>7.05</v>
      </c>
      <c r="J1116" s="16">
        <v>7.05</v>
      </c>
      <c r="K1116" s="16">
        <v>0</v>
      </c>
      <c r="L1116" s="159">
        <f t="shared" si="90"/>
        <v>1</v>
      </c>
      <c r="M1116" s="159">
        <f t="shared" si="90"/>
        <v>0</v>
      </c>
    </row>
    <row r="1117" spans="2:13">
      <c r="B1117" t="s">
        <v>173</v>
      </c>
      <c r="C1117">
        <f t="shared" ref="C1117:C1133" si="91">RANK(I1117,$I$956:$I$1133,0)</f>
        <v>161</v>
      </c>
      <c r="D1117" t="str">
        <f t="shared" si="88"/>
        <v>BORDEAUX161</v>
      </c>
      <c r="E1117" t="s">
        <v>1299</v>
      </c>
      <c r="F1117" t="str">
        <f t="shared" si="89"/>
        <v>BORDEAUX161</v>
      </c>
      <c r="G1117" t="s">
        <v>359</v>
      </c>
      <c r="I1117" s="16">
        <v>6.9</v>
      </c>
      <c r="J1117" s="16">
        <v>0</v>
      </c>
      <c r="K1117" s="16">
        <v>0</v>
      </c>
      <c r="L1117" s="159">
        <f t="shared" si="90"/>
        <v>0</v>
      </c>
      <c r="M1117" s="159">
        <f t="shared" si="90"/>
        <v>0</v>
      </c>
    </row>
    <row r="1118" spans="2:13">
      <c r="B1118" t="s">
        <v>173</v>
      </c>
      <c r="C1118">
        <f t="shared" si="91"/>
        <v>162</v>
      </c>
      <c r="D1118" t="str">
        <f t="shared" si="88"/>
        <v>BORDEAUX162</v>
      </c>
      <c r="E1118" t="s">
        <v>1299</v>
      </c>
      <c r="F1118" t="str">
        <f t="shared" si="89"/>
        <v>BORDEAUX162</v>
      </c>
      <c r="G1118" t="s">
        <v>420</v>
      </c>
      <c r="I1118" s="16">
        <v>6.75</v>
      </c>
      <c r="J1118" s="16">
        <v>3.37</v>
      </c>
      <c r="K1118" s="16">
        <v>0</v>
      </c>
      <c r="L1118" s="159">
        <f t="shared" si="90"/>
        <v>0.49925925925925929</v>
      </c>
      <c r="M1118" s="159">
        <f t="shared" si="90"/>
        <v>0</v>
      </c>
    </row>
    <row r="1119" spans="2:13">
      <c r="B1119" t="s">
        <v>173</v>
      </c>
      <c r="C1119">
        <f t="shared" si="91"/>
        <v>163</v>
      </c>
      <c r="D1119" t="str">
        <f t="shared" si="88"/>
        <v>BORDEAUX163</v>
      </c>
      <c r="E1119" t="s">
        <v>1299</v>
      </c>
      <c r="F1119" t="str">
        <f t="shared" si="89"/>
        <v>BORDEAUX163</v>
      </c>
      <c r="G1119" t="s">
        <v>422</v>
      </c>
      <c r="I1119" s="16">
        <v>5.93</v>
      </c>
      <c r="J1119" s="16">
        <v>0</v>
      </c>
      <c r="K1119" s="16">
        <v>0</v>
      </c>
      <c r="L1119" s="159">
        <f t="shared" si="90"/>
        <v>0</v>
      </c>
      <c r="M1119" s="159">
        <f t="shared" si="90"/>
        <v>0</v>
      </c>
    </row>
    <row r="1120" spans="2:13">
      <c r="B1120" t="s">
        <v>173</v>
      </c>
      <c r="C1120">
        <f t="shared" si="91"/>
        <v>164</v>
      </c>
      <c r="D1120" t="str">
        <f t="shared" si="88"/>
        <v>BORDEAUX164</v>
      </c>
      <c r="E1120" t="s">
        <v>1299</v>
      </c>
      <c r="F1120" t="str">
        <f t="shared" si="89"/>
        <v>BORDEAUX164</v>
      </c>
      <c r="G1120" t="s">
        <v>418</v>
      </c>
      <c r="I1120" s="16">
        <v>5.72</v>
      </c>
      <c r="J1120" s="16">
        <v>0</v>
      </c>
      <c r="K1120" s="16">
        <v>0</v>
      </c>
      <c r="L1120" s="159">
        <f t="shared" si="90"/>
        <v>0</v>
      </c>
      <c r="M1120" s="159">
        <f t="shared" si="90"/>
        <v>0</v>
      </c>
    </row>
    <row r="1121" spans="2:13">
      <c r="B1121" t="s">
        <v>173</v>
      </c>
      <c r="C1121">
        <f t="shared" si="91"/>
        <v>165</v>
      </c>
      <c r="D1121" t="str">
        <f t="shared" si="88"/>
        <v>BORDEAUX165</v>
      </c>
      <c r="E1121" t="s">
        <v>1299</v>
      </c>
      <c r="F1121" t="str">
        <f t="shared" si="89"/>
        <v>BORDEAUX165</v>
      </c>
      <c r="G1121" t="s">
        <v>425</v>
      </c>
      <c r="I1121" s="16">
        <v>5.59</v>
      </c>
      <c r="J1121" s="16">
        <v>5.59</v>
      </c>
      <c r="K1121" s="16">
        <v>0</v>
      </c>
      <c r="L1121" s="159">
        <f t="shared" si="90"/>
        <v>1</v>
      </c>
      <c r="M1121" s="159">
        <f t="shared" si="90"/>
        <v>0</v>
      </c>
    </row>
    <row r="1122" spans="2:13">
      <c r="B1122" t="s">
        <v>173</v>
      </c>
      <c r="C1122">
        <f t="shared" si="91"/>
        <v>166</v>
      </c>
      <c r="D1122" t="str">
        <f t="shared" si="88"/>
        <v>BORDEAUX166</v>
      </c>
      <c r="E1122" t="s">
        <v>1299</v>
      </c>
      <c r="F1122" t="str">
        <f t="shared" si="89"/>
        <v>BORDEAUX166</v>
      </c>
      <c r="G1122" t="s">
        <v>306</v>
      </c>
      <c r="H1122" t="s">
        <v>307</v>
      </c>
      <c r="I1122" s="16">
        <v>5.45</v>
      </c>
      <c r="J1122" s="16">
        <v>0</v>
      </c>
      <c r="K1122" s="16">
        <v>0</v>
      </c>
      <c r="L1122" s="159">
        <f t="shared" si="90"/>
        <v>0</v>
      </c>
      <c r="M1122" s="159">
        <f t="shared" si="90"/>
        <v>0</v>
      </c>
    </row>
    <row r="1123" spans="2:13">
      <c r="B1123" t="s">
        <v>173</v>
      </c>
      <c r="C1123">
        <f t="shared" si="91"/>
        <v>167</v>
      </c>
      <c r="D1123" t="str">
        <f t="shared" si="88"/>
        <v>BORDEAUX167</v>
      </c>
      <c r="E1123" t="s">
        <v>1299</v>
      </c>
      <c r="F1123" t="str">
        <f t="shared" si="89"/>
        <v>BORDEAUX167</v>
      </c>
      <c r="G1123" t="s">
        <v>389</v>
      </c>
      <c r="I1123" s="16">
        <v>5.29</v>
      </c>
      <c r="J1123" s="16">
        <v>5.29</v>
      </c>
      <c r="K1123" s="16">
        <v>0</v>
      </c>
      <c r="L1123" s="159">
        <f t="shared" si="90"/>
        <v>1</v>
      </c>
      <c r="M1123" s="159">
        <f t="shared" si="90"/>
        <v>0</v>
      </c>
    </row>
    <row r="1124" spans="2:13">
      <c r="B1124" t="s">
        <v>173</v>
      </c>
      <c r="C1124">
        <f t="shared" si="91"/>
        <v>168</v>
      </c>
      <c r="D1124" t="str">
        <f t="shared" si="88"/>
        <v>BORDEAUX168</v>
      </c>
      <c r="E1124" t="s">
        <v>1299</v>
      </c>
      <c r="F1124" t="str">
        <f t="shared" si="89"/>
        <v>BORDEAUX168</v>
      </c>
      <c r="G1124" t="s">
        <v>448</v>
      </c>
      <c r="I1124" s="16">
        <v>4.6900000000000004</v>
      </c>
      <c r="J1124" s="16">
        <v>0</v>
      </c>
      <c r="K1124" s="16">
        <v>0</v>
      </c>
      <c r="L1124" s="159">
        <f t="shared" si="90"/>
        <v>0</v>
      </c>
      <c r="M1124" s="159">
        <f t="shared" si="90"/>
        <v>0</v>
      </c>
    </row>
    <row r="1125" spans="2:13">
      <c r="B1125" t="s">
        <v>173</v>
      </c>
      <c r="C1125">
        <f t="shared" si="91"/>
        <v>169</v>
      </c>
      <c r="D1125" t="str">
        <f t="shared" si="88"/>
        <v>BORDEAUX169</v>
      </c>
      <c r="E1125" t="s">
        <v>1299</v>
      </c>
      <c r="F1125" t="str">
        <f t="shared" si="89"/>
        <v>BORDEAUX169</v>
      </c>
      <c r="G1125" t="s">
        <v>299</v>
      </c>
      <c r="H1125" t="s">
        <v>1800</v>
      </c>
      <c r="I1125" s="16">
        <v>4.2300000000000004</v>
      </c>
      <c r="J1125" s="16">
        <v>0</v>
      </c>
      <c r="K1125" s="16">
        <v>0</v>
      </c>
      <c r="L1125" s="159">
        <f t="shared" si="90"/>
        <v>0</v>
      </c>
      <c r="M1125" s="159">
        <f t="shared" si="90"/>
        <v>0</v>
      </c>
    </row>
    <row r="1126" spans="2:13">
      <c r="B1126" t="s">
        <v>173</v>
      </c>
      <c r="C1126">
        <f t="shared" si="91"/>
        <v>170</v>
      </c>
      <c r="D1126" t="str">
        <f t="shared" si="88"/>
        <v>BORDEAUX170</v>
      </c>
      <c r="E1126" t="s">
        <v>1299</v>
      </c>
      <c r="F1126" t="str">
        <f t="shared" si="89"/>
        <v>BORDEAUX170</v>
      </c>
      <c r="G1126" t="s">
        <v>259</v>
      </c>
      <c r="I1126" s="16">
        <v>3.99</v>
      </c>
      <c r="J1126" s="16">
        <v>3.99</v>
      </c>
      <c r="K1126" s="16">
        <v>0</v>
      </c>
      <c r="L1126" s="159">
        <f t="shared" si="90"/>
        <v>1</v>
      </c>
      <c r="M1126" s="159">
        <f t="shared" si="90"/>
        <v>0</v>
      </c>
    </row>
    <row r="1127" spans="2:13">
      <c r="B1127" t="s">
        <v>173</v>
      </c>
      <c r="C1127">
        <f t="shared" si="91"/>
        <v>171</v>
      </c>
      <c r="D1127" t="str">
        <f t="shared" si="88"/>
        <v>BORDEAUX171</v>
      </c>
      <c r="E1127" t="s">
        <v>1299</v>
      </c>
      <c r="F1127" t="str">
        <f t="shared" si="89"/>
        <v>BORDEAUX171</v>
      </c>
      <c r="G1127" t="s">
        <v>301</v>
      </c>
      <c r="H1127" t="s">
        <v>918</v>
      </c>
      <c r="I1127" s="16">
        <v>3.92</v>
      </c>
      <c r="J1127" s="16">
        <v>0</v>
      </c>
      <c r="K1127" s="16">
        <v>0</v>
      </c>
      <c r="L1127" s="159">
        <f t="shared" si="90"/>
        <v>0</v>
      </c>
      <c r="M1127" s="159">
        <f t="shared" si="90"/>
        <v>0</v>
      </c>
    </row>
    <row r="1128" spans="2:13">
      <c r="B1128" t="s">
        <v>173</v>
      </c>
      <c r="C1128">
        <f t="shared" si="91"/>
        <v>172</v>
      </c>
      <c r="D1128" t="str">
        <f t="shared" si="88"/>
        <v>BORDEAUX172</v>
      </c>
      <c r="E1128" t="s">
        <v>1299</v>
      </c>
      <c r="F1128" t="str">
        <f t="shared" si="89"/>
        <v>BORDEAUX172</v>
      </c>
      <c r="G1128" t="s">
        <v>400</v>
      </c>
      <c r="I1128" s="16">
        <v>3.5</v>
      </c>
      <c r="J1128" s="16">
        <v>3.5</v>
      </c>
      <c r="K1128" s="16">
        <v>0</v>
      </c>
      <c r="L1128" s="159">
        <f t="shared" si="90"/>
        <v>1</v>
      </c>
      <c r="M1128" s="159">
        <f t="shared" si="90"/>
        <v>0</v>
      </c>
    </row>
    <row r="1129" spans="2:13">
      <c r="B1129" t="s">
        <v>173</v>
      </c>
      <c r="C1129">
        <f t="shared" si="91"/>
        <v>174</v>
      </c>
      <c r="D1129" t="str">
        <f t="shared" si="88"/>
        <v>BORDEAUX174</v>
      </c>
      <c r="E1129" t="s">
        <v>1299</v>
      </c>
      <c r="F1129" t="str">
        <f t="shared" si="89"/>
        <v>BORDEAUX174</v>
      </c>
      <c r="G1129" t="s">
        <v>370</v>
      </c>
      <c r="I1129" s="16">
        <v>2.0699999999999998</v>
      </c>
      <c r="J1129" s="16">
        <v>0</v>
      </c>
      <c r="K1129" s="16">
        <v>0</v>
      </c>
      <c r="L1129" s="159">
        <f t="shared" si="90"/>
        <v>0</v>
      </c>
      <c r="M1129" s="159">
        <f t="shared" si="90"/>
        <v>0</v>
      </c>
    </row>
    <row r="1130" spans="2:13">
      <c r="B1130" t="s">
        <v>173</v>
      </c>
      <c r="C1130">
        <f t="shared" si="91"/>
        <v>175</v>
      </c>
      <c r="D1130" t="str">
        <f t="shared" si="88"/>
        <v>BORDEAUX175</v>
      </c>
      <c r="E1130" t="s">
        <v>1299</v>
      </c>
      <c r="F1130" t="str">
        <f t="shared" si="89"/>
        <v>BORDEAUX175</v>
      </c>
      <c r="G1130" t="s">
        <v>454</v>
      </c>
      <c r="I1130" s="16">
        <v>2</v>
      </c>
      <c r="J1130" s="16">
        <v>2</v>
      </c>
      <c r="K1130" s="16">
        <v>0</v>
      </c>
      <c r="L1130" s="159">
        <f t="shared" si="90"/>
        <v>1</v>
      </c>
      <c r="M1130" s="159">
        <f t="shared" si="90"/>
        <v>0</v>
      </c>
    </row>
    <row r="1131" spans="2:13">
      <c r="B1131" t="s">
        <v>173</v>
      </c>
      <c r="C1131">
        <f t="shared" si="91"/>
        <v>176</v>
      </c>
      <c r="D1131" t="str">
        <f t="shared" si="88"/>
        <v>BORDEAUX176</v>
      </c>
      <c r="E1131" t="s">
        <v>1299</v>
      </c>
      <c r="F1131" t="str">
        <f t="shared" si="89"/>
        <v>BORDEAUX176</v>
      </c>
      <c r="G1131" t="s">
        <v>353</v>
      </c>
      <c r="I1131" s="16">
        <v>1.73</v>
      </c>
      <c r="J1131" s="16">
        <v>1.73</v>
      </c>
      <c r="K1131" s="16">
        <v>0</v>
      </c>
      <c r="L1131" s="159">
        <f t="shared" si="90"/>
        <v>1</v>
      </c>
      <c r="M1131" s="159">
        <f t="shared" si="90"/>
        <v>0</v>
      </c>
    </row>
    <row r="1132" spans="2:13">
      <c r="B1132" t="s">
        <v>173</v>
      </c>
      <c r="C1132">
        <f t="shared" si="91"/>
        <v>177</v>
      </c>
      <c r="D1132" t="str">
        <f t="shared" si="88"/>
        <v>BORDEAUX177</v>
      </c>
      <c r="E1132" t="s">
        <v>1299</v>
      </c>
      <c r="F1132" t="str">
        <f t="shared" si="89"/>
        <v>BORDEAUX177</v>
      </c>
      <c r="G1132" t="s">
        <v>367</v>
      </c>
      <c r="I1132" s="16">
        <v>1.32</v>
      </c>
      <c r="J1132" s="16">
        <v>1.32</v>
      </c>
      <c r="K1132" s="16">
        <v>0</v>
      </c>
      <c r="L1132" s="159">
        <f t="shared" si="90"/>
        <v>1</v>
      </c>
      <c r="M1132" s="159">
        <f t="shared" si="90"/>
        <v>0</v>
      </c>
    </row>
    <row r="1133" spans="2:13">
      <c r="B1133" t="s">
        <v>173</v>
      </c>
      <c r="C1133">
        <f t="shared" si="91"/>
        <v>178</v>
      </c>
      <c r="D1133" t="str">
        <f t="shared" si="88"/>
        <v>BORDEAUX178</v>
      </c>
      <c r="E1133" t="s">
        <v>1299</v>
      </c>
      <c r="F1133" t="str">
        <f t="shared" si="89"/>
        <v>BORDEAUX178</v>
      </c>
      <c r="G1133" t="s">
        <v>384</v>
      </c>
      <c r="I1133" s="16">
        <v>1.1499999999999999</v>
      </c>
      <c r="J1133" s="16">
        <v>0</v>
      </c>
      <c r="K1133" s="16">
        <v>0</v>
      </c>
      <c r="L1133" s="159">
        <f t="shared" si="90"/>
        <v>0</v>
      </c>
      <c r="M1133" s="159">
        <f t="shared" si="90"/>
        <v>0</v>
      </c>
    </row>
    <row r="1134" spans="2:13">
      <c r="B1134" t="s">
        <v>175</v>
      </c>
      <c r="C1134">
        <f t="shared" ref="C1134:C1165" si="92">RANK(I1134,$I$1133:$I$1310,0)</f>
        <v>1</v>
      </c>
      <c r="D1134" t="str">
        <f t="shared" si="88"/>
        <v>TOULOUSE1</v>
      </c>
      <c r="E1134" t="s">
        <v>176</v>
      </c>
      <c r="F1134" t="str">
        <f t="shared" si="89"/>
        <v>TOULOUSE1</v>
      </c>
      <c r="G1134" t="s">
        <v>354</v>
      </c>
      <c r="H1134" t="s">
        <v>942</v>
      </c>
      <c r="I1134" s="16">
        <v>1969.94</v>
      </c>
      <c r="J1134" s="16">
        <v>856.47</v>
      </c>
      <c r="K1134" s="16">
        <v>12.88</v>
      </c>
      <c r="L1134" s="159">
        <f t="shared" si="90"/>
        <v>0.43476958689097128</v>
      </c>
      <c r="M1134" s="159">
        <f t="shared" si="90"/>
        <v>6.5382702011228767E-3</v>
      </c>
    </row>
    <row r="1135" spans="2:13">
      <c r="B1135" t="s">
        <v>175</v>
      </c>
      <c r="C1135">
        <f t="shared" si="92"/>
        <v>2</v>
      </c>
      <c r="D1135" t="str">
        <f t="shared" si="88"/>
        <v>TOULOUSE2</v>
      </c>
      <c r="E1135" t="s">
        <v>176</v>
      </c>
      <c r="F1135" t="str">
        <f t="shared" si="89"/>
        <v>TOULOUSE2</v>
      </c>
      <c r="G1135" t="s">
        <v>225</v>
      </c>
      <c r="H1135" t="s">
        <v>1779</v>
      </c>
      <c r="I1135" s="16">
        <v>1815.17</v>
      </c>
      <c r="J1135" s="16">
        <v>421.82</v>
      </c>
      <c r="K1135" s="16">
        <v>668.07</v>
      </c>
      <c r="L1135" s="159">
        <f t="shared" si="90"/>
        <v>0.23238594732173845</v>
      </c>
      <c r="M1135" s="159">
        <f t="shared" si="90"/>
        <v>0.36804817179658106</v>
      </c>
    </row>
    <row r="1136" spans="2:13">
      <c r="B1136" t="s">
        <v>175</v>
      </c>
      <c r="C1136">
        <f t="shared" si="92"/>
        <v>3</v>
      </c>
      <c r="D1136" t="str">
        <f t="shared" si="88"/>
        <v>TOULOUSE3</v>
      </c>
      <c r="E1136" t="s">
        <v>176</v>
      </c>
      <c r="F1136" t="str">
        <f t="shared" si="89"/>
        <v>TOULOUSE3</v>
      </c>
      <c r="G1136" t="s">
        <v>211</v>
      </c>
      <c r="H1136" t="s">
        <v>908</v>
      </c>
      <c r="I1136" s="16">
        <v>1647.72</v>
      </c>
      <c r="J1136" s="16">
        <v>403.53</v>
      </c>
      <c r="K1136" s="16">
        <v>1070.6300000000001</v>
      </c>
      <c r="L1136" s="159">
        <f t="shared" si="90"/>
        <v>0.24490204646420508</v>
      </c>
      <c r="M1136" s="159">
        <f t="shared" si="90"/>
        <v>0.64976452309858479</v>
      </c>
    </row>
    <row r="1137" spans="2:13">
      <c r="B1137" t="s">
        <v>175</v>
      </c>
      <c r="C1137">
        <f t="shared" si="92"/>
        <v>4</v>
      </c>
      <c r="D1137" t="str">
        <f t="shared" si="88"/>
        <v>TOULOUSE4</v>
      </c>
      <c r="E1137" t="s">
        <v>176</v>
      </c>
      <c r="F1137" t="str">
        <f t="shared" si="89"/>
        <v>TOULOUSE4</v>
      </c>
      <c r="G1137" t="s">
        <v>223</v>
      </c>
      <c r="H1137" t="s">
        <v>916</v>
      </c>
      <c r="I1137" s="16">
        <v>1308.1500000000001</v>
      </c>
      <c r="J1137" s="16">
        <v>253.91</v>
      </c>
      <c r="K1137" s="16">
        <v>702.02</v>
      </c>
      <c r="L1137" s="159">
        <f t="shared" si="90"/>
        <v>0.19409853610060007</v>
      </c>
      <c r="M1137" s="159">
        <f t="shared" si="90"/>
        <v>0.53665099568092334</v>
      </c>
    </row>
    <row r="1138" spans="2:13">
      <c r="B1138" t="s">
        <v>175</v>
      </c>
      <c r="C1138">
        <f t="shared" si="92"/>
        <v>5</v>
      </c>
      <c r="D1138" t="str">
        <f t="shared" si="88"/>
        <v>TOULOUSE5</v>
      </c>
      <c r="E1138" t="s">
        <v>176</v>
      </c>
      <c r="F1138" t="str">
        <f t="shared" si="89"/>
        <v>TOULOUSE5</v>
      </c>
      <c r="G1138" t="s">
        <v>224</v>
      </c>
      <c r="H1138" t="s">
        <v>917</v>
      </c>
      <c r="I1138" s="16">
        <v>1042.82</v>
      </c>
      <c r="J1138" s="16">
        <v>426.89</v>
      </c>
      <c r="K1138" s="16">
        <v>83.11</v>
      </c>
      <c r="L1138" s="159">
        <f t="shared" si="90"/>
        <v>0.40936115532881995</v>
      </c>
      <c r="M1138" s="159">
        <f t="shared" si="90"/>
        <v>7.9697359084022174E-2</v>
      </c>
    </row>
    <row r="1139" spans="2:13">
      <c r="B1139" t="s">
        <v>175</v>
      </c>
      <c r="C1139">
        <f t="shared" si="92"/>
        <v>6</v>
      </c>
      <c r="D1139" t="str">
        <f t="shared" si="88"/>
        <v>TOULOUSE6</v>
      </c>
      <c r="E1139" t="s">
        <v>176</v>
      </c>
      <c r="F1139" t="str">
        <f t="shared" si="89"/>
        <v>TOULOUSE6</v>
      </c>
      <c r="G1139" t="s">
        <v>216</v>
      </c>
      <c r="H1139" t="s">
        <v>910</v>
      </c>
      <c r="I1139" s="16">
        <v>1022.19</v>
      </c>
      <c r="J1139" s="16">
        <v>773.53</v>
      </c>
      <c r="K1139" s="16">
        <v>200.82</v>
      </c>
      <c r="L1139" s="159">
        <f t="shared" si="90"/>
        <v>0.75673798413210847</v>
      </c>
      <c r="M1139" s="159">
        <f t="shared" si="90"/>
        <v>0.19646054060399729</v>
      </c>
    </row>
    <row r="1140" spans="2:13">
      <c r="B1140" t="s">
        <v>175</v>
      </c>
      <c r="C1140">
        <f t="shared" si="92"/>
        <v>7</v>
      </c>
      <c r="D1140" t="str">
        <f t="shared" si="88"/>
        <v>TOULOUSE7</v>
      </c>
      <c r="E1140" t="s">
        <v>176</v>
      </c>
      <c r="F1140" t="str">
        <f t="shared" si="89"/>
        <v>TOULOUSE7</v>
      </c>
      <c r="G1140" t="s">
        <v>218</v>
      </c>
      <c r="H1140" t="s">
        <v>911</v>
      </c>
      <c r="I1140" s="16">
        <v>858.36</v>
      </c>
      <c r="J1140" s="16">
        <v>236.8</v>
      </c>
      <c r="K1140" s="16">
        <v>240.26</v>
      </c>
      <c r="L1140" s="159">
        <f t="shared" si="90"/>
        <v>0.2758749242741973</v>
      </c>
      <c r="M1140" s="159">
        <f t="shared" si="90"/>
        <v>0.27990586700219022</v>
      </c>
    </row>
    <row r="1141" spans="2:13">
      <c r="B1141" t="s">
        <v>175</v>
      </c>
      <c r="C1141">
        <f t="shared" si="92"/>
        <v>8</v>
      </c>
      <c r="D1141" t="str">
        <f t="shared" si="88"/>
        <v>TOULOUSE8</v>
      </c>
      <c r="E1141" t="s">
        <v>176</v>
      </c>
      <c r="F1141" t="str">
        <f t="shared" si="89"/>
        <v>TOULOUSE8</v>
      </c>
      <c r="G1141" t="s">
        <v>208</v>
      </c>
      <c r="H1141" t="s">
        <v>907</v>
      </c>
      <c r="I1141" s="16">
        <v>838.03</v>
      </c>
      <c r="J1141" s="16">
        <v>210.09</v>
      </c>
      <c r="K1141" s="16">
        <v>280.36</v>
      </c>
      <c r="L1141" s="159">
        <f t="shared" si="90"/>
        <v>0.25069508251494577</v>
      </c>
      <c r="M1141" s="159">
        <f t="shared" si="90"/>
        <v>0.3345464959488324</v>
      </c>
    </row>
    <row r="1142" spans="2:13">
      <c r="B1142" t="s">
        <v>175</v>
      </c>
      <c r="C1142">
        <f t="shared" si="92"/>
        <v>9</v>
      </c>
      <c r="D1142" t="str">
        <f t="shared" si="88"/>
        <v>TOULOUSE9</v>
      </c>
      <c r="E1142" t="s">
        <v>176</v>
      </c>
      <c r="F1142" t="str">
        <f t="shared" si="89"/>
        <v>TOULOUSE9</v>
      </c>
      <c r="G1142" t="s">
        <v>303</v>
      </c>
      <c r="H1142" t="s">
        <v>936</v>
      </c>
      <c r="I1142" s="16">
        <v>821.45</v>
      </c>
      <c r="J1142" s="16">
        <v>385.74</v>
      </c>
      <c r="K1142" s="16">
        <v>14.49</v>
      </c>
      <c r="L1142" s="159">
        <f t="shared" si="90"/>
        <v>0.46958427171465089</v>
      </c>
      <c r="M1142" s="159">
        <f t="shared" si="90"/>
        <v>1.7639539838091179E-2</v>
      </c>
    </row>
    <row r="1143" spans="2:13">
      <c r="B1143" t="s">
        <v>175</v>
      </c>
      <c r="C1143">
        <f t="shared" si="92"/>
        <v>10</v>
      </c>
      <c r="D1143" t="str">
        <f t="shared" si="88"/>
        <v>TOULOUSE10</v>
      </c>
      <c r="E1143" t="s">
        <v>176</v>
      </c>
      <c r="F1143" t="str">
        <f t="shared" si="89"/>
        <v>TOULOUSE10</v>
      </c>
      <c r="G1143" t="s">
        <v>212</v>
      </c>
      <c r="H1143" t="s">
        <v>909</v>
      </c>
      <c r="I1143" s="16">
        <v>622.08000000000004</v>
      </c>
      <c r="J1143" s="16">
        <v>41.31</v>
      </c>
      <c r="K1143" s="16">
        <v>166</v>
      </c>
      <c r="L1143" s="159">
        <f t="shared" si="90"/>
        <v>6.640625E-2</v>
      </c>
      <c r="M1143" s="159">
        <f t="shared" si="90"/>
        <v>0.26684670781893005</v>
      </c>
    </row>
    <row r="1144" spans="2:13">
      <c r="B1144" t="s">
        <v>175</v>
      </c>
      <c r="C1144">
        <f t="shared" si="92"/>
        <v>11</v>
      </c>
      <c r="D1144" t="str">
        <f t="shared" si="88"/>
        <v>TOULOUSE11</v>
      </c>
      <c r="E1144" t="s">
        <v>176</v>
      </c>
      <c r="F1144" t="str">
        <f t="shared" si="89"/>
        <v>TOULOUSE11</v>
      </c>
      <c r="G1144" t="s">
        <v>228</v>
      </c>
      <c r="I1144" s="16">
        <v>618.86</v>
      </c>
      <c r="J1144" s="16">
        <v>268.33999999999997</v>
      </c>
      <c r="K1144" s="16">
        <v>17</v>
      </c>
      <c r="L1144" s="159">
        <f t="shared" si="90"/>
        <v>0.43360372297450145</v>
      </c>
      <c r="M1144" s="159">
        <f t="shared" si="90"/>
        <v>2.7469863943379764E-2</v>
      </c>
    </row>
    <row r="1145" spans="2:13">
      <c r="B1145" t="s">
        <v>175</v>
      </c>
      <c r="C1145">
        <f t="shared" si="92"/>
        <v>12</v>
      </c>
      <c r="D1145" t="str">
        <f t="shared" si="88"/>
        <v>TOULOUSE12</v>
      </c>
      <c r="E1145" t="s">
        <v>176</v>
      </c>
      <c r="F1145" t="str">
        <f t="shared" si="89"/>
        <v>TOULOUSE12</v>
      </c>
      <c r="G1145" t="s">
        <v>266</v>
      </c>
      <c r="H1145" t="s">
        <v>267</v>
      </c>
      <c r="I1145" s="16">
        <v>581.04</v>
      </c>
      <c r="J1145" s="16">
        <v>345.8</v>
      </c>
      <c r="K1145" s="16">
        <v>10</v>
      </c>
      <c r="L1145" s="159">
        <f t="shared" si="90"/>
        <v>0.59513974941484238</v>
      </c>
      <c r="M1145" s="159">
        <f t="shared" si="90"/>
        <v>1.721051906925513E-2</v>
      </c>
    </row>
    <row r="1146" spans="2:13">
      <c r="B1146" t="s">
        <v>175</v>
      </c>
      <c r="C1146">
        <f t="shared" si="92"/>
        <v>13</v>
      </c>
      <c r="D1146" t="str">
        <f t="shared" si="88"/>
        <v>TOULOUSE13</v>
      </c>
      <c r="E1146" t="s">
        <v>176</v>
      </c>
      <c r="F1146" t="str">
        <f t="shared" si="89"/>
        <v>TOULOUSE13</v>
      </c>
      <c r="G1146" t="s">
        <v>234</v>
      </c>
      <c r="H1146" t="s">
        <v>923</v>
      </c>
      <c r="I1146" s="16">
        <v>577.05999999999995</v>
      </c>
      <c r="J1146" s="16">
        <v>153.54</v>
      </c>
      <c r="K1146" s="16">
        <v>53.76</v>
      </c>
      <c r="L1146" s="159">
        <f t="shared" si="90"/>
        <v>0.26607285204311509</v>
      </c>
      <c r="M1146" s="159">
        <f t="shared" si="90"/>
        <v>9.3161889578206772E-2</v>
      </c>
    </row>
    <row r="1147" spans="2:13">
      <c r="B1147" t="s">
        <v>175</v>
      </c>
      <c r="C1147">
        <f t="shared" si="92"/>
        <v>14</v>
      </c>
      <c r="D1147" t="str">
        <f t="shared" si="88"/>
        <v>TOULOUSE14</v>
      </c>
      <c r="E1147" t="s">
        <v>176</v>
      </c>
      <c r="F1147" t="str">
        <f t="shared" si="89"/>
        <v>TOULOUSE14</v>
      </c>
      <c r="G1147" t="s">
        <v>251</v>
      </c>
      <c r="H1147" t="s">
        <v>929</v>
      </c>
      <c r="I1147" s="16">
        <v>575.42999999999995</v>
      </c>
      <c r="J1147" s="16">
        <v>150.02000000000001</v>
      </c>
      <c r="K1147" s="16">
        <v>75.12</v>
      </c>
      <c r="L1147" s="159">
        <f t="shared" si="90"/>
        <v>0.26070938254870274</v>
      </c>
      <c r="M1147" s="159">
        <f t="shared" si="90"/>
        <v>0.13054585266670143</v>
      </c>
    </row>
    <row r="1148" spans="2:13">
      <c r="B1148" t="s">
        <v>175</v>
      </c>
      <c r="C1148">
        <f t="shared" si="92"/>
        <v>15</v>
      </c>
      <c r="D1148" t="str">
        <f t="shared" si="88"/>
        <v>TOULOUSE15</v>
      </c>
      <c r="E1148" t="s">
        <v>176</v>
      </c>
      <c r="F1148" t="str">
        <f t="shared" si="89"/>
        <v>TOULOUSE15</v>
      </c>
      <c r="G1148" t="s">
        <v>207</v>
      </c>
      <c r="H1148" t="s">
        <v>906</v>
      </c>
      <c r="I1148" s="16">
        <v>571.05999999999995</v>
      </c>
      <c r="J1148" s="16">
        <v>194.3</v>
      </c>
      <c r="K1148" s="16">
        <v>313.81</v>
      </c>
      <c r="L1148" s="159">
        <f t="shared" si="90"/>
        <v>0.34024445767520056</v>
      </c>
      <c r="M1148" s="159">
        <f t="shared" si="90"/>
        <v>0.54952194165236579</v>
      </c>
    </row>
    <row r="1149" spans="2:13">
      <c r="B1149" t="s">
        <v>175</v>
      </c>
      <c r="C1149">
        <f t="shared" si="92"/>
        <v>16</v>
      </c>
      <c r="D1149" t="str">
        <f t="shared" si="88"/>
        <v>TOULOUSE16</v>
      </c>
      <c r="E1149" t="s">
        <v>176</v>
      </c>
      <c r="F1149" t="str">
        <f t="shared" si="89"/>
        <v>TOULOUSE16</v>
      </c>
      <c r="G1149" t="s">
        <v>221</v>
      </c>
      <c r="H1149" t="s">
        <v>914</v>
      </c>
      <c r="I1149" s="16">
        <v>540.79999999999995</v>
      </c>
      <c r="J1149" s="16">
        <v>156.52000000000001</v>
      </c>
      <c r="K1149" s="16">
        <v>318.70999999999998</v>
      </c>
      <c r="L1149" s="159">
        <f t="shared" si="90"/>
        <v>0.28942307692307695</v>
      </c>
      <c r="M1149" s="159">
        <f t="shared" si="90"/>
        <v>0.58933062130177516</v>
      </c>
    </row>
    <row r="1150" spans="2:13">
      <c r="B1150" t="s">
        <v>175</v>
      </c>
      <c r="C1150">
        <f t="shared" si="92"/>
        <v>17</v>
      </c>
      <c r="D1150" t="str">
        <f t="shared" si="88"/>
        <v>TOULOUSE17</v>
      </c>
      <c r="E1150" t="s">
        <v>176</v>
      </c>
      <c r="F1150" t="str">
        <f t="shared" si="89"/>
        <v>TOULOUSE17</v>
      </c>
      <c r="G1150" t="s">
        <v>238</v>
      </c>
      <c r="H1150" t="s">
        <v>924</v>
      </c>
      <c r="I1150" s="16">
        <v>503.01</v>
      </c>
      <c r="J1150" s="16">
        <v>84.93</v>
      </c>
      <c r="K1150" s="16">
        <v>186.38</v>
      </c>
      <c r="L1150" s="159">
        <f t="shared" si="90"/>
        <v>0.16884356175821555</v>
      </c>
      <c r="M1150" s="159">
        <f t="shared" si="90"/>
        <v>0.37052941293413649</v>
      </c>
    </row>
    <row r="1151" spans="2:13">
      <c r="B1151" t="s">
        <v>175</v>
      </c>
      <c r="C1151">
        <f t="shared" si="92"/>
        <v>18</v>
      </c>
      <c r="D1151" t="str">
        <f t="shared" si="88"/>
        <v>TOULOUSE18</v>
      </c>
      <c r="E1151" t="s">
        <v>176</v>
      </c>
      <c r="F1151" t="str">
        <f t="shared" si="89"/>
        <v>TOULOUSE18</v>
      </c>
      <c r="G1151" t="s">
        <v>220</v>
      </c>
      <c r="H1151" t="s">
        <v>913</v>
      </c>
      <c r="I1151" s="16">
        <v>490.74</v>
      </c>
      <c r="J1151" s="16">
        <v>72.84</v>
      </c>
      <c r="K1151" s="16">
        <v>76.37</v>
      </c>
      <c r="L1151" s="159">
        <f t="shared" si="90"/>
        <v>0.14842890328891062</v>
      </c>
      <c r="M1151" s="159">
        <f t="shared" si="90"/>
        <v>0.1556221216937686</v>
      </c>
    </row>
    <row r="1152" spans="2:13">
      <c r="B1152" t="s">
        <v>175</v>
      </c>
      <c r="C1152">
        <f t="shared" si="92"/>
        <v>19</v>
      </c>
      <c r="D1152" t="str">
        <f t="shared" si="88"/>
        <v>TOULOUSE19</v>
      </c>
      <c r="E1152" t="s">
        <v>176</v>
      </c>
      <c r="F1152" t="str">
        <f t="shared" si="89"/>
        <v>TOULOUSE19</v>
      </c>
      <c r="G1152" t="s">
        <v>246</v>
      </c>
      <c r="H1152" t="s">
        <v>928</v>
      </c>
      <c r="I1152" s="16">
        <v>440.12</v>
      </c>
      <c r="J1152" s="16">
        <v>163.97</v>
      </c>
      <c r="K1152" s="16">
        <v>139.24</v>
      </c>
      <c r="L1152" s="159">
        <f t="shared" si="90"/>
        <v>0.3725574843224575</v>
      </c>
      <c r="M1152" s="159">
        <f t="shared" si="90"/>
        <v>0.31636826320094519</v>
      </c>
    </row>
    <row r="1153" spans="2:13">
      <c r="B1153" t="s">
        <v>175</v>
      </c>
      <c r="C1153">
        <f t="shared" si="92"/>
        <v>20</v>
      </c>
      <c r="D1153" t="str">
        <f t="shared" si="88"/>
        <v>TOULOUSE20</v>
      </c>
      <c r="E1153" t="s">
        <v>176</v>
      </c>
      <c r="F1153" t="str">
        <f t="shared" si="89"/>
        <v>TOULOUSE20</v>
      </c>
      <c r="G1153" t="s">
        <v>242</v>
      </c>
      <c r="H1153" t="s">
        <v>243</v>
      </c>
      <c r="I1153" s="16">
        <v>438.27</v>
      </c>
      <c r="J1153" s="16">
        <v>424.7</v>
      </c>
      <c r="K1153" s="16">
        <v>259.08999999999997</v>
      </c>
      <c r="L1153" s="159">
        <f t="shared" si="90"/>
        <v>0.96903735140438541</v>
      </c>
      <c r="M1153" s="159">
        <f t="shared" si="90"/>
        <v>0.59116526342209141</v>
      </c>
    </row>
    <row r="1154" spans="2:13">
      <c r="B1154" t="s">
        <v>175</v>
      </c>
      <c r="C1154">
        <f t="shared" si="92"/>
        <v>21</v>
      </c>
      <c r="D1154" t="str">
        <f t="shared" ref="D1154:D1217" si="93">CONCATENATE(E1154,C1154)</f>
        <v>TOULOUSE21</v>
      </c>
      <c r="E1154" t="s">
        <v>176</v>
      </c>
      <c r="F1154" t="str">
        <f t="shared" si="89"/>
        <v>TOULOUSE21</v>
      </c>
      <c r="G1154" t="s">
        <v>235</v>
      </c>
      <c r="H1154" t="s">
        <v>236</v>
      </c>
      <c r="I1154" s="16">
        <v>433.7</v>
      </c>
      <c r="J1154" s="16">
        <v>31.52</v>
      </c>
      <c r="K1154" s="16">
        <v>35.74</v>
      </c>
      <c r="L1154" s="159">
        <f t="shared" si="90"/>
        <v>7.2676965644454694E-2</v>
      </c>
      <c r="M1154" s="159">
        <f t="shared" si="90"/>
        <v>8.2407193912842985E-2</v>
      </c>
    </row>
    <row r="1155" spans="2:13">
      <c r="B1155" t="s">
        <v>175</v>
      </c>
      <c r="C1155">
        <f t="shared" si="92"/>
        <v>22</v>
      </c>
      <c r="D1155" t="str">
        <f t="shared" si="93"/>
        <v>TOULOUSE22</v>
      </c>
      <c r="E1155" t="s">
        <v>176</v>
      </c>
      <c r="F1155" t="str">
        <f t="shared" ref="F1155:F1218" si="94">D1155</f>
        <v>TOULOUSE22</v>
      </c>
      <c r="G1155" t="s">
        <v>213</v>
      </c>
      <c r="H1155" t="s">
        <v>919</v>
      </c>
      <c r="I1155" s="16">
        <v>425.63</v>
      </c>
      <c r="J1155" s="16">
        <v>154.72</v>
      </c>
      <c r="K1155" s="16">
        <v>131.83000000000001</v>
      </c>
      <c r="L1155" s="159">
        <f t="shared" ref="L1155:M1218" si="95">J1155/$I1155</f>
        <v>0.36350821135728217</v>
      </c>
      <c r="M1155" s="159">
        <f t="shared" si="95"/>
        <v>0.30972910744073495</v>
      </c>
    </row>
    <row r="1156" spans="2:13">
      <c r="B1156" t="s">
        <v>175</v>
      </c>
      <c r="C1156">
        <f t="shared" si="92"/>
        <v>23</v>
      </c>
      <c r="D1156" t="str">
        <f t="shared" si="93"/>
        <v>TOULOUSE23</v>
      </c>
      <c r="E1156" t="s">
        <v>176</v>
      </c>
      <c r="F1156" t="str">
        <f t="shared" si="94"/>
        <v>TOULOUSE23</v>
      </c>
      <c r="G1156" t="s">
        <v>229</v>
      </c>
      <c r="H1156" t="s">
        <v>921</v>
      </c>
      <c r="I1156" s="16">
        <v>393.81</v>
      </c>
      <c r="J1156" s="16">
        <v>35.53</v>
      </c>
      <c r="K1156" s="16">
        <v>180.97</v>
      </c>
      <c r="L1156" s="159">
        <f t="shared" si="95"/>
        <v>9.0221172646707801E-2</v>
      </c>
      <c r="M1156" s="159">
        <f t="shared" si="95"/>
        <v>0.45953632462354943</v>
      </c>
    </row>
    <row r="1157" spans="2:13">
      <c r="B1157" t="s">
        <v>175</v>
      </c>
      <c r="C1157">
        <f t="shared" si="92"/>
        <v>24</v>
      </c>
      <c r="D1157" t="str">
        <f t="shared" si="93"/>
        <v>TOULOUSE24</v>
      </c>
      <c r="E1157" t="s">
        <v>176</v>
      </c>
      <c r="F1157" t="str">
        <f t="shared" si="94"/>
        <v>TOULOUSE24</v>
      </c>
      <c r="G1157" t="s">
        <v>274</v>
      </c>
      <c r="H1157" t="s">
        <v>275</v>
      </c>
      <c r="I1157" s="16">
        <v>375.86</v>
      </c>
      <c r="J1157" s="16">
        <v>8.9600000000000009</v>
      </c>
      <c r="K1157" s="16">
        <v>325.89999999999998</v>
      </c>
      <c r="L1157" s="159">
        <f t="shared" si="95"/>
        <v>2.3838663332091739E-2</v>
      </c>
      <c r="M1157" s="159">
        <f t="shared" si="95"/>
        <v>0.86707816740275623</v>
      </c>
    </row>
    <row r="1158" spans="2:13">
      <c r="B1158" t="s">
        <v>175</v>
      </c>
      <c r="C1158">
        <f t="shared" si="92"/>
        <v>25</v>
      </c>
      <c r="D1158" t="str">
        <f t="shared" si="93"/>
        <v>TOULOUSE25</v>
      </c>
      <c r="E1158" t="s">
        <v>176</v>
      </c>
      <c r="F1158" t="str">
        <f t="shared" si="94"/>
        <v>TOULOUSE25</v>
      </c>
      <c r="G1158" t="s">
        <v>232</v>
      </c>
      <c r="H1158" t="s">
        <v>922</v>
      </c>
      <c r="I1158" s="16">
        <v>368.58</v>
      </c>
      <c r="J1158" s="16">
        <v>245.15</v>
      </c>
      <c r="K1158" s="16">
        <v>62.47</v>
      </c>
      <c r="L1158" s="159">
        <f t="shared" si="95"/>
        <v>0.66512019100330999</v>
      </c>
      <c r="M1158" s="159">
        <f t="shared" si="95"/>
        <v>0.16948830647349286</v>
      </c>
    </row>
    <row r="1159" spans="2:13">
      <c r="B1159" t="s">
        <v>175</v>
      </c>
      <c r="C1159">
        <f t="shared" si="92"/>
        <v>26</v>
      </c>
      <c r="D1159" t="str">
        <f t="shared" si="93"/>
        <v>TOULOUSE26</v>
      </c>
      <c r="E1159" t="s">
        <v>176</v>
      </c>
      <c r="F1159" t="str">
        <f t="shared" si="94"/>
        <v>TOULOUSE26</v>
      </c>
      <c r="G1159" t="s">
        <v>417</v>
      </c>
      <c r="I1159" s="16">
        <v>361.18</v>
      </c>
      <c r="J1159" s="16">
        <v>3.44</v>
      </c>
      <c r="K1159" s="16">
        <v>12.29</v>
      </c>
      <c r="L1159" s="159">
        <f t="shared" si="95"/>
        <v>9.5243368957306611E-3</v>
      </c>
      <c r="M1159" s="159">
        <f t="shared" si="95"/>
        <v>3.4027354781549363E-2</v>
      </c>
    </row>
    <row r="1160" spans="2:13">
      <c r="B1160" t="s">
        <v>175</v>
      </c>
      <c r="C1160">
        <f t="shared" si="92"/>
        <v>27</v>
      </c>
      <c r="D1160" t="str">
        <f t="shared" si="93"/>
        <v>TOULOUSE27</v>
      </c>
      <c r="E1160" t="s">
        <v>176</v>
      </c>
      <c r="F1160" t="str">
        <f t="shared" si="94"/>
        <v>TOULOUSE27</v>
      </c>
      <c r="G1160" t="s">
        <v>222</v>
      </c>
      <c r="H1160" t="s">
        <v>915</v>
      </c>
      <c r="I1160" s="16">
        <v>357.48</v>
      </c>
      <c r="J1160" s="16">
        <v>67.91</v>
      </c>
      <c r="K1160" s="16">
        <v>152.08000000000001</v>
      </c>
      <c r="L1160" s="159">
        <f t="shared" si="95"/>
        <v>0.18996866957592032</v>
      </c>
      <c r="M1160" s="159">
        <f t="shared" si="95"/>
        <v>0.42542240125321695</v>
      </c>
    </row>
    <row r="1161" spans="2:13">
      <c r="B1161" t="s">
        <v>175</v>
      </c>
      <c r="C1161">
        <f t="shared" si="92"/>
        <v>28</v>
      </c>
      <c r="D1161" t="str">
        <f t="shared" si="93"/>
        <v>TOULOUSE28</v>
      </c>
      <c r="E1161" t="s">
        <v>176</v>
      </c>
      <c r="F1161" t="str">
        <f t="shared" si="94"/>
        <v>TOULOUSE28</v>
      </c>
      <c r="G1161" t="s">
        <v>313</v>
      </c>
      <c r="I1161" s="16">
        <v>351.03</v>
      </c>
      <c r="J1161" s="16">
        <v>23.08</v>
      </c>
      <c r="K1161" s="16">
        <v>2.59</v>
      </c>
      <c r="L1161" s="159">
        <f t="shared" si="95"/>
        <v>6.5749366151041225E-2</v>
      </c>
      <c r="M1161" s="159">
        <f t="shared" si="95"/>
        <v>7.3782867561177105E-3</v>
      </c>
    </row>
    <row r="1162" spans="2:13">
      <c r="B1162" t="s">
        <v>175</v>
      </c>
      <c r="C1162">
        <f t="shared" si="92"/>
        <v>29</v>
      </c>
      <c r="D1162" t="str">
        <f t="shared" si="93"/>
        <v>TOULOUSE29</v>
      </c>
      <c r="E1162" t="s">
        <v>176</v>
      </c>
      <c r="F1162" t="str">
        <f t="shared" si="94"/>
        <v>TOULOUSE29</v>
      </c>
      <c r="G1162" t="s">
        <v>290</v>
      </c>
      <c r="H1162" t="s">
        <v>291</v>
      </c>
      <c r="I1162" s="16">
        <v>335.28</v>
      </c>
      <c r="J1162" s="16">
        <v>181.41</v>
      </c>
      <c r="K1162" s="16">
        <v>3.28</v>
      </c>
      <c r="L1162" s="159">
        <f t="shared" si="95"/>
        <v>0.54107015032211891</v>
      </c>
      <c r="M1162" s="159">
        <f t="shared" si="95"/>
        <v>9.782868050584587E-3</v>
      </c>
    </row>
    <row r="1163" spans="2:13">
      <c r="B1163" t="s">
        <v>175</v>
      </c>
      <c r="C1163">
        <f t="shared" si="92"/>
        <v>30</v>
      </c>
      <c r="D1163" t="str">
        <f t="shared" si="93"/>
        <v>TOULOUSE30</v>
      </c>
      <c r="E1163" t="s">
        <v>176</v>
      </c>
      <c r="F1163" t="str">
        <f t="shared" si="94"/>
        <v>TOULOUSE30</v>
      </c>
      <c r="G1163" t="s">
        <v>214</v>
      </c>
      <c r="H1163" t="s">
        <v>215</v>
      </c>
      <c r="I1163" s="16">
        <v>332.15</v>
      </c>
      <c r="J1163" s="16">
        <v>169.53</v>
      </c>
      <c r="K1163" s="16">
        <v>136.9</v>
      </c>
      <c r="L1163" s="159">
        <f t="shared" si="95"/>
        <v>0.51040192684028307</v>
      </c>
      <c r="M1163" s="159">
        <f t="shared" si="95"/>
        <v>0.41216317928646701</v>
      </c>
    </row>
    <row r="1164" spans="2:13">
      <c r="B1164" t="s">
        <v>175</v>
      </c>
      <c r="C1164">
        <f t="shared" si="92"/>
        <v>31</v>
      </c>
      <c r="D1164" t="str">
        <f t="shared" si="93"/>
        <v>TOULOUSE31</v>
      </c>
      <c r="E1164" t="s">
        <v>176</v>
      </c>
      <c r="F1164" t="str">
        <f t="shared" si="94"/>
        <v>TOULOUSE31</v>
      </c>
      <c r="G1164" t="s">
        <v>255</v>
      </c>
      <c r="H1164" t="s">
        <v>256</v>
      </c>
      <c r="I1164" s="16">
        <v>311.60000000000002</v>
      </c>
      <c r="J1164" s="16">
        <v>57.3</v>
      </c>
      <c r="K1164" s="16">
        <v>62.11</v>
      </c>
      <c r="L1164" s="159">
        <f t="shared" si="95"/>
        <v>0.18388960205391525</v>
      </c>
      <c r="M1164" s="159">
        <f t="shared" si="95"/>
        <v>0.19932605905006417</v>
      </c>
    </row>
    <row r="1165" spans="2:13">
      <c r="B1165" t="s">
        <v>175</v>
      </c>
      <c r="C1165">
        <f t="shared" si="92"/>
        <v>32</v>
      </c>
      <c r="D1165" t="str">
        <f t="shared" si="93"/>
        <v>TOULOUSE32</v>
      </c>
      <c r="E1165" t="s">
        <v>176</v>
      </c>
      <c r="F1165" t="str">
        <f t="shared" si="94"/>
        <v>TOULOUSE32</v>
      </c>
      <c r="G1165" t="s">
        <v>402</v>
      </c>
      <c r="H1165" t="s">
        <v>1790</v>
      </c>
      <c r="I1165" s="16">
        <v>304.23</v>
      </c>
      <c r="J1165" s="16">
        <v>130.22</v>
      </c>
      <c r="K1165" s="16">
        <v>35.58</v>
      </c>
      <c r="L1165" s="159">
        <f t="shared" si="95"/>
        <v>0.42803142359399138</v>
      </c>
      <c r="M1165" s="159">
        <f t="shared" si="95"/>
        <v>0.11695099102652597</v>
      </c>
    </row>
    <row r="1166" spans="2:13">
      <c r="B1166" t="s">
        <v>175</v>
      </c>
      <c r="C1166">
        <f t="shared" ref="C1166:C1197" si="96">RANK(I1166,$I$1133:$I$1310,0)</f>
        <v>33</v>
      </c>
      <c r="D1166" t="str">
        <f t="shared" si="93"/>
        <v>TOULOUSE33</v>
      </c>
      <c r="E1166" t="s">
        <v>176</v>
      </c>
      <c r="F1166" t="str">
        <f t="shared" si="94"/>
        <v>TOULOUSE33</v>
      </c>
      <c r="G1166" t="s">
        <v>270</v>
      </c>
      <c r="I1166" s="16">
        <v>285.68</v>
      </c>
      <c r="J1166" s="16">
        <v>183.06</v>
      </c>
      <c r="K1166" s="16">
        <v>10</v>
      </c>
      <c r="L1166" s="159">
        <f t="shared" si="95"/>
        <v>0.64078689442733128</v>
      </c>
      <c r="M1166" s="159">
        <f t="shared" si="95"/>
        <v>3.5004200504060487E-2</v>
      </c>
    </row>
    <row r="1167" spans="2:13">
      <c r="B1167" t="s">
        <v>175</v>
      </c>
      <c r="C1167">
        <f t="shared" si="96"/>
        <v>34</v>
      </c>
      <c r="D1167" t="str">
        <f t="shared" si="93"/>
        <v>TOULOUSE34</v>
      </c>
      <c r="E1167" t="s">
        <v>176</v>
      </c>
      <c r="F1167" t="str">
        <f t="shared" si="94"/>
        <v>TOULOUSE34</v>
      </c>
      <c r="G1167" t="s">
        <v>379</v>
      </c>
      <c r="H1167" t="s">
        <v>944</v>
      </c>
      <c r="I1167" s="16">
        <v>267.85000000000002</v>
      </c>
      <c r="J1167" s="16">
        <v>54.22</v>
      </c>
      <c r="K1167" s="16">
        <v>4.71</v>
      </c>
      <c r="L1167" s="159">
        <f t="shared" si="95"/>
        <v>0.20242673137950343</v>
      </c>
      <c r="M1167" s="159">
        <f t="shared" si="95"/>
        <v>1.7584468919171176E-2</v>
      </c>
    </row>
    <row r="1168" spans="2:13">
      <c r="B1168" t="s">
        <v>175</v>
      </c>
      <c r="C1168">
        <f t="shared" si="96"/>
        <v>35</v>
      </c>
      <c r="D1168" t="str">
        <f t="shared" si="93"/>
        <v>TOULOUSE35</v>
      </c>
      <c r="E1168" t="s">
        <v>176</v>
      </c>
      <c r="F1168" t="str">
        <f t="shared" si="94"/>
        <v>TOULOUSE35</v>
      </c>
      <c r="G1168" t="s">
        <v>341</v>
      </c>
      <c r="I1168" s="16">
        <v>262.5</v>
      </c>
      <c r="J1168" s="16">
        <v>129.75</v>
      </c>
      <c r="K1168" s="16">
        <v>0</v>
      </c>
      <c r="L1168" s="159">
        <f t="shared" si="95"/>
        <v>0.49428571428571427</v>
      </c>
      <c r="M1168" s="159">
        <f t="shared" si="95"/>
        <v>0</v>
      </c>
    </row>
    <row r="1169" spans="2:13">
      <c r="B1169" t="s">
        <v>175</v>
      </c>
      <c r="C1169">
        <f t="shared" si="96"/>
        <v>36</v>
      </c>
      <c r="D1169" t="str">
        <f t="shared" si="93"/>
        <v>TOULOUSE36</v>
      </c>
      <c r="E1169" t="s">
        <v>176</v>
      </c>
      <c r="F1169" t="str">
        <f t="shared" si="94"/>
        <v>TOULOUSE36</v>
      </c>
      <c r="G1169" t="s">
        <v>289</v>
      </c>
      <c r="H1169" t="s">
        <v>935</v>
      </c>
      <c r="I1169" s="16">
        <v>257.33999999999997</v>
      </c>
      <c r="J1169" s="16">
        <v>167.7</v>
      </c>
      <c r="K1169" s="16">
        <v>0</v>
      </c>
      <c r="L1169" s="159">
        <f t="shared" si="95"/>
        <v>0.6516670552576358</v>
      </c>
      <c r="M1169" s="159">
        <f t="shared" si="95"/>
        <v>0</v>
      </c>
    </row>
    <row r="1170" spans="2:13">
      <c r="B1170" t="s">
        <v>175</v>
      </c>
      <c r="C1170">
        <f t="shared" si="96"/>
        <v>37</v>
      </c>
      <c r="D1170" t="str">
        <f t="shared" si="93"/>
        <v>TOULOUSE37</v>
      </c>
      <c r="E1170" t="s">
        <v>176</v>
      </c>
      <c r="F1170" t="str">
        <f t="shared" si="94"/>
        <v>TOULOUSE37</v>
      </c>
      <c r="G1170" t="s">
        <v>226</v>
      </c>
      <c r="H1170" t="s">
        <v>227</v>
      </c>
      <c r="I1170" s="16">
        <v>257.08999999999997</v>
      </c>
      <c r="J1170" s="16">
        <v>163.9</v>
      </c>
      <c r="K1170" s="16">
        <v>74.09</v>
      </c>
      <c r="L1170" s="159">
        <f t="shared" si="95"/>
        <v>0.63751993465323431</v>
      </c>
      <c r="M1170" s="159">
        <f t="shared" si="95"/>
        <v>0.28818701622000081</v>
      </c>
    </row>
    <row r="1171" spans="2:13">
      <c r="B1171" t="s">
        <v>175</v>
      </c>
      <c r="C1171">
        <f t="shared" si="96"/>
        <v>38</v>
      </c>
      <c r="D1171" t="str">
        <f t="shared" si="93"/>
        <v>TOULOUSE38</v>
      </c>
      <c r="E1171" t="s">
        <v>176</v>
      </c>
      <c r="F1171" t="str">
        <f t="shared" si="94"/>
        <v>TOULOUSE38</v>
      </c>
      <c r="G1171" t="s">
        <v>347</v>
      </c>
      <c r="I1171" s="16">
        <v>243.23</v>
      </c>
      <c r="J1171" s="16">
        <v>148.01</v>
      </c>
      <c r="K1171" s="16">
        <v>32.799999999999997</v>
      </c>
      <c r="L1171" s="159">
        <f t="shared" si="95"/>
        <v>0.60851868601734982</v>
      </c>
      <c r="M1171" s="159">
        <f t="shared" si="95"/>
        <v>0.13485178637503598</v>
      </c>
    </row>
    <row r="1172" spans="2:13">
      <c r="B1172" t="s">
        <v>175</v>
      </c>
      <c r="C1172">
        <f t="shared" si="96"/>
        <v>39</v>
      </c>
      <c r="D1172" t="str">
        <f t="shared" si="93"/>
        <v>TOULOUSE39</v>
      </c>
      <c r="E1172" t="s">
        <v>176</v>
      </c>
      <c r="F1172" t="str">
        <f t="shared" si="94"/>
        <v>TOULOUSE39</v>
      </c>
      <c r="G1172" t="s">
        <v>249</v>
      </c>
      <c r="I1172" s="16">
        <v>243.01</v>
      </c>
      <c r="J1172" s="16">
        <v>64.2</v>
      </c>
      <c r="K1172" s="16">
        <v>114.3</v>
      </c>
      <c r="L1172" s="159">
        <f t="shared" si="95"/>
        <v>0.26418665898522697</v>
      </c>
      <c r="M1172" s="159">
        <f t="shared" si="95"/>
        <v>0.47035101436154891</v>
      </c>
    </row>
    <row r="1173" spans="2:13">
      <c r="B1173" t="s">
        <v>175</v>
      </c>
      <c r="C1173">
        <f t="shared" si="96"/>
        <v>40</v>
      </c>
      <c r="D1173" t="str">
        <f t="shared" si="93"/>
        <v>TOULOUSE40</v>
      </c>
      <c r="E1173" t="s">
        <v>176</v>
      </c>
      <c r="F1173" t="str">
        <f t="shared" si="94"/>
        <v>TOULOUSE40</v>
      </c>
      <c r="G1173" t="s">
        <v>393</v>
      </c>
      <c r="I1173" s="16">
        <v>238.19</v>
      </c>
      <c r="J1173" s="16">
        <v>0</v>
      </c>
      <c r="K1173" s="16">
        <v>224.97</v>
      </c>
      <c r="L1173" s="159">
        <f t="shared" si="95"/>
        <v>0</v>
      </c>
      <c r="M1173" s="159">
        <f t="shared" si="95"/>
        <v>0.94449808976027538</v>
      </c>
    </row>
    <row r="1174" spans="2:13">
      <c r="B1174" t="s">
        <v>175</v>
      </c>
      <c r="C1174">
        <f t="shared" si="96"/>
        <v>41</v>
      </c>
      <c r="D1174" t="str">
        <f t="shared" si="93"/>
        <v>TOULOUSE41</v>
      </c>
      <c r="E1174" t="s">
        <v>176</v>
      </c>
      <c r="F1174" t="str">
        <f t="shared" si="94"/>
        <v>TOULOUSE41</v>
      </c>
      <c r="G1174" t="s">
        <v>252</v>
      </c>
      <c r="H1174" t="s">
        <v>930</v>
      </c>
      <c r="I1174" s="16">
        <v>230.76</v>
      </c>
      <c r="J1174" s="16">
        <v>156.55000000000001</v>
      </c>
      <c r="K1174" s="16">
        <v>6.28</v>
      </c>
      <c r="L1174" s="159">
        <f t="shared" si="95"/>
        <v>0.67841046975212349</v>
      </c>
      <c r="M1174" s="159">
        <f t="shared" si="95"/>
        <v>2.7214421910209743E-2</v>
      </c>
    </row>
    <row r="1175" spans="2:13">
      <c r="B1175" t="s">
        <v>175</v>
      </c>
      <c r="C1175">
        <f t="shared" si="96"/>
        <v>42</v>
      </c>
      <c r="D1175" t="str">
        <f t="shared" si="93"/>
        <v>TOULOUSE42</v>
      </c>
      <c r="E1175" t="s">
        <v>176</v>
      </c>
      <c r="F1175" t="str">
        <f t="shared" si="94"/>
        <v>TOULOUSE42</v>
      </c>
      <c r="G1175" t="s">
        <v>244</v>
      </c>
      <c r="I1175" s="16">
        <v>220.1</v>
      </c>
      <c r="J1175" s="16">
        <v>114.89</v>
      </c>
      <c r="K1175" s="16">
        <v>66.38</v>
      </c>
      <c r="L1175" s="159">
        <f t="shared" si="95"/>
        <v>0.5219900045433894</v>
      </c>
      <c r="M1175" s="159">
        <f t="shared" si="95"/>
        <v>0.30159018627896411</v>
      </c>
    </row>
    <row r="1176" spans="2:13">
      <c r="B1176" t="s">
        <v>175</v>
      </c>
      <c r="C1176">
        <f t="shared" si="96"/>
        <v>43</v>
      </c>
      <c r="D1176" t="str">
        <f t="shared" si="93"/>
        <v>TOULOUSE43</v>
      </c>
      <c r="E1176" t="s">
        <v>176</v>
      </c>
      <c r="F1176" t="str">
        <f t="shared" si="94"/>
        <v>TOULOUSE43</v>
      </c>
      <c r="G1176" t="s">
        <v>304</v>
      </c>
      <c r="I1176" s="16">
        <v>197.21</v>
      </c>
      <c r="J1176" s="16">
        <v>138.47</v>
      </c>
      <c r="K1176" s="16">
        <v>10.119999999999999</v>
      </c>
      <c r="L1176" s="159">
        <f t="shared" si="95"/>
        <v>0.70214492165711673</v>
      </c>
      <c r="M1176" s="159">
        <f t="shared" si="95"/>
        <v>5.1315856193904968E-2</v>
      </c>
    </row>
    <row r="1177" spans="2:13">
      <c r="B1177" t="s">
        <v>175</v>
      </c>
      <c r="C1177">
        <f t="shared" si="96"/>
        <v>44</v>
      </c>
      <c r="D1177" t="str">
        <f t="shared" si="93"/>
        <v>TOULOUSE44</v>
      </c>
      <c r="E1177" t="s">
        <v>176</v>
      </c>
      <c r="F1177" t="str">
        <f t="shared" si="94"/>
        <v>TOULOUSE44</v>
      </c>
      <c r="G1177" t="s">
        <v>278</v>
      </c>
      <c r="H1177" t="s">
        <v>934</v>
      </c>
      <c r="I1177" s="16">
        <v>194.51</v>
      </c>
      <c r="J1177" s="16">
        <v>161.05000000000001</v>
      </c>
      <c r="K1177" s="16">
        <v>12.2</v>
      </c>
      <c r="L1177" s="159">
        <f t="shared" si="95"/>
        <v>0.8279779959899235</v>
      </c>
      <c r="M1177" s="159">
        <f t="shared" si="95"/>
        <v>6.2721710966017169E-2</v>
      </c>
    </row>
    <row r="1178" spans="2:13">
      <c r="B1178" t="s">
        <v>175</v>
      </c>
      <c r="C1178">
        <f t="shared" si="96"/>
        <v>45</v>
      </c>
      <c r="D1178" t="str">
        <f t="shared" si="93"/>
        <v>TOULOUSE45</v>
      </c>
      <c r="E1178" t="s">
        <v>176</v>
      </c>
      <c r="F1178" t="str">
        <f t="shared" si="94"/>
        <v>TOULOUSE45</v>
      </c>
      <c r="G1178" t="s">
        <v>260</v>
      </c>
      <c r="H1178" t="s">
        <v>932</v>
      </c>
      <c r="I1178" s="16">
        <v>193.74</v>
      </c>
      <c r="J1178" s="16">
        <v>67.3</v>
      </c>
      <c r="K1178" s="16">
        <v>25.97</v>
      </c>
      <c r="L1178" s="159">
        <f t="shared" si="95"/>
        <v>0.34737276762671621</v>
      </c>
      <c r="M1178" s="159">
        <f t="shared" si="95"/>
        <v>0.13404562816145349</v>
      </c>
    </row>
    <row r="1179" spans="2:13">
      <c r="B1179" t="s">
        <v>175</v>
      </c>
      <c r="C1179">
        <f t="shared" si="96"/>
        <v>46</v>
      </c>
      <c r="D1179" t="str">
        <f t="shared" si="93"/>
        <v>TOULOUSE46</v>
      </c>
      <c r="E1179" t="s">
        <v>176</v>
      </c>
      <c r="F1179" t="str">
        <f t="shared" si="94"/>
        <v>TOULOUSE46</v>
      </c>
      <c r="G1179" t="s">
        <v>247</v>
      </c>
      <c r="H1179" t="s">
        <v>248</v>
      </c>
      <c r="I1179" s="16">
        <v>178.19</v>
      </c>
      <c r="J1179" s="16">
        <v>72.959999999999994</v>
      </c>
      <c r="K1179" s="16">
        <v>6.14</v>
      </c>
      <c r="L1179" s="159">
        <f t="shared" si="95"/>
        <v>0.40945058645266286</v>
      </c>
      <c r="M1179" s="159">
        <f t="shared" si="95"/>
        <v>3.4457601436668726E-2</v>
      </c>
    </row>
    <row r="1180" spans="2:13">
      <c r="B1180" t="s">
        <v>175</v>
      </c>
      <c r="C1180">
        <f t="shared" si="96"/>
        <v>47</v>
      </c>
      <c r="D1180" t="str">
        <f t="shared" si="93"/>
        <v>TOULOUSE47</v>
      </c>
      <c r="E1180" t="s">
        <v>176</v>
      </c>
      <c r="F1180" t="str">
        <f t="shared" si="94"/>
        <v>TOULOUSE47</v>
      </c>
      <c r="G1180" t="s">
        <v>340</v>
      </c>
      <c r="H1180" t="s">
        <v>945</v>
      </c>
      <c r="I1180" s="16">
        <v>174.73</v>
      </c>
      <c r="J1180" s="16">
        <v>84.05</v>
      </c>
      <c r="K1180" s="16">
        <v>14.79</v>
      </c>
      <c r="L1180" s="159">
        <f t="shared" si="95"/>
        <v>0.48102787157328453</v>
      </c>
      <c r="M1180" s="159">
        <f t="shared" si="95"/>
        <v>8.4644880673038408E-2</v>
      </c>
    </row>
    <row r="1181" spans="2:13">
      <c r="B1181" t="s">
        <v>175</v>
      </c>
      <c r="C1181">
        <f t="shared" si="96"/>
        <v>48</v>
      </c>
      <c r="D1181" t="str">
        <f t="shared" si="93"/>
        <v>TOULOUSE48</v>
      </c>
      <c r="E1181" t="s">
        <v>176</v>
      </c>
      <c r="F1181" t="str">
        <f t="shared" si="94"/>
        <v>TOULOUSE48</v>
      </c>
      <c r="G1181" t="s">
        <v>302</v>
      </c>
      <c r="I1181" s="16">
        <v>172.95</v>
      </c>
      <c r="J1181" s="16">
        <v>23.17</v>
      </c>
      <c r="K1181" s="16">
        <v>41.75</v>
      </c>
      <c r="L1181" s="159">
        <f t="shared" si="95"/>
        <v>0.13396935530500145</v>
      </c>
      <c r="M1181" s="159">
        <f t="shared" si="95"/>
        <v>0.24139924833766987</v>
      </c>
    </row>
    <row r="1182" spans="2:13">
      <c r="B1182" t="s">
        <v>175</v>
      </c>
      <c r="C1182">
        <f t="shared" si="96"/>
        <v>49</v>
      </c>
      <c r="D1182" t="str">
        <f t="shared" si="93"/>
        <v>TOULOUSE49</v>
      </c>
      <c r="E1182" t="s">
        <v>176</v>
      </c>
      <c r="F1182" t="str">
        <f t="shared" si="94"/>
        <v>TOULOUSE49</v>
      </c>
      <c r="G1182" t="s">
        <v>219</v>
      </c>
      <c r="H1182" t="s">
        <v>912</v>
      </c>
      <c r="I1182" s="16">
        <v>167.38</v>
      </c>
      <c r="J1182" s="16">
        <v>61.63</v>
      </c>
      <c r="K1182" s="16">
        <v>28.06</v>
      </c>
      <c r="L1182" s="159">
        <f t="shared" si="95"/>
        <v>0.36820408650973835</v>
      </c>
      <c r="M1182" s="159">
        <f t="shared" si="95"/>
        <v>0.16764249014219143</v>
      </c>
    </row>
    <row r="1183" spans="2:13">
      <c r="B1183" t="s">
        <v>175</v>
      </c>
      <c r="C1183">
        <f t="shared" si="96"/>
        <v>50</v>
      </c>
      <c r="D1183" t="str">
        <f t="shared" si="93"/>
        <v>TOULOUSE50</v>
      </c>
      <c r="E1183" t="s">
        <v>176</v>
      </c>
      <c r="F1183" t="str">
        <f t="shared" si="94"/>
        <v>TOULOUSE50</v>
      </c>
      <c r="G1183" t="s">
        <v>396</v>
      </c>
      <c r="I1183" s="16">
        <v>164.26</v>
      </c>
      <c r="J1183" s="16">
        <v>13.71</v>
      </c>
      <c r="K1183" s="16">
        <v>28.85</v>
      </c>
      <c r="L1183" s="159">
        <f t="shared" si="95"/>
        <v>8.3465238037258013E-2</v>
      </c>
      <c r="M1183" s="159">
        <f t="shared" si="95"/>
        <v>0.1756361865335444</v>
      </c>
    </row>
    <row r="1184" spans="2:13">
      <c r="B1184" t="s">
        <v>175</v>
      </c>
      <c r="C1184">
        <f t="shared" si="96"/>
        <v>51</v>
      </c>
      <c r="D1184" t="str">
        <f t="shared" si="93"/>
        <v>TOULOUSE51</v>
      </c>
      <c r="E1184" t="s">
        <v>176</v>
      </c>
      <c r="F1184" t="str">
        <f t="shared" si="94"/>
        <v>TOULOUSE51</v>
      </c>
      <c r="G1184" t="s">
        <v>282</v>
      </c>
      <c r="H1184" t="s">
        <v>920</v>
      </c>
      <c r="I1184" s="16">
        <v>161.66</v>
      </c>
      <c r="J1184" s="16">
        <v>102.59</v>
      </c>
      <c r="K1184" s="16">
        <v>0</v>
      </c>
      <c r="L1184" s="159">
        <f t="shared" si="95"/>
        <v>0.63460348880366202</v>
      </c>
      <c r="M1184" s="159">
        <f t="shared" si="95"/>
        <v>0</v>
      </c>
    </row>
    <row r="1185" spans="2:13">
      <c r="B1185" t="s">
        <v>175</v>
      </c>
      <c r="C1185">
        <f t="shared" si="96"/>
        <v>52</v>
      </c>
      <c r="D1185" t="str">
        <f t="shared" si="93"/>
        <v>TOULOUSE52</v>
      </c>
      <c r="E1185" t="s">
        <v>176</v>
      </c>
      <c r="F1185" t="str">
        <f t="shared" si="94"/>
        <v>TOULOUSE52</v>
      </c>
      <c r="G1185" t="s">
        <v>287</v>
      </c>
      <c r="I1185" s="16">
        <v>160.58000000000001</v>
      </c>
      <c r="J1185" s="16">
        <v>52.34</v>
      </c>
      <c r="K1185" s="16">
        <v>0</v>
      </c>
      <c r="L1185" s="159">
        <f t="shared" si="95"/>
        <v>0.32594345497571303</v>
      </c>
      <c r="M1185" s="159">
        <f t="shared" si="95"/>
        <v>0</v>
      </c>
    </row>
    <row r="1186" spans="2:13">
      <c r="B1186" t="s">
        <v>175</v>
      </c>
      <c r="C1186">
        <f t="shared" si="96"/>
        <v>53</v>
      </c>
      <c r="D1186" t="str">
        <f t="shared" si="93"/>
        <v>TOULOUSE53</v>
      </c>
      <c r="E1186" t="s">
        <v>176</v>
      </c>
      <c r="F1186" t="str">
        <f t="shared" si="94"/>
        <v>TOULOUSE53</v>
      </c>
      <c r="G1186" t="s">
        <v>332</v>
      </c>
      <c r="H1186" t="s">
        <v>940</v>
      </c>
      <c r="I1186" s="16">
        <v>159</v>
      </c>
      <c r="J1186" s="16">
        <v>31.67</v>
      </c>
      <c r="K1186" s="16">
        <v>61.01</v>
      </c>
      <c r="L1186" s="159">
        <f t="shared" si="95"/>
        <v>0.19918238993710694</v>
      </c>
      <c r="M1186" s="159">
        <f t="shared" si="95"/>
        <v>0.38371069182389939</v>
      </c>
    </row>
    <row r="1187" spans="2:13">
      <c r="B1187" t="s">
        <v>175</v>
      </c>
      <c r="C1187">
        <f t="shared" si="96"/>
        <v>54</v>
      </c>
      <c r="D1187" t="str">
        <f t="shared" si="93"/>
        <v>TOULOUSE54</v>
      </c>
      <c r="E1187" t="s">
        <v>176</v>
      </c>
      <c r="F1187" t="str">
        <f t="shared" si="94"/>
        <v>TOULOUSE54</v>
      </c>
      <c r="G1187" t="s">
        <v>262</v>
      </c>
      <c r="I1187" s="16">
        <v>158.6</v>
      </c>
      <c r="J1187" s="16">
        <v>31.7</v>
      </c>
      <c r="K1187" s="16">
        <v>93.18</v>
      </c>
      <c r="L1187" s="159">
        <f t="shared" si="95"/>
        <v>0.19987389659520807</v>
      </c>
      <c r="M1187" s="159">
        <f t="shared" si="95"/>
        <v>0.58751576292559904</v>
      </c>
    </row>
    <row r="1188" spans="2:13">
      <c r="B1188" t="s">
        <v>175</v>
      </c>
      <c r="C1188">
        <f t="shared" si="96"/>
        <v>55</v>
      </c>
      <c r="D1188" t="str">
        <f t="shared" si="93"/>
        <v>TOULOUSE55</v>
      </c>
      <c r="E1188" t="s">
        <v>176</v>
      </c>
      <c r="F1188" t="str">
        <f t="shared" si="94"/>
        <v>TOULOUSE55</v>
      </c>
      <c r="G1188" t="s">
        <v>305</v>
      </c>
      <c r="H1188" t="s">
        <v>937</v>
      </c>
      <c r="I1188" s="16">
        <v>158.07</v>
      </c>
      <c r="J1188" s="16">
        <v>85.03</v>
      </c>
      <c r="K1188" s="16">
        <v>22.38</v>
      </c>
      <c r="L1188" s="159">
        <f t="shared" si="95"/>
        <v>0.53792623521224781</v>
      </c>
      <c r="M1188" s="159">
        <f t="shared" si="95"/>
        <v>0.14158284304422092</v>
      </c>
    </row>
    <row r="1189" spans="2:13">
      <c r="B1189" t="s">
        <v>175</v>
      </c>
      <c r="C1189">
        <f t="shared" si="96"/>
        <v>56</v>
      </c>
      <c r="D1189" t="str">
        <f t="shared" si="93"/>
        <v>TOULOUSE56</v>
      </c>
      <c r="E1189" t="s">
        <v>176</v>
      </c>
      <c r="F1189" t="str">
        <f t="shared" si="94"/>
        <v>TOULOUSE56</v>
      </c>
      <c r="G1189" t="s">
        <v>209</v>
      </c>
      <c r="H1189" t="s">
        <v>210</v>
      </c>
      <c r="I1189" s="16">
        <v>156.27000000000001</v>
      </c>
      <c r="J1189" s="16">
        <v>42.2</v>
      </c>
      <c r="K1189" s="16">
        <v>72.84</v>
      </c>
      <c r="L1189" s="159">
        <f t="shared" si="95"/>
        <v>0.27004543418442439</v>
      </c>
      <c r="M1189" s="159">
        <f t="shared" si="95"/>
        <v>0.46611633710885003</v>
      </c>
    </row>
    <row r="1190" spans="2:13">
      <c r="B1190" t="s">
        <v>175</v>
      </c>
      <c r="C1190">
        <f t="shared" si="96"/>
        <v>57</v>
      </c>
      <c r="D1190" t="str">
        <f t="shared" si="93"/>
        <v>TOULOUSE57</v>
      </c>
      <c r="E1190" t="s">
        <v>176</v>
      </c>
      <c r="F1190" t="str">
        <f t="shared" si="94"/>
        <v>TOULOUSE57</v>
      </c>
      <c r="G1190" t="s">
        <v>241</v>
      </c>
      <c r="H1190" t="s">
        <v>927</v>
      </c>
      <c r="I1190" s="16">
        <v>155.84</v>
      </c>
      <c r="J1190" s="16">
        <v>78.489999999999995</v>
      </c>
      <c r="K1190" s="16">
        <v>39.14</v>
      </c>
      <c r="L1190" s="159">
        <f t="shared" si="95"/>
        <v>0.5036575975359342</v>
      </c>
      <c r="M1190" s="159">
        <f t="shared" si="95"/>
        <v>0.25115503080082136</v>
      </c>
    </row>
    <row r="1191" spans="2:13">
      <c r="B1191" t="s">
        <v>175</v>
      </c>
      <c r="C1191">
        <f t="shared" si="96"/>
        <v>58</v>
      </c>
      <c r="D1191" t="str">
        <f t="shared" si="93"/>
        <v>TOULOUSE58</v>
      </c>
      <c r="E1191" t="s">
        <v>176</v>
      </c>
      <c r="F1191" t="str">
        <f t="shared" si="94"/>
        <v>TOULOUSE58</v>
      </c>
      <c r="G1191" t="s">
        <v>407</v>
      </c>
      <c r="I1191" s="16">
        <v>143.32</v>
      </c>
      <c r="J1191" s="16">
        <v>43.47</v>
      </c>
      <c r="K1191" s="16">
        <v>22.59</v>
      </c>
      <c r="L1191" s="159">
        <f t="shared" si="95"/>
        <v>0.3033072843985487</v>
      </c>
      <c r="M1191" s="159">
        <f t="shared" si="95"/>
        <v>0.15761931342450461</v>
      </c>
    </row>
    <row r="1192" spans="2:13">
      <c r="B1192" t="s">
        <v>175</v>
      </c>
      <c r="C1192">
        <f t="shared" si="96"/>
        <v>59</v>
      </c>
      <c r="D1192" t="str">
        <f t="shared" si="93"/>
        <v>TOULOUSE59</v>
      </c>
      <c r="E1192" t="s">
        <v>176</v>
      </c>
      <c r="F1192" t="str">
        <f t="shared" si="94"/>
        <v>TOULOUSE59</v>
      </c>
      <c r="G1192" t="s">
        <v>310</v>
      </c>
      <c r="I1192" s="16">
        <v>141.04</v>
      </c>
      <c r="J1192" s="16">
        <v>59.52</v>
      </c>
      <c r="K1192" s="16">
        <v>0</v>
      </c>
      <c r="L1192" s="159">
        <f t="shared" si="95"/>
        <v>0.42200794100964267</v>
      </c>
      <c r="M1192" s="159">
        <f t="shared" si="95"/>
        <v>0</v>
      </c>
    </row>
    <row r="1193" spans="2:13">
      <c r="B1193" t="s">
        <v>175</v>
      </c>
      <c r="C1193">
        <f t="shared" si="96"/>
        <v>60</v>
      </c>
      <c r="D1193" t="str">
        <f t="shared" si="93"/>
        <v>TOULOUSE60</v>
      </c>
      <c r="E1193" t="s">
        <v>176</v>
      </c>
      <c r="F1193" t="str">
        <f t="shared" si="94"/>
        <v>TOULOUSE60</v>
      </c>
      <c r="G1193" t="s">
        <v>239</v>
      </c>
      <c r="H1193" t="s">
        <v>925</v>
      </c>
      <c r="I1193" s="16">
        <v>133.21</v>
      </c>
      <c r="J1193" s="16">
        <v>29.72</v>
      </c>
      <c r="K1193" s="16">
        <v>48.42</v>
      </c>
      <c r="L1193" s="159">
        <f t="shared" si="95"/>
        <v>0.22310637339539072</v>
      </c>
      <c r="M1193" s="159">
        <f t="shared" si="95"/>
        <v>0.36348622475790104</v>
      </c>
    </row>
    <row r="1194" spans="2:13">
      <c r="B1194" t="s">
        <v>175</v>
      </c>
      <c r="C1194">
        <f t="shared" si="96"/>
        <v>61</v>
      </c>
      <c r="D1194" t="str">
        <f t="shared" si="93"/>
        <v>TOULOUSE61</v>
      </c>
      <c r="E1194" t="s">
        <v>176</v>
      </c>
      <c r="F1194" t="str">
        <f t="shared" si="94"/>
        <v>TOULOUSE61</v>
      </c>
      <c r="G1194" t="s">
        <v>265</v>
      </c>
      <c r="I1194" s="16">
        <v>126.84</v>
      </c>
      <c r="J1194" s="16">
        <v>49.52</v>
      </c>
      <c r="K1194" s="16">
        <v>13.05</v>
      </c>
      <c r="L1194" s="159">
        <f t="shared" si="95"/>
        <v>0.39041311888994007</v>
      </c>
      <c r="M1194" s="159">
        <f t="shared" si="95"/>
        <v>0.10288552507095554</v>
      </c>
    </row>
    <row r="1195" spans="2:13">
      <c r="B1195" t="s">
        <v>175</v>
      </c>
      <c r="C1195">
        <f t="shared" si="96"/>
        <v>62</v>
      </c>
      <c r="D1195" t="str">
        <f t="shared" si="93"/>
        <v>TOULOUSE62</v>
      </c>
      <c r="E1195" t="s">
        <v>176</v>
      </c>
      <c r="F1195" t="str">
        <f t="shared" si="94"/>
        <v>TOULOUSE62</v>
      </c>
      <c r="G1195" t="s">
        <v>298</v>
      </c>
      <c r="I1195" s="16">
        <v>123.69</v>
      </c>
      <c r="J1195" s="16">
        <v>77.33</v>
      </c>
      <c r="K1195" s="16">
        <v>5.51</v>
      </c>
      <c r="L1195" s="159">
        <f t="shared" si="95"/>
        <v>0.62519201228878651</v>
      </c>
      <c r="M1195" s="159">
        <f t="shared" si="95"/>
        <v>4.4546850998463901E-2</v>
      </c>
    </row>
    <row r="1196" spans="2:13">
      <c r="B1196" t="s">
        <v>175</v>
      </c>
      <c r="C1196">
        <f t="shared" si="96"/>
        <v>63</v>
      </c>
      <c r="D1196" t="str">
        <f t="shared" si="93"/>
        <v>TOULOUSE63</v>
      </c>
      <c r="E1196" t="s">
        <v>176</v>
      </c>
      <c r="F1196" t="str">
        <f t="shared" si="94"/>
        <v>TOULOUSE63</v>
      </c>
      <c r="G1196" t="s">
        <v>374</v>
      </c>
      <c r="I1196" s="16">
        <v>115.24</v>
      </c>
      <c r="J1196" s="16">
        <v>16.809999999999999</v>
      </c>
      <c r="K1196" s="16">
        <v>0</v>
      </c>
      <c r="L1196" s="159">
        <f t="shared" si="95"/>
        <v>0.14586948976049982</v>
      </c>
      <c r="M1196" s="159">
        <f t="shared" si="95"/>
        <v>0</v>
      </c>
    </row>
    <row r="1197" spans="2:13">
      <c r="B1197" t="s">
        <v>175</v>
      </c>
      <c r="C1197">
        <f t="shared" si="96"/>
        <v>63</v>
      </c>
      <c r="D1197" t="str">
        <f t="shared" si="93"/>
        <v>TOULOUSE63</v>
      </c>
      <c r="E1197" t="s">
        <v>176</v>
      </c>
      <c r="F1197" t="str">
        <f t="shared" si="94"/>
        <v>TOULOUSE63</v>
      </c>
      <c r="G1197" t="s">
        <v>328</v>
      </c>
      <c r="H1197" t="s">
        <v>939</v>
      </c>
      <c r="I1197" s="16">
        <v>115.24</v>
      </c>
      <c r="J1197" s="16">
        <v>40.76</v>
      </c>
      <c r="K1197" s="16">
        <v>9.5399999999999991</v>
      </c>
      <c r="L1197" s="159">
        <f t="shared" si="95"/>
        <v>0.35369663311350225</v>
      </c>
      <c r="M1197" s="159">
        <f t="shared" si="95"/>
        <v>8.2783755640402634E-2</v>
      </c>
    </row>
    <row r="1198" spans="2:13">
      <c r="B1198" t="s">
        <v>175</v>
      </c>
      <c r="C1198">
        <f t="shared" ref="C1198:C1229" si="97">RANK(I1198,$I$1133:$I$1310,0)</f>
        <v>65</v>
      </c>
      <c r="D1198" t="str">
        <f t="shared" si="93"/>
        <v>TOULOUSE65</v>
      </c>
      <c r="E1198" t="s">
        <v>176</v>
      </c>
      <c r="F1198" t="str">
        <f t="shared" si="94"/>
        <v>TOULOUSE65</v>
      </c>
      <c r="G1198" t="s">
        <v>230</v>
      </c>
      <c r="H1198" t="s">
        <v>231</v>
      </c>
      <c r="I1198" s="16">
        <v>112.7</v>
      </c>
      <c r="J1198" s="16">
        <v>61.82</v>
      </c>
      <c r="K1198" s="16">
        <v>15.62</v>
      </c>
      <c r="L1198" s="159">
        <f t="shared" si="95"/>
        <v>0.54853593611357587</v>
      </c>
      <c r="M1198" s="159">
        <f t="shared" si="95"/>
        <v>0.13859804791481808</v>
      </c>
    </row>
    <row r="1199" spans="2:13">
      <c r="B1199" t="s">
        <v>175</v>
      </c>
      <c r="C1199">
        <f t="shared" si="97"/>
        <v>66</v>
      </c>
      <c r="D1199" t="str">
        <f t="shared" si="93"/>
        <v>TOULOUSE66</v>
      </c>
      <c r="E1199" t="s">
        <v>176</v>
      </c>
      <c r="F1199" t="str">
        <f t="shared" si="94"/>
        <v>TOULOUSE66</v>
      </c>
      <c r="G1199" t="s">
        <v>257</v>
      </c>
      <c r="I1199" s="16">
        <v>111.45</v>
      </c>
      <c r="J1199" s="16">
        <v>77.44</v>
      </c>
      <c r="K1199" s="16">
        <v>18</v>
      </c>
      <c r="L1199" s="159">
        <f t="shared" si="95"/>
        <v>0.69484073575594429</v>
      </c>
      <c r="M1199" s="159">
        <f t="shared" si="95"/>
        <v>0.16150740242261102</v>
      </c>
    </row>
    <row r="1200" spans="2:13">
      <c r="B1200" t="s">
        <v>175</v>
      </c>
      <c r="C1200">
        <f t="shared" si="97"/>
        <v>67</v>
      </c>
      <c r="D1200" t="str">
        <f t="shared" si="93"/>
        <v>TOULOUSE67</v>
      </c>
      <c r="E1200" t="s">
        <v>176</v>
      </c>
      <c r="F1200" t="str">
        <f t="shared" si="94"/>
        <v>TOULOUSE67</v>
      </c>
      <c r="G1200" t="s">
        <v>276</v>
      </c>
      <c r="H1200" t="s">
        <v>933</v>
      </c>
      <c r="I1200" s="16">
        <v>110.54</v>
      </c>
      <c r="J1200" s="16">
        <v>27.51</v>
      </c>
      <c r="K1200" s="16">
        <v>0</v>
      </c>
      <c r="L1200" s="159">
        <f t="shared" si="95"/>
        <v>0.24886918762438937</v>
      </c>
      <c r="M1200" s="159">
        <f t="shared" si="95"/>
        <v>0</v>
      </c>
    </row>
    <row r="1201" spans="2:13">
      <c r="B1201" t="s">
        <v>175</v>
      </c>
      <c r="C1201">
        <f t="shared" si="97"/>
        <v>68</v>
      </c>
      <c r="D1201" t="str">
        <f t="shared" si="93"/>
        <v>TOULOUSE68</v>
      </c>
      <c r="E1201" t="s">
        <v>176</v>
      </c>
      <c r="F1201" t="str">
        <f t="shared" si="94"/>
        <v>TOULOUSE68</v>
      </c>
      <c r="G1201" t="s">
        <v>240</v>
      </c>
      <c r="H1201" t="s">
        <v>926</v>
      </c>
      <c r="I1201" s="16">
        <v>107.63</v>
      </c>
      <c r="J1201" s="16">
        <v>28.05</v>
      </c>
      <c r="K1201" s="16">
        <v>27.84</v>
      </c>
      <c r="L1201" s="159">
        <f t="shared" si="95"/>
        <v>0.26061507014772833</v>
      </c>
      <c r="M1201" s="159">
        <f t="shared" si="95"/>
        <v>0.25866394128031217</v>
      </c>
    </row>
    <row r="1202" spans="2:13">
      <c r="B1202" t="s">
        <v>175</v>
      </c>
      <c r="C1202">
        <f t="shared" si="97"/>
        <v>69</v>
      </c>
      <c r="D1202" t="str">
        <f t="shared" si="93"/>
        <v>TOULOUSE69</v>
      </c>
      <c r="E1202" t="s">
        <v>176</v>
      </c>
      <c r="F1202" t="str">
        <f t="shared" si="94"/>
        <v>TOULOUSE69</v>
      </c>
      <c r="G1202" t="s">
        <v>259</v>
      </c>
      <c r="I1202" s="16">
        <v>106.91</v>
      </c>
      <c r="J1202" s="16">
        <v>29.08</v>
      </c>
      <c r="K1202" s="16">
        <v>65.97</v>
      </c>
      <c r="L1202" s="159">
        <f t="shared" si="95"/>
        <v>0.27200448975774016</v>
      </c>
      <c r="M1202" s="159">
        <f t="shared" si="95"/>
        <v>0.61706107941259003</v>
      </c>
    </row>
    <row r="1203" spans="2:13">
      <c r="B1203" t="s">
        <v>175</v>
      </c>
      <c r="C1203">
        <f t="shared" si="97"/>
        <v>70</v>
      </c>
      <c r="D1203" t="str">
        <f t="shared" si="93"/>
        <v>TOULOUSE70</v>
      </c>
      <c r="E1203" t="s">
        <v>176</v>
      </c>
      <c r="F1203" t="str">
        <f t="shared" si="94"/>
        <v>TOULOUSE70</v>
      </c>
      <c r="G1203" t="s">
        <v>433</v>
      </c>
      <c r="I1203" s="16">
        <v>100.89</v>
      </c>
      <c r="J1203" s="16">
        <v>28.48</v>
      </c>
      <c r="K1203" s="16">
        <v>6.05</v>
      </c>
      <c r="L1203" s="159">
        <f t="shared" si="95"/>
        <v>0.28228764000396472</v>
      </c>
      <c r="M1203" s="159">
        <f t="shared" si="95"/>
        <v>5.99662999306175E-2</v>
      </c>
    </row>
    <row r="1204" spans="2:13">
      <c r="B1204" t="s">
        <v>175</v>
      </c>
      <c r="C1204">
        <f t="shared" si="97"/>
        <v>71</v>
      </c>
      <c r="D1204" t="str">
        <f t="shared" si="93"/>
        <v>TOULOUSE71</v>
      </c>
      <c r="E1204" t="s">
        <v>176</v>
      </c>
      <c r="F1204" t="str">
        <f t="shared" si="94"/>
        <v>TOULOUSE71</v>
      </c>
      <c r="G1204" t="s">
        <v>343</v>
      </c>
      <c r="I1204" s="16">
        <v>97.08</v>
      </c>
      <c r="J1204" s="16">
        <v>11.05</v>
      </c>
      <c r="K1204" s="16">
        <v>26.23</v>
      </c>
      <c r="L1204" s="159">
        <f t="shared" si="95"/>
        <v>0.11382365059744541</v>
      </c>
      <c r="M1204" s="159">
        <f t="shared" si="95"/>
        <v>0.27018953440461474</v>
      </c>
    </row>
    <row r="1205" spans="2:13">
      <c r="B1205" t="s">
        <v>175</v>
      </c>
      <c r="C1205">
        <f t="shared" si="97"/>
        <v>72</v>
      </c>
      <c r="D1205" t="str">
        <f t="shared" si="93"/>
        <v>TOULOUSE72</v>
      </c>
      <c r="E1205" t="s">
        <v>176</v>
      </c>
      <c r="F1205" t="str">
        <f t="shared" si="94"/>
        <v>TOULOUSE72</v>
      </c>
      <c r="G1205" t="s">
        <v>268</v>
      </c>
      <c r="H1205" t="s">
        <v>269</v>
      </c>
      <c r="I1205" s="16">
        <v>91.31</v>
      </c>
      <c r="J1205" s="16">
        <v>44.43</v>
      </c>
      <c r="K1205" s="16">
        <v>0</v>
      </c>
      <c r="L1205" s="159">
        <f t="shared" si="95"/>
        <v>0.48658416383747671</v>
      </c>
      <c r="M1205" s="159">
        <f t="shared" si="95"/>
        <v>0</v>
      </c>
    </row>
    <row r="1206" spans="2:13">
      <c r="B1206" t="s">
        <v>175</v>
      </c>
      <c r="C1206">
        <f t="shared" si="97"/>
        <v>73</v>
      </c>
      <c r="D1206" t="str">
        <f t="shared" si="93"/>
        <v>TOULOUSE73</v>
      </c>
      <c r="E1206" t="s">
        <v>176</v>
      </c>
      <c r="F1206" t="str">
        <f t="shared" si="94"/>
        <v>TOULOUSE73</v>
      </c>
      <c r="G1206" t="s">
        <v>330</v>
      </c>
      <c r="I1206" s="16">
        <v>90.38</v>
      </c>
      <c r="J1206" s="16">
        <v>76.650000000000006</v>
      </c>
      <c r="K1206" s="16">
        <v>20.74</v>
      </c>
      <c r="L1206" s="159">
        <f t="shared" si="95"/>
        <v>0.84808585970347428</v>
      </c>
      <c r="M1206" s="159">
        <f t="shared" si="95"/>
        <v>0.2294755476875415</v>
      </c>
    </row>
    <row r="1207" spans="2:13">
      <c r="B1207" t="s">
        <v>175</v>
      </c>
      <c r="C1207">
        <f t="shared" si="97"/>
        <v>74</v>
      </c>
      <c r="D1207" t="str">
        <f t="shared" si="93"/>
        <v>TOULOUSE74</v>
      </c>
      <c r="E1207" t="s">
        <v>176</v>
      </c>
      <c r="F1207" t="str">
        <f t="shared" si="94"/>
        <v>TOULOUSE74</v>
      </c>
      <c r="G1207" t="s">
        <v>388</v>
      </c>
      <c r="I1207" s="16">
        <v>90</v>
      </c>
      <c r="J1207" s="16">
        <v>0</v>
      </c>
      <c r="K1207" s="16">
        <v>0</v>
      </c>
      <c r="L1207" s="159">
        <f t="shared" si="95"/>
        <v>0</v>
      </c>
      <c r="M1207" s="159">
        <f t="shared" si="95"/>
        <v>0</v>
      </c>
    </row>
    <row r="1208" spans="2:13">
      <c r="B1208" t="s">
        <v>175</v>
      </c>
      <c r="C1208">
        <f t="shared" si="97"/>
        <v>75</v>
      </c>
      <c r="D1208" t="str">
        <f t="shared" si="93"/>
        <v>TOULOUSE75</v>
      </c>
      <c r="E1208" t="s">
        <v>176</v>
      </c>
      <c r="F1208" t="str">
        <f t="shared" si="94"/>
        <v>TOULOUSE75</v>
      </c>
      <c r="G1208" t="s">
        <v>397</v>
      </c>
      <c r="I1208" s="16">
        <v>88.64</v>
      </c>
      <c r="J1208" s="16">
        <v>77.069999999999993</v>
      </c>
      <c r="K1208" s="16">
        <v>0</v>
      </c>
      <c r="L1208" s="159">
        <f t="shared" si="95"/>
        <v>0.86947202166064974</v>
      </c>
      <c r="M1208" s="159">
        <f t="shared" si="95"/>
        <v>0</v>
      </c>
    </row>
    <row r="1209" spans="2:13">
      <c r="B1209" t="s">
        <v>175</v>
      </c>
      <c r="C1209">
        <f t="shared" si="97"/>
        <v>76</v>
      </c>
      <c r="D1209" t="str">
        <f t="shared" si="93"/>
        <v>TOULOUSE76</v>
      </c>
      <c r="E1209" t="s">
        <v>176</v>
      </c>
      <c r="F1209" t="str">
        <f t="shared" si="94"/>
        <v>TOULOUSE76</v>
      </c>
      <c r="G1209" t="s">
        <v>336</v>
      </c>
      <c r="H1209" t="s">
        <v>941</v>
      </c>
      <c r="I1209" s="16">
        <v>88.26</v>
      </c>
      <c r="J1209" s="16">
        <v>53.37</v>
      </c>
      <c r="K1209" s="16">
        <v>9.2200000000000006</v>
      </c>
      <c r="L1209" s="159">
        <f t="shared" si="95"/>
        <v>0.60469068660774972</v>
      </c>
      <c r="M1209" s="159">
        <f t="shared" si="95"/>
        <v>0.10446408338998414</v>
      </c>
    </row>
    <row r="1210" spans="2:13">
      <c r="B1210" t="s">
        <v>175</v>
      </c>
      <c r="C1210">
        <f t="shared" si="97"/>
        <v>77</v>
      </c>
      <c r="D1210" t="str">
        <f t="shared" si="93"/>
        <v>TOULOUSE77</v>
      </c>
      <c r="E1210" t="s">
        <v>176</v>
      </c>
      <c r="F1210" t="str">
        <f t="shared" si="94"/>
        <v>TOULOUSE77</v>
      </c>
      <c r="G1210" t="s">
        <v>293</v>
      </c>
      <c r="I1210" s="16">
        <v>87.57</v>
      </c>
      <c r="J1210" s="16">
        <v>74.14</v>
      </c>
      <c r="K1210" s="16">
        <v>8.69</v>
      </c>
      <c r="L1210" s="159">
        <f t="shared" si="95"/>
        <v>0.84663697613337907</v>
      </c>
      <c r="M1210" s="159">
        <f t="shared" si="95"/>
        <v>9.9234897796048882E-2</v>
      </c>
    </row>
    <row r="1211" spans="2:13">
      <c r="B1211" t="s">
        <v>175</v>
      </c>
      <c r="C1211">
        <f t="shared" si="97"/>
        <v>78</v>
      </c>
      <c r="D1211" t="str">
        <f t="shared" si="93"/>
        <v>TOULOUSE78</v>
      </c>
      <c r="E1211" t="s">
        <v>176</v>
      </c>
      <c r="F1211" t="str">
        <f t="shared" si="94"/>
        <v>TOULOUSE78</v>
      </c>
      <c r="G1211" t="s">
        <v>254</v>
      </c>
      <c r="H1211" t="s">
        <v>931</v>
      </c>
      <c r="I1211" s="16">
        <v>87.27</v>
      </c>
      <c r="J1211" s="16">
        <v>53.68</v>
      </c>
      <c r="K1211" s="16">
        <v>17.22</v>
      </c>
      <c r="L1211" s="159">
        <f t="shared" si="95"/>
        <v>0.61510255528818614</v>
      </c>
      <c r="M1211" s="159">
        <f t="shared" si="95"/>
        <v>0.197318666208319</v>
      </c>
    </row>
    <row r="1212" spans="2:13">
      <c r="B1212" t="s">
        <v>175</v>
      </c>
      <c r="C1212">
        <f t="shared" si="97"/>
        <v>79</v>
      </c>
      <c r="D1212" t="str">
        <f t="shared" si="93"/>
        <v>TOULOUSE79</v>
      </c>
      <c r="E1212" t="s">
        <v>176</v>
      </c>
      <c r="F1212" t="str">
        <f t="shared" si="94"/>
        <v>TOULOUSE79</v>
      </c>
      <c r="G1212" t="s">
        <v>345</v>
      </c>
      <c r="I1212" s="16">
        <v>85.45</v>
      </c>
      <c r="J1212" s="16">
        <v>42.04</v>
      </c>
      <c r="K1212" s="16">
        <v>6.1</v>
      </c>
      <c r="L1212" s="159">
        <f t="shared" si="95"/>
        <v>0.49198361614979519</v>
      </c>
      <c r="M1212" s="159">
        <f t="shared" si="95"/>
        <v>7.1386775892334692E-2</v>
      </c>
    </row>
    <row r="1213" spans="2:13">
      <c r="B1213" t="s">
        <v>175</v>
      </c>
      <c r="C1213">
        <f t="shared" si="97"/>
        <v>80</v>
      </c>
      <c r="D1213" t="str">
        <f t="shared" si="93"/>
        <v>TOULOUSE80</v>
      </c>
      <c r="E1213" t="s">
        <v>176</v>
      </c>
      <c r="F1213" t="str">
        <f t="shared" si="94"/>
        <v>TOULOUSE80</v>
      </c>
      <c r="G1213" t="s">
        <v>326</v>
      </c>
      <c r="I1213" s="16">
        <v>84.89</v>
      </c>
      <c r="J1213" s="16">
        <v>32.119999999999997</v>
      </c>
      <c r="K1213" s="16">
        <v>4</v>
      </c>
      <c r="L1213" s="159">
        <f t="shared" si="95"/>
        <v>0.37837201083755445</v>
      </c>
      <c r="M1213" s="159">
        <f t="shared" si="95"/>
        <v>4.7119802096831191E-2</v>
      </c>
    </row>
    <row r="1214" spans="2:13">
      <c r="B1214" t="s">
        <v>175</v>
      </c>
      <c r="C1214">
        <f t="shared" si="97"/>
        <v>81</v>
      </c>
      <c r="D1214" t="str">
        <f t="shared" si="93"/>
        <v>TOULOUSE81</v>
      </c>
      <c r="E1214" t="s">
        <v>176</v>
      </c>
      <c r="F1214" t="str">
        <f t="shared" si="94"/>
        <v>TOULOUSE81</v>
      </c>
      <c r="G1214" t="s">
        <v>362</v>
      </c>
      <c r="H1214" t="s">
        <v>943</v>
      </c>
      <c r="I1214" s="16">
        <v>84.6</v>
      </c>
      <c r="J1214" s="16">
        <v>29.09</v>
      </c>
      <c r="K1214" s="16">
        <v>0</v>
      </c>
      <c r="L1214" s="159">
        <f t="shared" si="95"/>
        <v>0.34385342789598111</v>
      </c>
      <c r="M1214" s="159">
        <f t="shared" si="95"/>
        <v>0</v>
      </c>
    </row>
    <row r="1215" spans="2:13">
      <c r="B1215" t="s">
        <v>175</v>
      </c>
      <c r="C1215">
        <f t="shared" si="97"/>
        <v>82</v>
      </c>
      <c r="D1215" t="str">
        <f t="shared" si="93"/>
        <v>TOULOUSE82</v>
      </c>
      <c r="E1215" t="s">
        <v>176</v>
      </c>
      <c r="F1215" t="str">
        <f t="shared" si="94"/>
        <v>TOULOUSE82</v>
      </c>
      <c r="G1215" t="s">
        <v>284</v>
      </c>
      <c r="I1215" s="16">
        <v>83.32</v>
      </c>
      <c r="J1215" s="16">
        <v>38.39</v>
      </c>
      <c r="K1215" s="16">
        <v>14</v>
      </c>
      <c r="L1215" s="159">
        <f t="shared" si="95"/>
        <v>0.46075372059529529</v>
      </c>
      <c r="M1215" s="159">
        <f t="shared" si="95"/>
        <v>0.16802688430148824</v>
      </c>
    </row>
    <row r="1216" spans="2:13">
      <c r="B1216" t="s">
        <v>175</v>
      </c>
      <c r="C1216">
        <f t="shared" si="97"/>
        <v>83</v>
      </c>
      <c r="D1216" t="str">
        <f t="shared" si="93"/>
        <v>TOULOUSE83</v>
      </c>
      <c r="E1216" t="s">
        <v>176</v>
      </c>
      <c r="F1216" t="str">
        <f t="shared" si="94"/>
        <v>TOULOUSE83</v>
      </c>
      <c r="G1216" t="s">
        <v>279</v>
      </c>
      <c r="I1216" s="16">
        <v>82.83</v>
      </c>
      <c r="J1216" s="16">
        <v>28.66</v>
      </c>
      <c r="K1216" s="16">
        <v>0</v>
      </c>
      <c r="L1216" s="159">
        <f t="shared" si="95"/>
        <v>0.34600989979476038</v>
      </c>
      <c r="M1216" s="159">
        <f t="shared" si="95"/>
        <v>0</v>
      </c>
    </row>
    <row r="1217" spans="2:13">
      <c r="B1217" t="s">
        <v>175</v>
      </c>
      <c r="C1217">
        <f t="shared" si="97"/>
        <v>84</v>
      </c>
      <c r="D1217" t="str">
        <f t="shared" si="93"/>
        <v>TOULOUSE84</v>
      </c>
      <c r="E1217" t="s">
        <v>176</v>
      </c>
      <c r="F1217" t="str">
        <f t="shared" si="94"/>
        <v>TOULOUSE84</v>
      </c>
      <c r="G1217" t="s">
        <v>320</v>
      </c>
      <c r="I1217" s="16">
        <v>82.62</v>
      </c>
      <c r="J1217" s="16">
        <v>25.33</v>
      </c>
      <c r="K1217" s="16">
        <v>1</v>
      </c>
      <c r="L1217" s="159">
        <f t="shared" si="95"/>
        <v>0.30658436213991763</v>
      </c>
      <c r="M1217" s="159">
        <f t="shared" si="95"/>
        <v>1.2103606874848705E-2</v>
      </c>
    </row>
    <row r="1218" spans="2:13">
      <c r="B1218" t="s">
        <v>175</v>
      </c>
      <c r="C1218">
        <f t="shared" si="97"/>
        <v>85</v>
      </c>
      <c r="D1218" t="str">
        <f t="shared" ref="D1218:D1281" si="98">CONCATENATE(E1218,C1218)</f>
        <v>TOULOUSE85</v>
      </c>
      <c r="E1218" t="s">
        <v>176</v>
      </c>
      <c r="F1218" t="str">
        <f t="shared" si="94"/>
        <v>TOULOUSE85</v>
      </c>
      <c r="G1218" t="s">
        <v>312</v>
      </c>
      <c r="I1218" s="16">
        <v>80.86</v>
      </c>
      <c r="J1218" s="16">
        <v>23.59</v>
      </c>
      <c r="K1218" s="16">
        <v>9.5399999999999991</v>
      </c>
      <c r="L1218" s="159">
        <f t="shared" si="95"/>
        <v>0.29173880781597822</v>
      </c>
      <c r="M1218" s="159">
        <f t="shared" si="95"/>
        <v>0.11798169675983179</v>
      </c>
    </row>
    <row r="1219" spans="2:13">
      <c r="B1219" t="s">
        <v>175</v>
      </c>
      <c r="C1219">
        <f t="shared" si="97"/>
        <v>86</v>
      </c>
      <c r="D1219" t="str">
        <f t="shared" si="98"/>
        <v>TOULOUSE86</v>
      </c>
      <c r="E1219" t="s">
        <v>176</v>
      </c>
      <c r="F1219" t="str">
        <f t="shared" ref="F1219:F1282" si="99">D1219</f>
        <v>TOULOUSE86</v>
      </c>
      <c r="G1219" t="s">
        <v>412</v>
      </c>
      <c r="I1219" s="16">
        <v>79.87</v>
      </c>
      <c r="J1219" s="16">
        <v>11.07</v>
      </c>
      <c r="K1219" s="16">
        <v>9.15</v>
      </c>
      <c r="L1219" s="159">
        <f t="shared" ref="L1219:M1282" si="100">J1219/$I1219</f>
        <v>0.1386002253662201</v>
      </c>
      <c r="M1219" s="159">
        <f t="shared" si="100"/>
        <v>0.11456116188806811</v>
      </c>
    </row>
    <row r="1220" spans="2:13">
      <c r="B1220" t="s">
        <v>175</v>
      </c>
      <c r="C1220">
        <f t="shared" si="97"/>
        <v>87</v>
      </c>
      <c r="D1220" t="str">
        <f t="shared" si="98"/>
        <v>TOULOUSE87</v>
      </c>
      <c r="E1220" t="s">
        <v>176</v>
      </c>
      <c r="F1220" t="str">
        <f t="shared" si="99"/>
        <v>TOULOUSE87</v>
      </c>
      <c r="G1220" t="s">
        <v>308</v>
      </c>
      <c r="I1220" s="16">
        <v>76.8</v>
      </c>
      <c r="J1220" s="16">
        <v>33.53</v>
      </c>
      <c r="K1220" s="16">
        <v>0</v>
      </c>
      <c r="L1220" s="159">
        <f t="shared" si="100"/>
        <v>0.43658854166666672</v>
      </c>
      <c r="M1220" s="159">
        <f t="shared" si="100"/>
        <v>0</v>
      </c>
    </row>
    <row r="1221" spans="2:13">
      <c r="B1221" t="s">
        <v>175</v>
      </c>
      <c r="C1221">
        <f t="shared" si="97"/>
        <v>88</v>
      </c>
      <c r="D1221" t="str">
        <f t="shared" si="98"/>
        <v>TOULOUSE88</v>
      </c>
      <c r="E1221" t="s">
        <v>176</v>
      </c>
      <c r="F1221" t="str">
        <f t="shared" si="99"/>
        <v>TOULOUSE88</v>
      </c>
      <c r="G1221" t="s">
        <v>325</v>
      </c>
      <c r="H1221" t="s">
        <v>938</v>
      </c>
      <c r="I1221" s="16">
        <v>74.05</v>
      </c>
      <c r="J1221" s="16">
        <v>16.96</v>
      </c>
      <c r="K1221" s="16">
        <v>0</v>
      </c>
      <c r="L1221" s="159">
        <f t="shared" si="100"/>
        <v>0.22903443619176234</v>
      </c>
      <c r="M1221" s="159">
        <f t="shared" si="100"/>
        <v>0</v>
      </c>
    </row>
    <row r="1222" spans="2:13">
      <c r="B1222" t="s">
        <v>175</v>
      </c>
      <c r="C1222">
        <f t="shared" si="97"/>
        <v>89</v>
      </c>
      <c r="D1222" t="str">
        <f t="shared" si="98"/>
        <v>TOULOUSE89</v>
      </c>
      <c r="E1222" t="s">
        <v>176</v>
      </c>
      <c r="F1222" t="str">
        <f t="shared" si="99"/>
        <v>TOULOUSE89</v>
      </c>
      <c r="G1222" t="s">
        <v>272</v>
      </c>
      <c r="I1222" s="16">
        <v>73.930000000000007</v>
      </c>
      <c r="J1222" s="16">
        <v>25.62</v>
      </c>
      <c r="K1222" s="16">
        <v>8.2799999999999994</v>
      </c>
      <c r="L1222" s="159">
        <f t="shared" si="100"/>
        <v>0.34654402813472202</v>
      </c>
      <c r="M1222" s="159">
        <f t="shared" si="100"/>
        <v>0.11199783579061272</v>
      </c>
    </row>
    <row r="1223" spans="2:13">
      <c r="B1223" t="s">
        <v>175</v>
      </c>
      <c r="C1223">
        <f t="shared" si="97"/>
        <v>90</v>
      </c>
      <c r="D1223" t="str">
        <f t="shared" si="98"/>
        <v>TOULOUSE90</v>
      </c>
      <c r="E1223" t="s">
        <v>176</v>
      </c>
      <c r="F1223" t="str">
        <f t="shared" si="99"/>
        <v>TOULOUSE90</v>
      </c>
      <c r="G1223" t="s">
        <v>391</v>
      </c>
      <c r="I1223" s="16">
        <v>73.900000000000006</v>
      </c>
      <c r="J1223" s="16">
        <v>50.95</v>
      </c>
      <c r="K1223" s="16">
        <v>0</v>
      </c>
      <c r="L1223" s="159">
        <f t="shared" si="100"/>
        <v>0.68944519621109601</v>
      </c>
      <c r="M1223" s="159">
        <f t="shared" si="100"/>
        <v>0</v>
      </c>
    </row>
    <row r="1224" spans="2:13">
      <c r="B1224" t="s">
        <v>175</v>
      </c>
      <c r="C1224">
        <f t="shared" si="97"/>
        <v>91</v>
      </c>
      <c r="D1224" t="str">
        <f t="shared" si="98"/>
        <v>TOULOUSE91</v>
      </c>
      <c r="E1224" t="s">
        <v>176</v>
      </c>
      <c r="F1224" t="str">
        <f t="shared" si="99"/>
        <v>TOULOUSE91</v>
      </c>
      <c r="G1224" t="s">
        <v>318</v>
      </c>
      <c r="I1224" s="16">
        <v>71.09</v>
      </c>
      <c r="J1224" s="16">
        <v>58.1</v>
      </c>
      <c r="K1224" s="16">
        <v>1</v>
      </c>
      <c r="L1224" s="159">
        <f t="shared" si="100"/>
        <v>0.81727387818258546</v>
      </c>
      <c r="M1224" s="159">
        <f t="shared" si="100"/>
        <v>1.4066676044450695E-2</v>
      </c>
    </row>
    <row r="1225" spans="2:13">
      <c r="B1225" t="s">
        <v>175</v>
      </c>
      <c r="C1225">
        <f t="shared" si="97"/>
        <v>92</v>
      </c>
      <c r="D1225" t="str">
        <f t="shared" si="98"/>
        <v>TOULOUSE92</v>
      </c>
      <c r="E1225" t="s">
        <v>176</v>
      </c>
      <c r="F1225" t="str">
        <f t="shared" si="99"/>
        <v>TOULOUSE92</v>
      </c>
      <c r="G1225" t="s">
        <v>389</v>
      </c>
      <c r="I1225" s="16">
        <v>69.14</v>
      </c>
      <c r="J1225" s="16">
        <v>53.62</v>
      </c>
      <c r="K1225" s="16">
        <v>0</v>
      </c>
      <c r="L1225" s="159">
        <f t="shared" si="100"/>
        <v>0.77552791437662705</v>
      </c>
      <c r="M1225" s="159">
        <f t="shared" si="100"/>
        <v>0</v>
      </c>
    </row>
    <row r="1226" spans="2:13">
      <c r="B1226" t="s">
        <v>175</v>
      </c>
      <c r="C1226">
        <f t="shared" si="97"/>
        <v>93</v>
      </c>
      <c r="D1226" t="str">
        <f t="shared" si="98"/>
        <v>TOULOUSE93</v>
      </c>
      <c r="E1226" t="s">
        <v>176</v>
      </c>
      <c r="F1226" t="str">
        <f t="shared" si="99"/>
        <v>TOULOUSE93</v>
      </c>
      <c r="G1226" t="s">
        <v>321</v>
      </c>
      <c r="I1226" s="16">
        <v>67.209999999999994</v>
      </c>
      <c r="J1226" s="16">
        <v>30.57</v>
      </c>
      <c r="K1226" s="16">
        <v>3.77</v>
      </c>
      <c r="L1226" s="159">
        <f t="shared" si="100"/>
        <v>0.45484302931111448</v>
      </c>
      <c r="M1226" s="159">
        <f t="shared" si="100"/>
        <v>5.6092843326885883E-2</v>
      </c>
    </row>
    <row r="1227" spans="2:13">
      <c r="B1227" t="s">
        <v>175</v>
      </c>
      <c r="C1227">
        <f t="shared" si="97"/>
        <v>94</v>
      </c>
      <c r="D1227" t="str">
        <f t="shared" si="98"/>
        <v>TOULOUSE94</v>
      </c>
      <c r="E1227" t="s">
        <v>176</v>
      </c>
      <c r="F1227" t="str">
        <f t="shared" si="99"/>
        <v>TOULOUSE94</v>
      </c>
      <c r="G1227" t="s">
        <v>263</v>
      </c>
      <c r="I1227" s="16">
        <v>62.75</v>
      </c>
      <c r="J1227" s="16">
        <v>0</v>
      </c>
      <c r="K1227" s="16">
        <v>10.31</v>
      </c>
      <c r="L1227" s="159">
        <f t="shared" si="100"/>
        <v>0</v>
      </c>
      <c r="M1227" s="159">
        <f t="shared" si="100"/>
        <v>0.16430278884462152</v>
      </c>
    </row>
    <row r="1228" spans="2:13">
      <c r="B1228" t="s">
        <v>175</v>
      </c>
      <c r="C1228">
        <f t="shared" si="97"/>
        <v>95</v>
      </c>
      <c r="D1228" t="str">
        <f t="shared" si="98"/>
        <v>TOULOUSE95</v>
      </c>
      <c r="E1228" t="s">
        <v>176</v>
      </c>
      <c r="F1228" t="str">
        <f t="shared" si="99"/>
        <v>TOULOUSE95</v>
      </c>
      <c r="G1228" t="s">
        <v>277</v>
      </c>
      <c r="I1228" s="16">
        <v>60.52</v>
      </c>
      <c r="J1228" s="16">
        <v>55.52</v>
      </c>
      <c r="K1228" s="16">
        <v>5</v>
      </c>
      <c r="L1228" s="159">
        <f t="shared" si="100"/>
        <v>0.91738268341044282</v>
      </c>
      <c r="M1228" s="159">
        <f t="shared" si="100"/>
        <v>8.2617316589557163E-2</v>
      </c>
    </row>
    <row r="1229" spans="2:13">
      <c r="B1229" t="s">
        <v>175</v>
      </c>
      <c r="C1229">
        <f t="shared" si="97"/>
        <v>96</v>
      </c>
      <c r="D1229" t="str">
        <f t="shared" si="98"/>
        <v>TOULOUSE96</v>
      </c>
      <c r="E1229" t="s">
        <v>176</v>
      </c>
      <c r="F1229" t="str">
        <f t="shared" si="99"/>
        <v>TOULOUSE96</v>
      </c>
      <c r="G1229" t="s">
        <v>349</v>
      </c>
      <c r="I1229" s="16">
        <v>60.46</v>
      </c>
      <c r="J1229" s="16">
        <v>31.63</v>
      </c>
      <c r="K1229" s="16">
        <v>6.58</v>
      </c>
      <c r="L1229" s="159">
        <f t="shared" si="100"/>
        <v>0.52315580549123386</v>
      </c>
      <c r="M1229" s="159">
        <f t="shared" si="100"/>
        <v>0.10883228580879921</v>
      </c>
    </row>
    <row r="1230" spans="2:13">
      <c r="B1230" t="s">
        <v>175</v>
      </c>
      <c r="C1230">
        <f t="shared" ref="C1230:C1261" si="101">RANK(I1230,$I$1133:$I$1310,0)</f>
        <v>97</v>
      </c>
      <c r="D1230" t="str">
        <f t="shared" si="98"/>
        <v>TOULOUSE97</v>
      </c>
      <c r="E1230" t="s">
        <v>176</v>
      </c>
      <c r="F1230" t="str">
        <f t="shared" si="99"/>
        <v>TOULOUSE97</v>
      </c>
      <c r="G1230" t="s">
        <v>353</v>
      </c>
      <c r="I1230" s="16">
        <v>60.19</v>
      </c>
      <c r="J1230" s="16">
        <v>45.83</v>
      </c>
      <c r="K1230" s="16">
        <v>3</v>
      </c>
      <c r="L1230" s="159">
        <f t="shared" si="100"/>
        <v>0.76142216315002487</v>
      </c>
      <c r="M1230" s="159">
        <f t="shared" si="100"/>
        <v>4.9842166472836021E-2</v>
      </c>
    </row>
    <row r="1231" spans="2:13">
      <c r="B1231" t="s">
        <v>175</v>
      </c>
      <c r="C1231">
        <f t="shared" si="101"/>
        <v>98</v>
      </c>
      <c r="D1231" t="str">
        <f t="shared" si="98"/>
        <v>TOULOUSE98</v>
      </c>
      <c r="E1231" t="s">
        <v>176</v>
      </c>
      <c r="F1231" t="str">
        <f t="shared" si="99"/>
        <v>TOULOUSE98</v>
      </c>
      <c r="G1231" t="s">
        <v>416</v>
      </c>
      <c r="I1231" s="16">
        <v>58.28</v>
      </c>
      <c r="J1231" s="16">
        <v>22.25</v>
      </c>
      <c r="K1231" s="16">
        <v>0</v>
      </c>
      <c r="L1231" s="159">
        <f t="shared" si="100"/>
        <v>0.38177762525737818</v>
      </c>
      <c r="M1231" s="159">
        <f t="shared" si="100"/>
        <v>0</v>
      </c>
    </row>
    <row r="1232" spans="2:13">
      <c r="B1232" t="s">
        <v>175</v>
      </c>
      <c r="C1232">
        <f t="shared" si="101"/>
        <v>99</v>
      </c>
      <c r="D1232" t="str">
        <f t="shared" si="98"/>
        <v>TOULOUSE99</v>
      </c>
      <c r="E1232" t="s">
        <v>176</v>
      </c>
      <c r="F1232" t="str">
        <f t="shared" si="99"/>
        <v>TOULOUSE99</v>
      </c>
      <c r="G1232" t="s">
        <v>419</v>
      </c>
      <c r="I1232" s="16">
        <v>58.18</v>
      </c>
      <c r="J1232" s="16">
        <v>0</v>
      </c>
      <c r="K1232" s="16">
        <v>0</v>
      </c>
      <c r="L1232" s="159">
        <f t="shared" si="100"/>
        <v>0</v>
      </c>
      <c r="M1232" s="159">
        <f t="shared" si="100"/>
        <v>0</v>
      </c>
    </row>
    <row r="1233" spans="2:13">
      <c r="B1233" t="s">
        <v>175</v>
      </c>
      <c r="C1233">
        <f t="shared" si="101"/>
        <v>100</v>
      </c>
      <c r="D1233" t="str">
        <f t="shared" si="98"/>
        <v>TOULOUSE100</v>
      </c>
      <c r="E1233" t="s">
        <v>176</v>
      </c>
      <c r="F1233" t="str">
        <f t="shared" si="99"/>
        <v>TOULOUSE100</v>
      </c>
      <c r="G1233" t="s">
        <v>333</v>
      </c>
      <c r="I1233" s="16">
        <v>56.32</v>
      </c>
      <c r="J1233" s="16">
        <v>0</v>
      </c>
      <c r="K1233" s="16">
        <v>46.86</v>
      </c>
      <c r="L1233" s="159">
        <f t="shared" si="100"/>
        <v>0</v>
      </c>
      <c r="M1233" s="159">
        <f t="shared" si="100"/>
        <v>0.83203125</v>
      </c>
    </row>
    <row r="1234" spans="2:13">
      <c r="B1234" t="s">
        <v>175</v>
      </c>
      <c r="C1234">
        <f t="shared" si="101"/>
        <v>101</v>
      </c>
      <c r="D1234" t="str">
        <f t="shared" si="98"/>
        <v>TOULOUSE101</v>
      </c>
      <c r="E1234" t="s">
        <v>176</v>
      </c>
      <c r="F1234" t="str">
        <f t="shared" si="99"/>
        <v>TOULOUSE101</v>
      </c>
      <c r="G1234" t="s">
        <v>429</v>
      </c>
      <c r="I1234" s="16">
        <v>51.38</v>
      </c>
      <c r="J1234" s="16">
        <v>4.3099999999999996</v>
      </c>
      <c r="K1234" s="16">
        <v>45.06</v>
      </c>
      <c r="L1234" s="159">
        <f t="shared" si="100"/>
        <v>8.3884780070066167E-2</v>
      </c>
      <c r="M1234" s="159">
        <f t="shared" si="100"/>
        <v>0.87699493966523945</v>
      </c>
    </row>
    <row r="1235" spans="2:13">
      <c r="B1235" t="s">
        <v>175</v>
      </c>
      <c r="C1235">
        <f t="shared" si="101"/>
        <v>102</v>
      </c>
      <c r="D1235" t="str">
        <f t="shared" si="98"/>
        <v>TOULOUSE102</v>
      </c>
      <c r="E1235" t="s">
        <v>176</v>
      </c>
      <c r="F1235" t="str">
        <f t="shared" si="99"/>
        <v>TOULOUSE102</v>
      </c>
      <c r="G1235" t="s">
        <v>427</v>
      </c>
      <c r="H1235" t="s">
        <v>1797</v>
      </c>
      <c r="I1235" s="16">
        <v>51.08</v>
      </c>
      <c r="J1235" s="16">
        <v>45.85</v>
      </c>
      <c r="K1235" s="16">
        <v>10</v>
      </c>
      <c r="L1235" s="159">
        <f t="shared" si="100"/>
        <v>0.89761158966327337</v>
      </c>
      <c r="M1235" s="159">
        <f t="shared" si="100"/>
        <v>0.19577133907595928</v>
      </c>
    </row>
    <row r="1236" spans="2:13">
      <c r="B1236" t="s">
        <v>175</v>
      </c>
      <c r="C1236">
        <f t="shared" si="101"/>
        <v>103</v>
      </c>
      <c r="D1236" t="str">
        <f t="shared" si="98"/>
        <v>TOULOUSE103</v>
      </c>
      <c r="E1236" t="s">
        <v>176</v>
      </c>
      <c r="F1236" t="str">
        <f t="shared" si="99"/>
        <v>TOULOUSE103</v>
      </c>
      <c r="G1236" t="s">
        <v>386</v>
      </c>
      <c r="I1236" s="16">
        <v>50.44</v>
      </c>
      <c r="J1236" s="16">
        <v>18.86</v>
      </c>
      <c r="K1236" s="16">
        <v>20.48</v>
      </c>
      <c r="L1236" s="159">
        <f t="shared" si="100"/>
        <v>0.3739095955590801</v>
      </c>
      <c r="M1236" s="159">
        <f t="shared" si="100"/>
        <v>0.40602696272799366</v>
      </c>
    </row>
    <row r="1237" spans="2:13">
      <c r="B1237" t="s">
        <v>175</v>
      </c>
      <c r="C1237">
        <f t="shared" si="101"/>
        <v>104</v>
      </c>
      <c r="D1237" t="str">
        <f t="shared" si="98"/>
        <v>TOULOUSE104</v>
      </c>
      <c r="E1237" t="s">
        <v>176</v>
      </c>
      <c r="F1237" t="str">
        <f t="shared" si="99"/>
        <v>TOULOUSE104</v>
      </c>
      <c r="G1237" t="s">
        <v>435</v>
      </c>
      <c r="I1237" s="16">
        <v>49.37</v>
      </c>
      <c r="J1237" s="16">
        <v>19.48</v>
      </c>
      <c r="K1237" s="16">
        <v>29.89</v>
      </c>
      <c r="L1237" s="159">
        <f t="shared" si="100"/>
        <v>0.39457160218756332</v>
      </c>
      <c r="M1237" s="159">
        <f t="shared" si="100"/>
        <v>0.60542839781243674</v>
      </c>
    </row>
    <row r="1238" spans="2:13">
      <c r="B1238" t="s">
        <v>175</v>
      </c>
      <c r="C1238">
        <f t="shared" si="101"/>
        <v>105</v>
      </c>
      <c r="D1238" t="str">
        <f t="shared" si="98"/>
        <v>TOULOUSE105</v>
      </c>
      <c r="E1238" t="s">
        <v>176</v>
      </c>
      <c r="F1238" t="str">
        <f t="shared" si="99"/>
        <v>TOULOUSE105</v>
      </c>
      <c r="G1238" t="s">
        <v>411</v>
      </c>
      <c r="I1238" s="16">
        <v>48.7</v>
      </c>
      <c r="J1238" s="16">
        <v>26</v>
      </c>
      <c r="K1238" s="16">
        <v>4.13</v>
      </c>
      <c r="L1238" s="159">
        <f t="shared" si="100"/>
        <v>0.53388090349075967</v>
      </c>
      <c r="M1238" s="159">
        <f t="shared" si="100"/>
        <v>8.4804928131416837E-2</v>
      </c>
    </row>
    <row r="1239" spans="2:13">
      <c r="B1239" t="s">
        <v>175</v>
      </c>
      <c r="C1239">
        <f t="shared" si="101"/>
        <v>106</v>
      </c>
      <c r="D1239" t="str">
        <f t="shared" si="98"/>
        <v>TOULOUSE106</v>
      </c>
      <c r="E1239" t="s">
        <v>176</v>
      </c>
      <c r="F1239" t="str">
        <f t="shared" si="99"/>
        <v>TOULOUSE106</v>
      </c>
      <c r="G1239" t="s">
        <v>383</v>
      </c>
      <c r="I1239" s="16">
        <v>47.19</v>
      </c>
      <c r="J1239" s="16">
        <v>13.16</v>
      </c>
      <c r="K1239" s="16">
        <v>34.03</v>
      </c>
      <c r="L1239" s="159">
        <f t="shared" si="100"/>
        <v>0.27887264250900617</v>
      </c>
      <c r="M1239" s="159">
        <f t="shared" si="100"/>
        <v>0.72112735749099388</v>
      </c>
    </row>
    <row r="1240" spans="2:13">
      <c r="B1240" t="s">
        <v>175</v>
      </c>
      <c r="C1240">
        <f t="shared" si="101"/>
        <v>107</v>
      </c>
      <c r="D1240" t="str">
        <f t="shared" si="98"/>
        <v>TOULOUSE107</v>
      </c>
      <c r="E1240" t="s">
        <v>176</v>
      </c>
      <c r="F1240" t="str">
        <f t="shared" si="99"/>
        <v>TOULOUSE107</v>
      </c>
      <c r="G1240" t="s">
        <v>285</v>
      </c>
      <c r="H1240" t="s">
        <v>286</v>
      </c>
      <c r="I1240" s="16">
        <v>45.34</v>
      </c>
      <c r="J1240" s="16">
        <v>7.48</v>
      </c>
      <c r="K1240" s="16">
        <v>26.83</v>
      </c>
      <c r="L1240" s="159">
        <f t="shared" si="100"/>
        <v>0.16497573886193206</v>
      </c>
      <c r="M1240" s="159">
        <f t="shared" si="100"/>
        <v>0.59175121305690337</v>
      </c>
    </row>
    <row r="1241" spans="2:13">
      <c r="B1241" t="s">
        <v>175</v>
      </c>
      <c r="C1241">
        <f t="shared" si="101"/>
        <v>108</v>
      </c>
      <c r="D1241" t="str">
        <f t="shared" si="98"/>
        <v>TOULOUSE108</v>
      </c>
      <c r="E1241" t="s">
        <v>176</v>
      </c>
      <c r="F1241" t="str">
        <f t="shared" si="99"/>
        <v>TOULOUSE108</v>
      </c>
      <c r="G1241" t="s">
        <v>428</v>
      </c>
      <c r="I1241" s="16">
        <v>45.23</v>
      </c>
      <c r="J1241" s="16">
        <v>45.23</v>
      </c>
      <c r="K1241" s="16">
        <v>0</v>
      </c>
      <c r="L1241" s="159">
        <f t="shared" si="100"/>
        <v>1</v>
      </c>
      <c r="M1241" s="159">
        <f t="shared" si="100"/>
        <v>0</v>
      </c>
    </row>
    <row r="1242" spans="2:13">
      <c r="B1242" t="s">
        <v>175</v>
      </c>
      <c r="C1242">
        <f t="shared" si="101"/>
        <v>109</v>
      </c>
      <c r="D1242" t="str">
        <f t="shared" si="98"/>
        <v>TOULOUSE109</v>
      </c>
      <c r="E1242" t="s">
        <v>176</v>
      </c>
      <c r="F1242" t="str">
        <f t="shared" si="99"/>
        <v>TOULOUSE109</v>
      </c>
      <c r="G1242" t="s">
        <v>363</v>
      </c>
      <c r="I1242" s="16">
        <v>40.49</v>
      </c>
      <c r="J1242" s="16">
        <v>8.58</v>
      </c>
      <c r="K1242" s="16">
        <v>0</v>
      </c>
      <c r="L1242" s="159">
        <f t="shared" si="100"/>
        <v>0.21190417387009136</v>
      </c>
      <c r="M1242" s="159">
        <f t="shared" si="100"/>
        <v>0</v>
      </c>
    </row>
    <row r="1243" spans="2:13">
      <c r="B1243" t="s">
        <v>175</v>
      </c>
      <c r="C1243">
        <f t="shared" si="101"/>
        <v>110</v>
      </c>
      <c r="D1243" t="str">
        <f t="shared" si="98"/>
        <v>TOULOUSE110</v>
      </c>
      <c r="E1243" t="s">
        <v>176</v>
      </c>
      <c r="F1243" t="str">
        <f t="shared" si="99"/>
        <v>TOULOUSE110</v>
      </c>
      <c r="G1243" t="s">
        <v>381</v>
      </c>
      <c r="I1243" s="16">
        <v>39.229999999999997</v>
      </c>
      <c r="J1243" s="16">
        <v>12.32</v>
      </c>
      <c r="K1243" s="16">
        <v>8.69</v>
      </c>
      <c r="L1243" s="159">
        <f t="shared" si="100"/>
        <v>0.31404537343869493</v>
      </c>
      <c r="M1243" s="159">
        <f t="shared" si="100"/>
        <v>0.22151414733622229</v>
      </c>
    </row>
    <row r="1244" spans="2:13">
      <c r="B1244" t="s">
        <v>175</v>
      </c>
      <c r="C1244">
        <f t="shared" si="101"/>
        <v>111</v>
      </c>
      <c r="D1244" t="str">
        <f t="shared" si="98"/>
        <v>TOULOUSE111</v>
      </c>
      <c r="E1244" t="s">
        <v>176</v>
      </c>
      <c r="F1244" t="str">
        <f t="shared" si="99"/>
        <v>TOULOUSE111</v>
      </c>
      <c r="G1244" t="s">
        <v>301</v>
      </c>
      <c r="H1244" t="s">
        <v>918</v>
      </c>
      <c r="I1244" s="16">
        <v>38.78</v>
      </c>
      <c r="J1244" s="16">
        <v>4.72</v>
      </c>
      <c r="K1244" s="16">
        <v>0</v>
      </c>
      <c r="L1244" s="159">
        <f t="shared" si="100"/>
        <v>0.12171222279525527</v>
      </c>
      <c r="M1244" s="159">
        <f t="shared" si="100"/>
        <v>0</v>
      </c>
    </row>
    <row r="1245" spans="2:13">
      <c r="B1245" t="s">
        <v>175</v>
      </c>
      <c r="C1245">
        <f t="shared" si="101"/>
        <v>112</v>
      </c>
      <c r="D1245" t="str">
        <f t="shared" si="98"/>
        <v>TOULOUSE112</v>
      </c>
      <c r="E1245" t="s">
        <v>176</v>
      </c>
      <c r="F1245" t="str">
        <f t="shared" si="99"/>
        <v>TOULOUSE112</v>
      </c>
      <c r="G1245" t="s">
        <v>327</v>
      </c>
      <c r="H1245" t="s">
        <v>1799</v>
      </c>
      <c r="I1245" s="16">
        <v>38.11</v>
      </c>
      <c r="J1245" s="16">
        <v>11.4</v>
      </c>
      <c r="K1245" s="16">
        <v>25.06</v>
      </c>
      <c r="L1245" s="159">
        <f t="shared" si="100"/>
        <v>0.29913408554185256</v>
      </c>
      <c r="M1245" s="159">
        <f t="shared" si="100"/>
        <v>0.65757019155077401</v>
      </c>
    </row>
    <row r="1246" spans="2:13">
      <c r="B1246" t="s">
        <v>175</v>
      </c>
      <c r="C1246">
        <f t="shared" si="101"/>
        <v>113</v>
      </c>
      <c r="D1246" t="str">
        <f t="shared" si="98"/>
        <v>TOULOUSE113</v>
      </c>
      <c r="E1246" t="s">
        <v>176</v>
      </c>
      <c r="F1246" t="str">
        <f t="shared" si="99"/>
        <v>TOULOUSE113</v>
      </c>
      <c r="G1246" t="s">
        <v>378</v>
      </c>
      <c r="I1246" s="16">
        <v>36.49</v>
      </c>
      <c r="J1246" s="16">
        <v>14.78</v>
      </c>
      <c r="K1246" s="16">
        <v>4.72</v>
      </c>
      <c r="L1246" s="159">
        <f t="shared" si="100"/>
        <v>0.40504247739106602</v>
      </c>
      <c r="M1246" s="159">
        <f t="shared" si="100"/>
        <v>0.12935050698821593</v>
      </c>
    </row>
    <row r="1247" spans="2:13">
      <c r="B1247" t="s">
        <v>175</v>
      </c>
      <c r="C1247">
        <f t="shared" si="101"/>
        <v>114</v>
      </c>
      <c r="D1247" t="str">
        <f t="shared" si="98"/>
        <v>TOULOUSE114</v>
      </c>
      <c r="E1247" t="s">
        <v>176</v>
      </c>
      <c r="F1247" t="str">
        <f t="shared" si="99"/>
        <v>TOULOUSE114</v>
      </c>
      <c r="G1247" t="s">
        <v>443</v>
      </c>
      <c r="I1247" s="16">
        <v>33.76</v>
      </c>
      <c r="J1247" s="16">
        <v>28.12</v>
      </c>
      <c r="K1247" s="16">
        <v>28.12</v>
      </c>
      <c r="L1247" s="159">
        <f t="shared" si="100"/>
        <v>0.83293838862559244</v>
      </c>
      <c r="M1247" s="159">
        <f t="shared" si="100"/>
        <v>0.83293838862559244</v>
      </c>
    </row>
    <row r="1248" spans="2:13">
      <c r="B1248" t="s">
        <v>175</v>
      </c>
      <c r="C1248">
        <f t="shared" si="101"/>
        <v>115</v>
      </c>
      <c r="D1248" t="str">
        <f t="shared" si="98"/>
        <v>TOULOUSE115</v>
      </c>
      <c r="E1248" t="s">
        <v>176</v>
      </c>
      <c r="F1248" t="str">
        <f t="shared" si="99"/>
        <v>TOULOUSE115</v>
      </c>
      <c r="G1248" t="s">
        <v>233</v>
      </c>
      <c r="I1248" s="16">
        <v>33.659999999999997</v>
      </c>
      <c r="J1248" s="16">
        <v>9.2200000000000006</v>
      </c>
      <c r="K1248" s="16">
        <v>9.2200000000000006</v>
      </c>
      <c r="L1248" s="159">
        <f t="shared" si="100"/>
        <v>0.27391562685680337</v>
      </c>
      <c r="M1248" s="159">
        <f t="shared" si="100"/>
        <v>0.27391562685680337</v>
      </c>
    </row>
    <row r="1249" spans="2:13">
      <c r="B1249" t="s">
        <v>175</v>
      </c>
      <c r="C1249">
        <f t="shared" si="101"/>
        <v>116</v>
      </c>
      <c r="D1249" t="str">
        <f t="shared" si="98"/>
        <v>TOULOUSE116</v>
      </c>
      <c r="E1249" t="s">
        <v>176</v>
      </c>
      <c r="F1249" t="str">
        <f t="shared" si="99"/>
        <v>TOULOUSE116</v>
      </c>
      <c r="G1249" t="s">
        <v>337</v>
      </c>
      <c r="I1249" s="16">
        <v>33.58</v>
      </c>
      <c r="J1249" s="16">
        <v>0</v>
      </c>
      <c r="K1249" s="16">
        <v>0</v>
      </c>
      <c r="L1249" s="159">
        <f t="shared" si="100"/>
        <v>0</v>
      </c>
      <c r="M1249" s="159">
        <f t="shared" si="100"/>
        <v>0</v>
      </c>
    </row>
    <row r="1250" spans="2:13">
      <c r="B1250" t="s">
        <v>175</v>
      </c>
      <c r="C1250">
        <f t="shared" si="101"/>
        <v>117</v>
      </c>
      <c r="D1250" t="str">
        <f t="shared" si="98"/>
        <v>TOULOUSE117</v>
      </c>
      <c r="E1250" t="s">
        <v>176</v>
      </c>
      <c r="F1250" t="str">
        <f t="shared" si="99"/>
        <v>TOULOUSE117</v>
      </c>
      <c r="G1250" t="s">
        <v>253</v>
      </c>
      <c r="I1250" s="16">
        <v>32.979999999999997</v>
      </c>
      <c r="J1250" s="16">
        <v>22.98</v>
      </c>
      <c r="K1250" s="16">
        <v>16.22</v>
      </c>
      <c r="L1250" s="159">
        <f t="shared" si="100"/>
        <v>0.69678593086719232</v>
      </c>
      <c r="M1250" s="159">
        <f t="shared" si="100"/>
        <v>0.49181322013341422</v>
      </c>
    </row>
    <row r="1251" spans="2:13">
      <c r="B1251" t="s">
        <v>175</v>
      </c>
      <c r="C1251">
        <f t="shared" si="101"/>
        <v>118</v>
      </c>
      <c r="D1251" t="str">
        <f t="shared" si="98"/>
        <v>TOULOUSE118</v>
      </c>
      <c r="E1251" t="s">
        <v>176</v>
      </c>
      <c r="F1251" t="str">
        <f t="shared" si="99"/>
        <v>TOULOUSE118</v>
      </c>
      <c r="G1251" t="s">
        <v>366</v>
      </c>
      <c r="I1251" s="16">
        <v>32.880000000000003</v>
      </c>
      <c r="J1251" s="16">
        <v>0</v>
      </c>
      <c r="K1251" s="16">
        <v>7.71</v>
      </c>
      <c r="L1251" s="159">
        <f t="shared" si="100"/>
        <v>0</v>
      </c>
      <c r="M1251" s="159">
        <f t="shared" si="100"/>
        <v>0.23448905109489049</v>
      </c>
    </row>
    <row r="1252" spans="2:13">
      <c r="B1252" t="s">
        <v>175</v>
      </c>
      <c r="C1252">
        <f t="shared" si="101"/>
        <v>119</v>
      </c>
      <c r="D1252" t="str">
        <f t="shared" si="98"/>
        <v>TOULOUSE119</v>
      </c>
      <c r="E1252" t="s">
        <v>176</v>
      </c>
      <c r="F1252" t="str">
        <f t="shared" si="99"/>
        <v>TOULOUSE119</v>
      </c>
      <c r="G1252" t="s">
        <v>409</v>
      </c>
      <c r="I1252" s="16">
        <v>31.56</v>
      </c>
      <c r="J1252" s="16">
        <v>18.8</v>
      </c>
      <c r="K1252" s="16">
        <v>0</v>
      </c>
      <c r="L1252" s="159">
        <f t="shared" si="100"/>
        <v>0.59569074778200259</v>
      </c>
      <c r="M1252" s="159">
        <f t="shared" si="100"/>
        <v>0</v>
      </c>
    </row>
    <row r="1253" spans="2:13">
      <c r="B1253" t="s">
        <v>175</v>
      </c>
      <c r="C1253">
        <f t="shared" si="101"/>
        <v>120</v>
      </c>
      <c r="D1253" t="str">
        <f t="shared" si="98"/>
        <v>TOULOUSE120</v>
      </c>
      <c r="E1253" t="s">
        <v>176</v>
      </c>
      <c r="F1253" t="str">
        <f t="shared" si="99"/>
        <v>TOULOUSE120</v>
      </c>
      <c r="G1253" t="s">
        <v>297</v>
      </c>
      <c r="I1253" s="16">
        <v>30.85</v>
      </c>
      <c r="J1253" s="16">
        <v>7.58</v>
      </c>
      <c r="K1253" s="16">
        <v>0</v>
      </c>
      <c r="L1253" s="159">
        <f t="shared" si="100"/>
        <v>0.24570502431118313</v>
      </c>
      <c r="M1253" s="159">
        <f t="shared" si="100"/>
        <v>0</v>
      </c>
    </row>
    <row r="1254" spans="2:13">
      <c r="B1254" t="s">
        <v>175</v>
      </c>
      <c r="C1254">
        <f t="shared" si="101"/>
        <v>121</v>
      </c>
      <c r="D1254" t="str">
        <f t="shared" si="98"/>
        <v>TOULOUSE121</v>
      </c>
      <c r="E1254" t="s">
        <v>176</v>
      </c>
      <c r="F1254" t="str">
        <f t="shared" si="99"/>
        <v>TOULOUSE121</v>
      </c>
      <c r="G1254" t="s">
        <v>398</v>
      </c>
      <c r="I1254" s="16">
        <v>29.43</v>
      </c>
      <c r="J1254" s="16">
        <v>9.82</v>
      </c>
      <c r="K1254" s="16">
        <v>7.81</v>
      </c>
      <c r="L1254" s="159">
        <f t="shared" si="100"/>
        <v>0.33367312266394838</v>
      </c>
      <c r="M1254" s="159">
        <f t="shared" si="100"/>
        <v>0.26537546721032956</v>
      </c>
    </row>
    <row r="1255" spans="2:13">
      <c r="B1255" t="s">
        <v>175</v>
      </c>
      <c r="C1255">
        <f t="shared" si="101"/>
        <v>122</v>
      </c>
      <c r="D1255" t="str">
        <f t="shared" si="98"/>
        <v>TOULOUSE122</v>
      </c>
      <c r="E1255" t="s">
        <v>176</v>
      </c>
      <c r="F1255" t="str">
        <f t="shared" si="99"/>
        <v>TOULOUSE122</v>
      </c>
      <c r="G1255" t="s">
        <v>334</v>
      </c>
      <c r="H1255" t="s">
        <v>946</v>
      </c>
      <c r="I1255" s="16">
        <v>29.28</v>
      </c>
      <c r="J1255" s="16">
        <v>0</v>
      </c>
      <c r="K1255" s="16">
        <v>29.28</v>
      </c>
      <c r="L1255" s="159">
        <f t="shared" si="100"/>
        <v>0</v>
      </c>
      <c r="M1255" s="159">
        <f t="shared" si="100"/>
        <v>1</v>
      </c>
    </row>
    <row r="1256" spans="2:13">
      <c r="B1256" t="s">
        <v>175</v>
      </c>
      <c r="C1256">
        <f t="shared" si="101"/>
        <v>123</v>
      </c>
      <c r="D1256" t="str">
        <f t="shared" si="98"/>
        <v>TOULOUSE123</v>
      </c>
      <c r="E1256" t="s">
        <v>176</v>
      </c>
      <c r="F1256" t="str">
        <f t="shared" si="99"/>
        <v>TOULOUSE123</v>
      </c>
      <c r="G1256" t="s">
        <v>415</v>
      </c>
      <c r="I1256" s="16">
        <v>28.39</v>
      </c>
      <c r="J1256" s="16">
        <v>5.77</v>
      </c>
      <c r="K1256" s="16">
        <v>0</v>
      </c>
      <c r="L1256" s="159">
        <f t="shared" si="100"/>
        <v>0.20324057766819301</v>
      </c>
      <c r="M1256" s="159">
        <f t="shared" si="100"/>
        <v>0</v>
      </c>
    </row>
    <row r="1257" spans="2:13">
      <c r="B1257" t="s">
        <v>175</v>
      </c>
      <c r="C1257">
        <f t="shared" si="101"/>
        <v>124</v>
      </c>
      <c r="D1257" t="str">
        <f t="shared" si="98"/>
        <v>TOULOUSE124</v>
      </c>
      <c r="E1257" t="s">
        <v>176</v>
      </c>
      <c r="F1257" t="str">
        <f t="shared" si="99"/>
        <v>TOULOUSE124</v>
      </c>
      <c r="G1257" t="s">
        <v>315</v>
      </c>
      <c r="I1257" s="16">
        <v>27.72</v>
      </c>
      <c r="J1257" s="16">
        <v>5.9</v>
      </c>
      <c r="K1257" s="16">
        <v>1.89</v>
      </c>
      <c r="L1257" s="159">
        <f t="shared" si="100"/>
        <v>0.21284271284271286</v>
      </c>
      <c r="M1257" s="159">
        <f t="shared" si="100"/>
        <v>6.8181818181818177E-2</v>
      </c>
    </row>
    <row r="1258" spans="2:13">
      <c r="B1258" t="s">
        <v>175</v>
      </c>
      <c r="C1258">
        <f t="shared" si="101"/>
        <v>125</v>
      </c>
      <c r="D1258" t="str">
        <f t="shared" si="98"/>
        <v>TOULOUSE125</v>
      </c>
      <c r="E1258" t="s">
        <v>176</v>
      </c>
      <c r="F1258" t="str">
        <f t="shared" si="99"/>
        <v>TOULOUSE125</v>
      </c>
      <c r="G1258" t="s">
        <v>368</v>
      </c>
      <c r="I1258" s="16">
        <v>26.88</v>
      </c>
      <c r="J1258" s="16">
        <v>13.1</v>
      </c>
      <c r="K1258" s="16">
        <v>6.1</v>
      </c>
      <c r="L1258" s="159">
        <f t="shared" si="100"/>
        <v>0.48735119047619047</v>
      </c>
      <c r="M1258" s="159">
        <f t="shared" si="100"/>
        <v>0.22693452380952381</v>
      </c>
    </row>
    <row r="1259" spans="2:13">
      <c r="B1259" t="s">
        <v>175</v>
      </c>
      <c r="C1259">
        <f t="shared" si="101"/>
        <v>126</v>
      </c>
      <c r="D1259" t="str">
        <f t="shared" si="98"/>
        <v>TOULOUSE126</v>
      </c>
      <c r="E1259" t="s">
        <v>176</v>
      </c>
      <c r="F1259" t="str">
        <f t="shared" si="99"/>
        <v>TOULOUSE126</v>
      </c>
      <c r="G1259" t="s">
        <v>280</v>
      </c>
      <c r="I1259" s="16">
        <v>26.45</v>
      </c>
      <c r="J1259" s="16">
        <v>14.56</v>
      </c>
      <c r="K1259" s="16">
        <v>0</v>
      </c>
      <c r="L1259" s="159">
        <f t="shared" si="100"/>
        <v>0.55047258979206048</v>
      </c>
      <c r="M1259" s="159">
        <f t="shared" si="100"/>
        <v>0</v>
      </c>
    </row>
    <row r="1260" spans="2:13">
      <c r="B1260" t="s">
        <v>175</v>
      </c>
      <c r="C1260">
        <f t="shared" si="101"/>
        <v>127</v>
      </c>
      <c r="D1260" t="str">
        <f t="shared" si="98"/>
        <v>TOULOUSE127</v>
      </c>
      <c r="E1260" t="s">
        <v>176</v>
      </c>
      <c r="F1260" t="str">
        <f t="shared" si="99"/>
        <v>TOULOUSE127</v>
      </c>
      <c r="G1260" t="s">
        <v>360</v>
      </c>
      <c r="I1260" s="16">
        <v>26.37</v>
      </c>
      <c r="J1260" s="16">
        <v>16.43</v>
      </c>
      <c r="K1260" s="16">
        <v>0</v>
      </c>
      <c r="L1260" s="159">
        <f t="shared" si="100"/>
        <v>0.62305650360257869</v>
      </c>
      <c r="M1260" s="159">
        <f t="shared" si="100"/>
        <v>0</v>
      </c>
    </row>
    <row r="1261" spans="2:13">
      <c r="B1261" t="s">
        <v>175</v>
      </c>
      <c r="C1261">
        <f t="shared" si="101"/>
        <v>128</v>
      </c>
      <c r="D1261" t="str">
        <f t="shared" si="98"/>
        <v>TOULOUSE128</v>
      </c>
      <c r="E1261" t="s">
        <v>176</v>
      </c>
      <c r="F1261" t="str">
        <f t="shared" si="99"/>
        <v>TOULOUSE128</v>
      </c>
      <c r="G1261" t="s">
        <v>316</v>
      </c>
      <c r="H1261" t="s">
        <v>317</v>
      </c>
      <c r="I1261" s="16">
        <v>26.25</v>
      </c>
      <c r="J1261" s="16">
        <v>26.25</v>
      </c>
      <c r="K1261" s="16">
        <v>18.309999999999999</v>
      </c>
      <c r="L1261" s="159">
        <f t="shared" si="100"/>
        <v>1</v>
      </c>
      <c r="M1261" s="159">
        <f t="shared" si="100"/>
        <v>0.69752380952380943</v>
      </c>
    </row>
    <row r="1262" spans="2:13">
      <c r="B1262" t="s">
        <v>175</v>
      </c>
      <c r="C1262">
        <f t="shared" ref="C1262:C1293" si="102">RANK(I1262,$I$1133:$I$1310,0)</f>
        <v>129</v>
      </c>
      <c r="D1262" t="str">
        <f t="shared" si="98"/>
        <v>TOULOUSE129</v>
      </c>
      <c r="E1262" t="s">
        <v>176</v>
      </c>
      <c r="F1262" t="str">
        <f t="shared" si="99"/>
        <v>TOULOUSE129</v>
      </c>
      <c r="G1262" t="s">
        <v>418</v>
      </c>
      <c r="I1262" s="16">
        <v>24.4</v>
      </c>
      <c r="J1262" s="16">
        <v>24.4</v>
      </c>
      <c r="K1262" s="16">
        <v>0</v>
      </c>
      <c r="L1262" s="159">
        <f t="shared" si="100"/>
        <v>1</v>
      </c>
      <c r="M1262" s="159">
        <f t="shared" si="100"/>
        <v>0</v>
      </c>
    </row>
    <row r="1263" spans="2:13">
      <c r="B1263" t="s">
        <v>175</v>
      </c>
      <c r="C1263">
        <f t="shared" si="102"/>
        <v>130</v>
      </c>
      <c r="D1263" t="str">
        <f t="shared" si="98"/>
        <v>TOULOUSE130</v>
      </c>
      <c r="E1263" t="s">
        <v>176</v>
      </c>
      <c r="F1263" t="str">
        <f t="shared" si="99"/>
        <v>TOULOUSE130</v>
      </c>
      <c r="G1263" t="s">
        <v>403</v>
      </c>
      <c r="I1263" s="16">
        <v>24.17</v>
      </c>
      <c r="J1263" s="16">
        <v>7.23</v>
      </c>
      <c r="K1263" s="16">
        <v>0</v>
      </c>
      <c r="L1263" s="159">
        <f t="shared" si="100"/>
        <v>0.29913115432354159</v>
      </c>
      <c r="M1263" s="159">
        <f t="shared" si="100"/>
        <v>0</v>
      </c>
    </row>
    <row r="1264" spans="2:13">
      <c r="B1264" t="s">
        <v>175</v>
      </c>
      <c r="C1264">
        <f t="shared" si="102"/>
        <v>131</v>
      </c>
      <c r="D1264" t="str">
        <f t="shared" si="98"/>
        <v>TOULOUSE131</v>
      </c>
      <c r="E1264" t="s">
        <v>176</v>
      </c>
      <c r="F1264" t="str">
        <f t="shared" si="99"/>
        <v>TOULOUSE131</v>
      </c>
      <c r="G1264" t="s">
        <v>445</v>
      </c>
      <c r="I1264" s="16">
        <v>23.93</v>
      </c>
      <c r="J1264" s="16">
        <v>11.65</v>
      </c>
      <c r="K1264" s="16">
        <v>3.98</v>
      </c>
      <c r="L1264" s="159">
        <f t="shared" si="100"/>
        <v>0.48683660676974511</v>
      </c>
      <c r="M1264" s="159">
        <f t="shared" si="100"/>
        <v>0.16631842875052236</v>
      </c>
    </row>
    <row r="1265" spans="2:13">
      <c r="B1265" t="s">
        <v>175</v>
      </c>
      <c r="C1265">
        <f t="shared" si="102"/>
        <v>132</v>
      </c>
      <c r="D1265" t="str">
        <f t="shared" si="98"/>
        <v>TOULOUSE132</v>
      </c>
      <c r="E1265" t="s">
        <v>176</v>
      </c>
      <c r="F1265" t="str">
        <f t="shared" si="99"/>
        <v>TOULOUSE132</v>
      </c>
      <c r="G1265" t="s">
        <v>439</v>
      </c>
      <c r="H1265" t="s">
        <v>440</v>
      </c>
      <c r="I1265" s="16">
        <v>23.81</v>
      </c>
      <c r="J1265" s="16">
        <v>0</v>
      </c>
      <c r="K1265" s="16">
        <v>23.81</v>
      </c>
      <c r="L1265" s="159">
        <f t="shared" si="100"/>
        <v>0</v>
      </c>
      <c r="M1265" s="159">
        <f t="shared" si="100"/>
        <v>1</v>
      </c>
    </row>
    <row r="1266" spans="2:13">
      <c r="B1266" t="s">
        <v>175</v>
      </c>
      <c r="C1266">
        <f t="shared" si="102"/>
        <v>133</v>
      </c>
      <c r="D1266" t="str">
        <f t="shared" si="98"/>
        <v>TOULOUSE133</v>
      </c>
      <c r="E1266" t="s">
        <v>176</v>
      </c>
      <c r="F1266" t="str">
        <f t="shared" si="99"/>
        <v>TOULOUSE133</v>
      </c>
      <c r="G1266" t="s">
        <v>217</v>
      </c>
      <c r="I1266" s="16">
        <v>23.49</v>
      </c>
      <c r="J1266" s="16">
        <v>23.49</v>
      </c>
      <c r="K1266" s="16">
        <v>0</v>
      </c>
      <c r="L1266" s="159">
        <f t="shared" si="100"/>
        <v>1</v>
      </c>
      <c r="M1266" s="159">
        <f t="shared" si="100"/>
        <v>0</v>
      </c>
    </row>
    <row r="1267" spans="2:13">
      <c r="B1267" t="s">
        <v>175</v>
      </c>
      <c r="C1267">
        <f t="shared" si="102"/>
        <v>134</v>
      </c>
      <c r="D1267" t="str">
        <f t="shared" si="98"/>
        <v>TOULOUSE134</v>
      </c>
      <c r="E1267" t="s">
        <v>176</v>
      </c>
      <c r="F1267" t="str">
        <f t="shared" si="99"/>
        <v>TOULOUSE134</v>
      </c>
      <c r="G1267" t="s">
        <v>357</v>
      </c>
      <c r="I1267" s="16">
        <v>22.6</v>
      </c>
      <c r="J1267" s="16">
        <v>0</v>
      </c>
      <c r="K1267" s="16">
        <v>0</v>
      </c>
      <c r="L1267" s="159">
        <f t="shared" si="100"/>
        <v>0</v>
      </c>
      <c r="M1267" s="159">
        <f t="shared" si="100"/>
        <v>0</v>
      </c>
    </row>
    <row r="1268" spans="2:13">
      <c r="B1268" t="s">
        <v>175</v>
      </c>
      <c r="C1268">
        <f t="shared" si="102"/>
        <v>135</v>
      </c>
      <c r="D1268" t="str">
        <f t="shared" si="98"/>
        <v>TOULOUSE135</v>
      </c>
      <c r="E1268" t="s">
        <v>176</v>
      </c>
      <c r="F1268" t="str">
        <f t="shared" si="99"/>
        <v>TOULOUSE135</v>
      </c>
      <c r="G1268" t="s">
        <v>372</v>
      </c>
      <c r="I1268" s="16">
        <v>22.57</v>
      </c>
      <c r="J1268" s="16">
        <v>7.53</v>
      </c>
      <c r="K1268" s="16">
        <v>0</v>
      </c>
      <c r="L1268" s="159">
        <f t="shared" si="100"/>
        <v>0.33362871067789102</v>
      </c>
      <c r="M1268" s="159">
        <f t="shared" si="100"/>
        <v>0</v>
      </c>
    </row>
    <row r="1269" spans="2:13">
      <c r="B1269" t="s">
        <v>175</v>
      </c>
      <c r="C1269">
        <f t="shared" si="102"/>
        <v>136</v>
      </c>
      <c r="D1269" t="str">
        <f t="shared" si="98"/>
        <v>TOULOUSE136</v>
      </c>
      <c r="E1269" t="s">
        <v>176</v>
      </c>
      <c r="F1269" t="str">
        <f t="shared" si="99"/>
        <v>TOULOUSE136</v>
      </c>
      <c r="G1269" t="s">
        <v>399</v>
      </c>
      <c r="I1269" s="16">
        <v>20.81</v>
      </c>
      <c r="J1269" s="16">
        <v>0</v>
      </c>
      <c r="K1269" s="16">
        <v>8.81</v>
      </c>
      <c r="L1269" s="159">
        <f t="shared" si="100"/>
        <v>0</v>
      </c>
      <c r="M1269" s="159">
        <f t="shared" si="100"/>
        <v>0.42335415665545417</v>
      </c>
    </row>
    <row r="1270" spans="2:13">
      <c r="B1270" t="s">
        <v>175</v>
      </c>
      <c r="C1270">
        <f t="shared" si="102"/>
        <v>137</v>
      </c>
      <c r="D1270" t="str">
        <f t="shared" si="98"/>
        <v>TOULOUSE137</v>
      </c>
      <c r="E1270" t="s">
        <v>176</v>
      </c>
      <c r="F1270" t="str">
        <f t="shared" si="99"/>
        <v>TOULOUSE137</v>
      </c>
      <c r="G1270" t="s">
        <v>371</v>
      </c>
      <c r="I1270" s="16">
        <v>20.63</v>
      </c>
      <c r="J1270" s="16">
        <v>2.77</v>
      </c>
      <c r="K1270" s="16">
        <v>0</v>
      </c>
      <c r="L1270" s="159">
        <f t="shared" si="100"/>
        <v>0.13427047988366458</v>
      </c>
      <c r="M1270" s="159">
        <f t="shared" si="100"/>
        <v>0</v>
      </c>
    </row>
    <row r="1271" spans="2:13">
      <c r="B1271" t="s">
        <v>175</v>
      </c>
      <c r="C1271">
        <f t="shared" si="102"/>
        <v>138</v>
      </c>
      <c r="D1271" t="str">
        <f t="shared" si="98"/>
        <v>TOULOUSE138</v>
      </c>
      <c r="E1271" t="s">
        <v>176</v>
      </c>
      <c r="F1271" t="str">
        <f t="shared" si="99"/>
        <v>TOULOUSE138</v>
      </c>
      <c r="G1271" t="s">
        <v>339</v>
      </c>
      <c r="I1271" s="16">
        <v>19.79</v>
      </c>
      <c r="J1271" s="16">
        <v>17.899999999999999</v>
      </c>
      <c r="K1271" s="16">
        <v>5.65</v>
      </c>
      <c r="L1271" s="159">
        <f t="shared" si="100"/>
        <v>0.90449722081859518</v>
      </c>
      <c r="M1271" s="159">
        <f t="shared" si="100"/>
        <v>0.28549772612430524</v>
      </c>
    </row>
    <row r="1272" spans="2:13">
      <c r="B1272" t="s">
        <v>175</v>
      </c>
      <c r="C1272">
        <f t="shared" si="102"/>
        <v>139</v>
      </c>
      <c r="D1272" t="str">
        <f t="shared" si="98"/>
        <v>TOULOUSE139</v>
      </c>
      <c r="E1272" t="s">
        <v>176</v>
      </c>
      <c r="F1272" t="str">
        <f t="shared" si="99"/>
        <v>TOULOUSE139</v>
      </c>
      <c r="G1272" t="s">
        <v>245</v>
      </c>
      <c r="I1272" s="16">
        <v>18.73</v>
      </c>
      <c r="J1272" s="16">
        <v>0</v>
      </c>
      <c r="K1272" s="16">
        <v>16.39</v>
      </c>
      <c r="L1272" s="159">
        <f t="shared" si="100"/>
        <v>0</v>
      </c>
      <c r="M1272" s="159">
        <f t="shared" si="100"/>
        <v>0.87506673785371059</v>
      </c>
    </row>
    <row r="1273" spans="2:13">
      <c r="B1273" t="s">
        <v>175</v>
      </c>
      <c r="C1273">
        <f t="shared" si="102"/>
        <v>140</v>
      </c>
      <c r="D1273" t="str">
        <f t="shared" si="98"/>
        <v>TOULOUSE140</v>
      </c>
      <c r="E1273" t="s">
        <v>176</v>
      </c>
      <c r="F1273" t="str">
        <f t="shared" si="99"/>
        <v>TOULOUSE140</v>
      </c>
      <c r="G1273" t="s">
        <v>283</v>
      </c>
      <c r="I1273" s="16">
        <v>18.600000000000001</v>
      </c>
      <c r="J1273" s="16">
        <v>7.16</v>
      </c>
      <c r="K1273" s="16">
        <v>4.03</v>
      </c>
      <c r="L1273" s="159">
        <f t="shared" si="100"/>
        <v>0.38494623655913979</v>
      </c>
      <c r="M1273" s="159">
        <f t="shared" si="100"/>
        <v>0.21666666666666667</v>
      </c>
    </row>
    <row r="1274" spans="2:13">
      <c r="B1274" t="s">
        <v>175</v>
      </c>
      <c r="C1274">
        <f t="shared" si="102"/>
        <v>141</v>
      </c>
      <c r="D1274" t="str">
        <f t="shared" si="98"/>
        <v>TOULOUSE141</v>
      </c>
      <c r="E1274" t="s">
        <v>176</v>
      </c>
      <c r="F1274" t="str">
        <f t="shared" si="99"/>
        <v>TOULOUSE141</v>
      </c>
      <c r="G1274" t="s">
        <v>448</v>
      </c>
      <c r="I1274" s="16">
        <v>18.48</v>
      </c>
      <c r="J1274" s="16">
        <v>0</v>
      </c>
      <c r="K1274" s="16">
        <v>0</v>
      </c>
      <c r="L1274" s="159">
        <f t="shared" si="100"/>
        <v>0</v>
      </c>
      <c r="M1274" s="159">
        <f t="shared" si="100"/>
        <v>0</v>
      </c>
    </row>
    <row r="1275" spans="2:13">
      <c r="B1275" t="s">
        <v>175</v>
      </c>
      <c r="C1275">
        <f t="shared" si="102"/>
        <v>142</v>
      </c>
      <c r="D1275" t="str">
        <f t="shared" si="98"/>
        <v>TOULOUSE142</v>
      </c>
      <c r="E1275" t="s">
        <v>176</v>
      </c>
      <c r="F1275" t="str">
        <f t="shared" si="99"/>
        <v>TOULOUSE142</v>
      </c>
      <c r="G1275" t="s">
        <v>344</v>
      </c>
      <c r="I1275" s="16">
        <v>18.149999999999999</v>
      </c>
      <c r="J1275" s="16">
        <v>4.6100000000000003</v>
      </c>
      <c r="K1275" s="16">
        <v>0</v>
      </c>
      <c r="L1275" s="159">
        <f t="shared" si="100"/>
        <v>0.25399449035812677</v>
      </c>
      <c r="M1275" s="159">
        <f t="shared" si="100"/>
        <v>0</v>
      </c>
    </row>
    <row r="1276" spans="2:13">
      <c r="B1276" t="s">
        <v>175</v>
      </c>
      <c r="C1276">
        <f t="shared" si="102"/>
        <v>143</v>
      </c>
      <c r="D1276" t="str">
        <f t="shared" si="98"/>
        <v>TOULOUSE143</v>
      </c>
      <c r="E1276" t="s">
        <v>176</v>
      </c>
      <c r="F1276" t="str">
        <f t="shared" si="99"/>
        <v>TOULOUSE143</v>
      </c>
      <c r="G1276" t="s">
        <v>447</v>
      </c>
      <c r="I1276" s="16">
        <v>16.52</v>
      </c>
      <c r="J1276" s="16">
        <v>0</v>
      </c>
      <c r="K1276" s="16">
        <v>0</v>
      </c>
      <c r="L1276" s="159">
        <f t="shared" si="100"/>
        <v>0</v>
      </c>
      <c r="M1276" s="159">
        <f t="shared" si="100"/>
        <v>0</v>
      </c>
    </row>
    <row r="1277" spans="2:13">
      <c r="B1277" t="s">
        <v>175</v>
      </c>
      <c r="C1277">
        <f t="shared" si="102"/>
        <v>144</v>
      </c>
      <c r="D1277" t="str">
        <f t="shared" si="98"/>
        <v>TOULOUSE144</v>
      </c>
      <c r="E1277" t="s">
        <v>176</v>
      </c>
      <c r="F1277" t="str">
        <f t="shared" si="99"/>
        <v>TOULOUSE144</v>
      </c>
      <c r="G1277" t="s">
        <v>432</v>
      </c>
      <c r="I1277" s="16">
        <v>16.02</v>
      </c>
      <c r="J1277" s="16">
        <v>4.12</v>
      </c>
      <c r="K1277" s="16">
        <v>6.8</v>
      </c>
      <c r="L1277" s="159">
        <f t="shared" si="100"/>
        <v>0.25717852684144821</v>
      </c>
      <c r="M1277" s="159">
        <f t="shared" si="100"/>
        <v>0.42446941323345816</v>
      </c>
    </row>
    <row r="1278" spans="2:13">
      <c r="B1278" t="s">
        <v>175</v>
      </c>
      <c r="C1278">
        <f t="shared" si="102"/>
        <v>145</v>
      </c>
      <c r="D1278" t="str">
        <f t="shared" si="98"/>
        <v>TOULOUSE145</v>
      </c>
      <c r="E1278" t="s">
        <v>176</v>
      </c>
      <c r="F1278" t="str">
        <f t="shared" si="99"/>
        <v>TOULOUSE145</v>
      </c>
      <c r="G1278" t="s">
        <v>373</v>
      </c>
      <c r="I1278" s="16">
        <v>15.68</v>
      </c>
      <c r="J1278" s="16">
        <v>11.26</v>
      </c>
      <c r="K1278" s="16">
        <v>0</v>
      </c>
      <c r="L1278" s="159">
        <f t="shared" si="100"/>
        <v>0.71811224489795922</v>
      </c>
      <c r="M1278" s="159">
        <f t="shared" si="100"/>
        <v>0</v>
      </c>
    </row>
    <row r="1279" spans="2:13">
      <c r="B1279" t="s">
        <v>175</v>
      </c>
      <c r="C1279">
        <f t="shared" si="102"/>
        <v>146</v>
      </c>
      <c r="D1279" t="str">
        <f t="shared" si="98"/>
        <v>TOULOUSE146</v>
      </c>
      <c r="E1279" t="s">
        <v>176</v>
      </c>
      <c r="F1279" t="str">
        <f t="shared" si="99"/>
        <v>TOULOUSE146</v>
      </c>
      <c r="G1279" t="s">
        <v>421</v>
      </c>
      <c r="I1279" s="16">
        <v>15.42</v>
      </c>
      <c r="J1279" s="16">
        <v>5.65</v>
      </c>
      <c r="K1279" s="16">
        <v>0</v>
      </c>
      <c r="L1279" s="159">
        <f t="shared" si="100"/>
        <v>0.36640726329442286</v>
      </c>
      <c r="M1279" s="159">
        <f t="shared" si="100"/>
        <v>0</v>
      </c>
    </row>
    <row r="1280" spans="2:13">
      <c r="B1280" t="s">
        <v>175</v>
      </c>
      <c r="C1280">
        <f t="shared" si="102"/>
        <v>147</v>
      </c>
      <c r="D1280" t="str">
        <f t="shared" si="98"/>
        <v>TOULOUSE147</v>
      </c>
      <c r="E1280" t="s">
        <v>176</v>
      </c>
      <c r="F1280" t="str">
        <f t="shared" si="99"/>
        <v>TOULOUSE147</v>
      </c>
      <c r="G1280" t="s">
        <v>392</v>
      </c>
      <c r="I1280" s="16">
        <v>15.2</v>
      </c>
      <c r="J1280" s="16">
        <v>15.2</v>
      </c>
      <c r="K1280" s="16">
        <v>0</v>
      </c>
      <c r="L1280" s="159">
        <f t="shared" si="100"/>
        <v>1</v>
      </c>
      <c r="M1280" s="159">
        <f t="shared" si="100"/>
        <v>0</v>
      </c>
    </row>
    <row r="1281" spans="2:13">
      <c r="B1281" t="s">
        <v>175</v>
      </c>
      <c r="C1281">
        <f t="shared" si="102"/>
        <v>148</v>
      </c>
      <c r="D1281" t="str">
        <f t="shared" si="98"/>
        <v>TOULOUSE148</v>
      </c>
      <c r="E1281" t="s">
        <v>176</v>
      </c>
      <c r="F1281" t="str">
        <f t="shared" si="99"/>
        <v>TOULOUSE148</v>
      </c>
      <c r="G1281" t="s">
        <v>346</v>
      </c>
      <c r="I1281" s="16">
        <v>14.71</v>
      </c>
      <c r="J1281" s="16">
        <v>13.1</v>
      </c>
      <c r="K1281" s="16">
        <v>0</v>
      </c>
      <c r="L1281" s="159">
        <f t="shared" si="100"/>
        <v>0.89055064581917054</v>
      </c>
      <c r="M1281" s="159">
        <f t="shared" si="100"/>
        <v>0</v>
      </c>
    </row>
    <row r="1282" spans="2:13">
      <c r="B1282" t="s">
        <v>175</v>
      </c>
      <c r="C1282">
        <f t="shared" si="102"/>
        <v>149</v>
      </c>
      <c r="D1282" t="str">
        <f t="shared" ref="D1282:D1345" si="103">CONCATENATE(E1282,C1282)</f>
        <v>TOULOUSE149</v>
      </c>
      <c r="E1282" t="s">
        <v>176</v>
      </c>
      <c r="F1282" t="str">
        <f t="shared" si="99"/>
        <v>TOULOUSE149</v>
      </c>
      <c r="G1282" t="s">
        <v>261</v>
      </c>
      <c r="I1282" s="16">
        <v>14.69</v>
      </c>
      <c r="J1282" s="16">
        <v>8.11</v>
      </c>
      <c r="K1282" s="16">
        <v>8.11</v>
      </c>
      <c r="L1282" s="159">
        <f t="shared" si="100"/>
        <v>0.55207624234172903</v>
      </c>
      <c r="M1282" s="159">
        <f t="shared" si="100"/>
        <v>0.55207624234172903</v>
      </c>
    </row>
    <row r="1283" spans="2:13">
      <c r="B1283" t="s">
        <v>175</v>
      </c>
      <c r="C1283">
        <f t="shared" si="102"/>
        <v>150</v>
      </c>
      <c r="D1283" t="str">
        <f t="shared" si="103"/>
        <v>TOULOUSE150</v>
      </c>
      <c r="E1283" t="s">
        <v>176</v>
      </c>
      <c r="F1283" t="str">
        <f t="shared" ref="F1283:F1346" si="104">D1283</f>
        <v>TOULOUSE150</v>
      </c>
      <c r="G1283" t="s">
        <v>456</v>
      </c>
      <c r="I1283" s="16">
        <v>13.6</v>
      </c>
      <c r="J1283" s="16">
        <v>0</v>
      </c>
      <c r="K1283" s="16">
        <v>6.8</v>
      </c>
      <c r="L1283" s="159">
        <f t="shared" ref="L1283:M1346" si="105">J1283/$I1283</f>
        <v>0</v>
      </c>
      <c r="M1283" s="159">
        <f t="shared" si="105"/>
        <v>0.5</v>
      </c>
    </row>
    <row r="1284" spans="2:13">
      <c r="B1284" t="s">
        <v>175</v>
      </c>
      <c r="C1284">
        <f t="shared" si="102"/>
        <v>151</v>
      </c>
      <c r="D1284" t="str">
        <f t="shared" si="103"/>
        <v>TOULOUSE151</v>
      </c>
      <c r="E1284" t="s">
        <v>176</v>
      </c>
      <c r="F1284" t="str">
        <f t="shared" si="104"/>
        <v>TOULOUSE151</v>
      </c>
      <c r="G1284" t="s">
        <v>295</v>
      </c>
      <c r="I1284" s="16">
        <v>12.6</v>
      </c>
      <c r="J1284" s="16">
        <v>10.7</v>
      </c>
      <c r="K1284" s="16">
        <v>0</v>
      </c>
      <c r="L1284" s="159">
        <f t="shared" si="105"/>
        <v>0.84920634920634919</v>
      </c>
      <c r="M1284" s="159">
        <f t="shared" si="105"/>
        <v>0</v>
      </c>
    </row>
    <row r="1285" spans="2:13">
      <c r="B1285" t="s">
        <v>175</v>
      </c>
      <c r="C1285">
        <f t="shared" si="102"/>
        <v>151</v>
      </c>
      <c r="D1285" t="str">
        <f t="shared" si="103"/>
        <v>TOULOUSE151</v>
      </c>
      <c r="E1285" t="s">
        <v>176</v>
      </c>
      <c r="F1285" t="str">
        <f t="shared" si="104"/>
        <v>TOULOUSE151</v>
      </c>
      <c r="G1285" t="s">
        <v>401</v>
      </c>
      <c r="I1285" s="16">
        <v>12.6</v>
      </c>
      <c r="J1285" s="16">
        <v>6.33</v>
      </c>
      <c r="K1285" s="16">
        <v>0</v>
      </c>
      <c r="L1285" s="159">
        <f t="shared" si="105"/>
        <v>0.50238095238095237</v>
      </c>
      <c r="M1285" s="159">
        <f t="shared" si="105"/>
        <v>0</v>
      </c>
    </row>
    <row r="1286" spans="2:13">
      <c r="B1286" t="s">
        <v>175</v>
      </c>
      <c r="C1286">
        <f t="shared" si="102"/>
        <v>153</v>
      </c>
      <c r="D1286" t="str">
        <f t="shared" si="103"/>
        <v>TOULOUSE153</v>
      </c>
      <c r="E1286" t="s">
        <v>176</v>
      </c>
      <c r="F1286" t="str">
        <f t="shared" si="104"/>
        <v>TOULOUSE153</v>
      </c>
      <c r="G1286" t="s">
        <v>420</v>
      </c>
      <c r="I1286" s="16">
        <v>11.73</v>
      </c>
      <c r="J1286" s="16">
        <v>11.73</v>
      </c>
      <c r="K1286" s="16">
        <v>5.04</v>
      </c>
      <c r="L1286" s="159">
        <f t="shared" si="105"/>
        <v>1</v>
      </c>
      <c r="M1286" s="159">
        <f t="shared" si="105"/>
        <v>0.42966751918158569</v>
      </c>
    </row>
    <row r="1287" spans="2:13">
      <c r="B1287" t="s">
        <v>175</v>
      </c>
      <c r="C1287">
        <f t="shared" si="102"/>
        <v>154</v>
      </c>
      <c r="D1287" t="str">
        <f t="shared" si="103"/>
        <v>TOULOUSE154</v>
      </c>
      <c r="E1287" t="s">
        <v>176</v>
      </c>
      <c r="F1287" t="str">
        <f t="shared" si="104"/>
        <v>TOULOUSE154</v>
      </c>
      <c r="G1287" t="s">
        <v>444</v>
      </c>
      <c r="I1287" s="16">
        <v>11.53</v>
      </c>
      <c r="J1287" s="16">
        <v>11.53</v>
      </c>
      <c r="K1287" s="16">
        <v>0</v>
      </c>
      <c r="L1287" s="159">
        <f t="shared" si="105"/>
        <v>1</v>
      </c>
      <c r="M1287" s="159">
        <f t="shared" si="105"/>
        <v>0</v>
      </c>
    </row>
    <row r="1288" spans="2:13">
      <c r="B1288" t="s">
        <v>175</v>
      </c>
      <c r="C1288">
        <f t="shared" si="102"/>
        <v>155</v>
      </c>
      <c r="D1288" t="str">
        <f t="shared" si="103"/>
        <v>TOULOUSE155</v>
      </c>
      <c r="E1288" t="s">
        <v>176</v>
      </c>
      <c r="F1288" t="str">
        <f t="shared" si="104"/>
        <v>TOULOUSE155</v>
      </c>
      <c r="G1288" t="s">
        <v>359</v>
      </c>
      <c r="I1288" s="16">
        <v>11.29</v>
      </c>
      <c r="J1288" s="16">
        <v>0</v>
      </c>
      <c r="K1288" s="16">
        <v>0</v>
      </c>
      <c r="L1288" s="159">
        <f t="shared" si="105"/>
        <v>0</v>
      </c>
      <c r="M1288" s="159">
        <f t="shared" si="105"/>
        <v>0</v>
      </c>
    </row>
    <row r="1289" spans="2:13">
      <c r="B1289" t="s">
        <v>175</v>
      </c>
      <c r="C1289">
        <f t="shared" si="102"/>
        <v>156</v>
      </c>
      <c r="D1289" t="str">
        <f t="shared" si="103"/>
        <v>TOULOUSE156</v>
      </c>
      <c r="E1289" t="s">
        <v>176</v>
      </c>
      <c r="F1289" t="str">
        <f t="shared" si="104"/>
        <v>TOULOUSE156</v>
      </c>
      <c r="G1289" t="s">
        <v>414</v>
      </c>
      <c r="I1289" s="16">
        <v>10.72</v>
      </c>
      <c r="J1289" s="16">
        <v>0</v>
      </c>
      <c r="K1289" s="16">
        <v>0</v>
      </c>
      <c r="L1289" s="159">
        <f t="shared" si="105"/>
        <v>0</v>
      </c>
      <c r="M1289" s="159">
        <f t="shared" si="105"/>
        <v>0</v>
      </c>
    </row>
    <row r="1290" spans="2:13">
      <c r="B1290" t="s">
        <v>175</v>
      </c>
      <c r="C1290">
        <f t="shared" si="102"/>
        <v>157</v>
      </c>
      <c r="D1290" t="str">
        <f t="shared" si="103"/>
        <v>TOULOUSE157</v>
      </c>
      <c r="E1290" t="s">
        <v>176</v>
      </c>
      <c r="F1290" t="str">
        <f t="shared" si="104"/>
        <v>TOULOUSE157</v>
      </c>
      <c r="G1290" t="s">
        <v>355</v>
      </c>
      <c r="I1290" s="16">
        <v>10.220000000000001</v>
      </c>
      <c r="J1290" s="16">
        <v>7.17</v>
      </c>
      <c r="K1290" s="16">
        <v>0</v>
      </c>
      <c r="L1290" s="159">
        <f t="shared" si="105"/>
        <v>0.70156555772994122</v>
      </c>
      <c r="M1290" s="159">
        <f t="shared" si="105"/>
        <v>0</v>
      </c>
    </row>
    <row r="1291" spans="2:13">
      <c r="B1291" t="s">
        <v>175</v>
      </c>
      <c r="C1291">
        <f t="shared" si="102"/>
        <v>158</v>
      </c>
      <c r="D1291" t="str">
        <f t="shared" si="103"/>
        <v>TOULOUSE158</v>
      </c>
      <c r="E1291" t="s">
        <v>176</v>
      </c>
      <c r="F1291" t="str">
        <f t="shared" si="104"/>
        <v>TOULOUSE158</v>
      </c>
      <c r="G1291" t="s">
        <v>375</v>
      </c>
      <c r="I1291" s="16">
        <v>9.4</v>
      </c>
      <c r="J1291" s="16">
        <v>2.81</v>
      </c>
      <c r="K1291" s="16">
        <v>0</v>
      </c>
      <c r="L1291" s="159">
        <f t="shared" si="105"/>
        <v>0.29893617021276597</v>
      </c>
      <c r="M1291" s="159">
        <f t="shared" si="105"/>
        <v>0</v>
      </c>
    </row>
    <row r="1292" spans="2:13">
      <c r="B1292" t="s">
        <v>175</v>
      </c>
      <c r="C1292">
        <f t="shared" si="102"/>
        <v>159</v>
      </c>
      <c r="D1292" t="str">
        <f t="shared" si="103"/>
        <v>TOULOUSE159</v>
      </c>
      <c r="E1292" t="s">
        <v>176</v>
      </c>
      <c r="F1292" t="str">
        <f t="shared" si="104"/>
        <v>TOULOUSE159</v>
      </c>
      <c r="G1292" t="s">
        <v>288</v>
      </c>
      <c r="I1292" s="16">
        <v>9.2200000000000006</v>
      </c>
      <c r="J1292" s="16">
        <v>9.2200000000000006</v>
      </c>
      <c r="K1292" s="16">
        <v>0</v>
      </c>
      <c r="L1292" s="159">
        <f t="shared" si="105"/>
        <v>1</v>
      </c>
      <c r="M1292" s="159">
        <f t="shared" si="105"/>
        <v>0</v>
      </c>
    </row>
    <row r="1293" spans="2:13">
      <c r="B1293" t="s">
        <v>175</v>
      </c>
      <c r="C1293">
        <f t="shared" si="102"/>
        <v>160</v>
      </c>
      <c r="D1293" t="str">
        <f t="shared" si="103"/>
        <v>TOULOUSE160</v>
      </c>
      <c r="E1293" t="s">
        <v>176</v>
      </c>
      <c r="F1293" t="str">
        <f t="shared" si="104"/>
        <v>TOULOUSE160</v>
      </c>
      <c r="G1293" t="s">
        <v>314</v>
      </c>
      <c r="I1293" s="16">
        <v>8.24</v>
      </c>
      <c r="J1293" s="16">
        <v>2.06</v>
      </c>
      <c r="K1293" s="16">
        <v>0</v>
      </c>
      <c r="L1293" s="159">
        <f t="shared" si="105"/>
        <v>0.25</v>
      </c>
      <c r="M1293" s="159">
        <f t="shared" si="105"/>
        <v>0</v>
      </c>
    </row>
    <row r="1294" spans="2:13">
      <c r="B1294" t="s">
        <v>175</v>
      </c>
      <c r="C1294">
        <f t="shared" ref="C1294:C1310" si="106">RANK(I1294,$I$1133:$I$1310,0)</f>
        <v>161</v>
      </c>
      <c r="D1294" t="str">
        <f t="shared" si="103"/>
        <v>TOULOUSE161</v>
      </c>
      <c r="E1294" t="s">
        <v>176</v>
      </c>
      <c r="F1294" t="str">
        <f t="shared" si="104"/>
        <v>TOULOUSE161</v>
      </c>
      <c r="G1294" t="s">
        <v>422</v>
      </c>
      <c r="I1294" s="16">
        <v>7.81</v>
      </c>
      <c r="J1294" s="16">
        <v>7.81</v>
      </c>
      <c r="K1294" s="16">
        <v>0</v>
      </c>
      <c r="L1294" s="159">
        <f t="shared" si="105"/>
        <v>1</v>
      </c>
      <c r="M1294" s="159">
        <f t="shared" si="105"/>
        <v>0</v>
      </c>
    </row>
    <row r="1295" spans="2:13">
      <c r="B1295" t="s">
        <v>175</v>
      </c>
      <c r="C1295">
        <f t="shared" si="106"/>
        <v>162</v>
      </c>
      <c r="D1295" t="str">
        <f t="shared" si="103"/>
        <v>TOULOUSE162</v>
      </c>
      <c r="E1295" t="s">
        <v>176</v>
      </c>
      <c r="F1295" t="str">
        <f t="shared" si="104"/>
        <v>TOULOUSE162</v>
      </c>
      <c r="G1295" t="s">
        <v>367</v>
      </c>
      <c r="I1295" s="16">
        <v>7.43</v>
      </c>
      <c r="J1295" s="16">
        <v>7.43</v>
      </c>
      <c r="K1295" s="16">
        <v>0</v>
      </c>
      <c r="L1295" s="159">
        <f t="shared" si="105"/>
        <v>1</v>
      </c>
      <c r="M1295" s="159">
        <f t="shared" si="105"/>
        <v>0</v>
      </c>
    </row>
    <row r="1296" spans="2:13">
      <c r="B1296" t="s">
        <v>175</v>
      </c>
      <c r="C1296">
        <f t="shared" si="106"/>
        <v>163</v>
      </c>
      <c r="D1296" t="str">
        <f t="shared" si="103"/>
        <v>TOULOUSE163</v>
      </c>
      <c r="E1296" t="s">
        <v>176</v>
      </c>
      <c r="F1296" t="str">
        <f t="shared" si="104"/>
        <v>TOULOUSE163</v>
      </c>
      <c r="G1296" t="s">
        <v>370</v>
      </c>
      <c r="I1296" s="16">
        <v>7.34</v>
      </c>
      <c r="J1296" s="16">
        <v>0</v>
      </c>
      <c r="K1296" s="16">
        <v>0</v>
      </c>
      <c r="L1296" s="159">
        <f t="shared" si="105"/>
        <v>0</v>
      </c>
      <c r="M1296" s="159">
        <f t="shared" si="105"/>
        <v>0</v>
      </c>
    </row>
    <row r="1297" spans="2:13">
      <c r="B1297" t="s">
        <v>175</v>
      </c>
      <c r="C1297">
        <f t="shared" si="106"/>
        <v>164</v>
      </c>
      <c r="D1297" t="str">
        <f t="shared" si="103"/>
        <v>TOULOUSE164</v>
      </c>
      <c r="E1297" t="s">
        <v>176</v>
      </c>
      <c r="F1297" t="str">
        <f t="shared" si="104"/>
        <v>TOULOUSE164</v>
      </c>
      <c r="G1297" t="s">
        <v>449</v>
      </c>
      <c r="I1297" s="16">
        <v>7.33</v>
      </c>
      <c r="J1297" s="16">
        <v>4.71</v>
      </c>
      <c r="K1297" s="16">
        <v>0</v>
      </c>
      <c r="L1297" s="159">
        <f t="shared" si="105"/>
        <v>0.64256480218281031</v>
      </c>
      <c r="M1297" s="159">
        <f t="shared" si="105"/>
        <v>0</v>
      </c>
    </row>
    <row r="1298" spans="2:13">
      <c r="B1298" t="s">
        <v>175</v>
      </c>
      <c r="C1298">
        <f t="shared" si="106"/>
        <v>165</v>
      </c>
      <c r="D1298" t="str">
        <f t="shared" si="103"/>
        <v>TOULOUSE165</v>
      </c>
      <c r="E1298" t="s">
        <v>176</v>
      </c>
      <c r="F1298" t="str">
        <f t="shared" si="104"/>
        <v>TOULOUSE165</v>
      </c>
      <c r="G1298" t="s">
        <v>323</v>
      </c>
      <c r="I1298" s="16">
        <v>7.2</v>
      </c>
      <c r="J1298" s="16">
        <v>4.08</v>
      </c>
      <c r="K1298" s="16">
        <v>0</v>
      </c>
      <c r="L1298" s="159">
        <f t="shared" si="105"/>
        <v>0.56666666666666665</v>
      </c>
      <c r="M1298" s="159">
        <f t="shared" si="105"/>
        <v>0</v>
      </c>
    </row>
    <row r="1299" spans="2:13">
      <c r="B1299" t="s">
        <v>175</v>
      </c>
      <c r="C1299">
        <f t="shared" si="106"/>
        <v>166</v>
      </c>
      <c r="D1299" t="str">
        <f t="shared" si="103"/>
        <v>TOULOUSE166</v>
      </c>
      <c r="E1299" t="s">
        <v>176</v>
      </c>
      <c r="F1299" t="str">
        <f t="shared" si="104"/>
        <v>TOULOUSE166</v>
      </c>
      <c r="G1299" t="s">
        <v>292</v>
      </c>
      <c r="I1299" s="16">
        <v>6.86</v>
      </c>
      <c r="J1299" s="16">
        <v>6.86</v>
      </c>
      <c r="K1299" s="16">
        <v>0</v>
      </c>
      <c r="L1299" s="159">
        <f t="shared" si="105"/>
        <v>1</v>
      </c>
      <c r="M1299" s="159">
        <f t="shared" si="105"/>
        <v>0</v>
      </c>
    </row>
    <row r="1300" spans="2:13">
      <c r="B1300" t="s">
        <v>175</v>
      </c>
      <c r="C1300">
        <f t="shared" si="106"/>
        <v>167</v>
      </c>
      <c r="D1300" t="str">
        <f t="shared" si="103"/>
        <v>TOULOUSE167</v>
      </c>
      <c r="E1300" t="s">
        <v>176</v>
      </c>
      <c r="F1300" t="str">
        <f t="shared" si="104"/>
        <v>TOULOUSE167</v>
      </c>
      <c r="G1300" t="s">
        <v>306</v>
      </c>
      <c r="H1300" t="s">
        <v>307</v>
      </c>
      <c r="I1300" s="16">
        <v>6.62</v>
      </c>
      <c r="J1300" s="16">
        <v>6.62</v>
      </c>
      <c r="K1300" s="16">
        <v>0</v>
      </c>
      <c r="L1300" s="159">
        <f t="shared" si="105"/>
        <v>1</v>
      </c>
      <c r="M1300" s="159">
        <f t="shared" si="105"/>
        <v>0</v>
      </c>
    </row>
    <row r="1301" spans="2:13">
      <c r="B1301" t="s">
        <v>175</v>
      </c>
      <c r="C1301">
        <f t="shared" si="106"/>
        <v>168</v>
      </c>
      <c r="D1301" t="str">
        <f t="shared" si="103"/>
        <v>TOULOUSE168</v>
      </c>
      <c r="E1301" t="s">
        <v>176</v>
      </c>
      <c r="F1301" t="str">
        <f t="shared" si="104"/>
        <v>TOULOUSE168</v>
      </c>
      <c r="G1301" t="s">
        <v>450</v>
      </c>
      <c r="I1301" s="16">
        <v>5.83</v>
      </c>
      <c r="J1301" s="16">
        <v>5.83</v>
      </c>
      <c r="K1301" s="16">
        <v>0</v>
      </c>
      <c r="L1301" s="159">
        <f t="shared" si="105"/>
        <v>1</v>
      </c>
      <c r="M1301" s="159">
        <f t="shared" si="105"/>
        <v>0</v>
      </c>
    </row>
    <row r="1302" spans="2:13">
      <c r="B1302" t="s">
        <v>175</v>
      </c>
      <c r="C1302">
        <f t="shared" si="106"/>
        <v>169</v>
      </c>
      <c r="D1302" t="str">
        <f t="shared" si="103"/>
        <v>TOULOUSE169</v>
      </c>
      <c r="E1302" t="s">
        <v>176</v>
      </c>
      <c r="F1302" t="str">
        <f t="shared" si="104"/>
        <v>TOULOUSE169</v>
      </c>
      <c r="G1302" t="s">
        <v>352</v>
      </c>
      <c r="I1302" s="16">
        <v>5.71</v>
      </c>
      <c r="J1302" s="16">
        <v>0</v>
      </c>
      <c r="K1302" s="16">
        <v>5.71</v>
      </c>
      <c r="L1302" s="159">
        <f t="shared" si="105"/>
        <v>0</v>
      </c>
      <c r="M1302" s="159">
        <f t="shared" si="105"/>
        <v>1</v>
      </c>
    </row>
    <row r="1303" spans="2:13">
      <c r="B1303" t="s">
        <v>175</v>
      </c>
      <c r="C1303">
        <f t="shared" si="106"/>
        <v>170</v>
      </c>
      <c r="D1303" t="str">
        <f t="shared" si="103"/>
        <v>TOULOUSE170</v>
      </c>
      <c r="E1303" t="s">
        <v>176</v>
      </c>
      <c r="F1303" t="str">
        <f t="shared" si="104"/>
        <v>TOULOUSE170</v>
      </c>
      <c r="G1303" t="s">
        <v>425</v>
      </c>
      <c r="I1303" s="16">
        <v>5.65</v>
      </c>
      <c r="J1303" s="16">
        <v>0</v>
      </c>
      <c r="K1303" s="16">
        <v>0</v>
      </c>
      <c r="L1303" s="159">
        <f t="shared" si="105"/>
        <v>0</v>
      </c>
      <c r="M1303" s="159">
        <f t="shared" si="105"/>
        <v>0</v>
      </c>
    </row>
    <row r="1304" spans="2:13">
      <c r="B1304" t="s">
        <v>175</v>
      </c>
      <c r="C1304">
        <f t="shared" si="106"/>
        <v>171</v>
      </c>
      <c r="D1304" t="str">
        <f t="shared" si="103"/>
        <v>TOULOUSE171</v>
      </c>
      <c r="E1304" t="s">
        <v>176</v>
      </c>
      <c r="F1304" t="str">
        <f t="shared" si="104"/>
        <v>TOULOUSE171</v>
      </c>
      <c r="G1304" t="s">
        <v>385</v>
      </c>
      <c r="I1304" s="16">
        <v>4.6100000000000003</v>
      </c>
      <c r="J1304" s="16">
        <v>4.6100000000000003</v>
      </c>
      <c r="K1304" s="16">
        <v>0</v>
      </c>
      <c r="L1304" s="159">
        <f t="shared" si="105"/>
        <v>1</v>
      </c>
      <c r="M1304" s="159">
        <f t="shared" si="105"/>
        <v>0</v>
      </c>
    </row>
    <row r="1305" spans="2:13">
      <c r="B1305" t="s">
        <v>175</v>
      </c>
      <c r="C1305">
        <f t="shared" si="106"/>
        <v>172</v>
      </c>
      <c r="D1305" t="str">
        <f t="shared" si="103"/>
        <v>TOULOUSE172</v>
      </c>
      <c r="E1305" t="s">
        <v>176</v>
      </c>
      <c r="F1305" t="str">
        <f t="shared" si="104"/>
        <v>TOULOUSE172</v>
      </c>
      <c r="G1305" t="s">
        <v>384</v>
      </c>
      <c r="I1305" s="16">
        <v>3.44</v>
      </c>
      <c r="J1305" s="16">
        <v>3.44</v>
      </c>
      <c r="K1305" s="16">
        <v>0</v>
      </c>
      <c r="L1305" s="159">
        <f t="shared" si="105"/>
        <v>1</v>
      </c>
      <c r="M1305" s="159">
        <f t="shared" si="105"/>
        <v>0</v>
      </c>
    </row>
    <row r="1306" spans="2:13">
      <c r="B1306" t="s">
        <v>175</v>
      </c>
      <c r="C1306">
        <f t="shared" si="106"/>
        <v>173</v>
      </c>
      <c r="D1306" t="str">
        <f t="shared" si="103"/>
        <v>TOULOUSE173</v>
      </c>
      <c r="E1306" t="s">
        <v>176</v>
      </c>
      <c r="F1306" t="str">
        <f t="shared" si="104"/>
        <v>TOULOUSE173</v>
      </c>
      <c r="G1306" t="s">
        <v>442</v>
      </c>
      <c r="I1306" s="16">
        <v>2.59</v>
      </c>
      <c r="J1306" s="16">
        <v>2.59</v>
      </c>
      <c r="K1306" s="16">
        <v>0</v>
      </c>
      <c r="L1306" s="159">
        <f t="shared" si="105"/>
        <v>1</v>
      </c>
      <c r="M1306" s="159">
        <f t="shared" si="105"/>
        <v>0</v>
      </c>
    </row>
    <row r="1307" spans="2:13">
      <c r="B1307" t="s">
        <v>175</v>
      </c>
      <c r="C1307">
        <f t="shared" si="106"/>
        <v>174</v>
      </c>
      <c r="D1307" t="str">
        <f t="shared" si="103"/>
        <v>TOULOUSE174</v>
      </c>
      <c r="E1307" t="s">
        <v>176</v>
      </c>
      <c r="F1307" t="str">
        <f t="shared" si="104"/>
        <v>TOULOUSE174</v>
      </c>
      <c r="G1307" t="s">
        <v>400</v>
      </c>
      <c r="I1307" s="16">
        <v>2.34</v>
      </c>
      <c r="J1307" s="16">
        <v>2.34</v>
      </c>
      <c r="K1307" s="16">
        <v>0</v>
      </c>
      <c r="L1307" s="159">
        <f t="shared" si="105"/>
        <v>1</v>
      </c>
      <c r="M1307" s="159">
        <f t="shared" si="105"/>
        <v>0</v>
      </c>
    </row>
    <row r="1308" spans="2:13">
      <c r="B1308" t="s">
        <v>175</v>
      </c>
      <c r="C1308">
        <f t="shared" si="106"/>
        <v>175</v>
      </c>
      <c r="D1308" t="str">
        <f t="shared" si="103"/>
        <v>TOULOUSE175</v>
      </c>
      <c r="E1308" t="s">
        <v>176</v>
      </c>
      <c r="F1308" t="str">
        <f t="shared" si="104"/>
        <v>TOULOUSE175</v>
      </c>
      <c r="G1308" t="s">
        <v>451</v>
      </c>
      <c r="I1308" s="16">
        <v>2.06</v>
      </c>
      <c r="J1308" s="16">
        <v>2.06</v>
      </c>
      <c r="K1308" s="16">
        <v>0</v>
      </c>
      <c r="L1308" s="159">
        <f t="shared" si="105"/>
        <v>1</v>
      </c>
      <c r="M1308" s="159">
        <f t="shared" si="105"/>
        <v>0</v>
      </c>
    </row>
    <row r="1309" spans="2:13">
      <c r="B1309" t="s">
        <v>175</v>
      </c>
      <c r="C1309">
        <f t="shared" si="106"/>
        <v>176</v>
      </c>
      <c r="D1309" t="str">
        <f t="shared" si="103"/>
        <v>TOULOUSE176</v>
      </c>
      <c r="E1309" t="s">
        <v>176</v>
      </c>
      <c r="F1309" t="str">
        <f t="shared" si="104"/>
        <v>TOULOUSE176</v>
      </c>
      <c r="G1309" t="s">
        <v>423</v>
      </c>
      <c r="I1309" s="16">
        <v>1.81</v>
      </c>
      <c r="J1309" s="16">
        <v>0</v>
      </c>
      <c r="K1309" s="16">
        <v>0</v>
      </c>
      <c r="L1309" s="159">
        <f t="shared" si="105"/>
        <v>0</v>
      </c>
      <c r="M1309" s="159">
        <f t="shared" si="105"/>
        <v>0</v>
      </c>
    </row>
    <row r="1310" spans="2:13">
      <c r="B1310" t="s">
        <v>175</v>
      </c>
      <c r="C1310">
        <f t="shared" si="106"/>
        <v>178</v>
      </c>
      <c r="D1310" t="str">
        <f t="shared" si="103"/>
        <v>TOULOUSE178</v>
      </c>
      <c r="E1310" t="s">
        <v>176</v>
      </c>
      <c r="F1310" t="str">
        <f t="shared" si="104"/>
        <v>TOULOUSE178</v>
      </c>
      <c r="G1310" t="s">
        <v>436</v>
      </c>
      <c r="I1310" s="16">
        <v>1</v>
      </c>
      <c r="J1310" s="16">
        <v>1</v>
      </c>
      <c r="K1310" s="16">
        <v>0</v>
      </c>
      <c r="L1310" s="159">
        <f t="shared" si="105"/>
        <v>1</v>
      </c>
      <c r="M1310" s="159">
        <f t="shared" si="105"/>
        <v>0</v>
      </c>
    </row>
    <row r="1311" spans="2:13">
      <c r="B1311" t="s">
        <v>179</v>
      </c>
      <c r="C1311">
        <f t="shared" ref="C1311:C1342" si="107">RANK(I1311,$I$1310:$I$1482,0)</f>
        <v>1</v>
      </c>
      <c r="D1311" t="str">
        <f t="shared" si="103"/>
        <v>GRENOBLE1</v>
      </c>
      <c r="E1311" t="s">
        <v>180</v>
      </c>
      <c r="F1311" t="str">
        <f t="shared" si="104"/>
        <v>GRENOBLE1</v>
      </c>
      <c r="G1311" t="s">
        <v>225</v>
      </c>
      <c r="H1311" t="s">
        <v>1779</v>
      </c>
      <c r="I1311" s="16">
        <v>1817.16</v>
      </c>
      <c r="J1311" s="16">
        <v>341.66</v>
      </c>
      <c r="K1311" s="16">
        <v>873.65</v>
      </c>
      <c r="L1311" s="159">
        <f t="shared" si="105"/>
        <v>0.1880186664905677</v>
      </c>
      <c r="M1311" s="159">
        <f t="shared" si="105"/>
        <v>0.48077769706575091</v>
      </c>
    </row>
    <row r="1312" spans="2:13">
      <c r="B1312" t="s">
        <v>179</v>
      </c>
      <c r="C1312">
        <f t="shared" si="107"/>
        <v>2</v>
      </c>
      <c r="D1312" t="str">
        <f t="shared" si="103"/>
        <v>GRENOBLE2</v>
      </c>
      <c r="E1312" t="s">
        <v>180</v>
      </c>
      <c r="F1312" t="str">
        <f t="shared" si="104"/>
        <v>GRENOBLE2</v>
      </c>
      <c r="G1312" t="s">
        <v>211</v>
      </c>
      <c r="H1312" t="s">
        <v>908</v>
      </c>
      <c r="I1312" s="16">
        <v>1268.1400000000001</v>
      </c>
      <c r="J1312" s="16">
        <v>661.35</v>
      </c>
      <c r="K1312" s="16">
        <v>907.95</v>
      </c>
      <c r="L1312" s="159">
        <f t="shared" si="105"/>
        <v>0.52151182046146327</v>
      </c>
      <c r="M1312" s="159">
        <f t="shared" si="105"/>
        <v>0.71596984560064347</v>
      </c>
    </row>
    <row r="1313" spans="2:13">
      <c r="B1313" t="s">
        <v>179</v>
      </c>
      <c r="C1313">
        <f t="shared" si="107"/>
        <v>3</v>
      </c>
      <c r="D1313" t="str">
        <f t="shared" si="103"/>
        <v>GRENOBLE3</v>
      </c>
      <c r="E1313" t="s">
        <v>180</v>
      </c>
      <c r="F1313" t="str">
        <f t="shared" si="104"/>
        <v>GRENOBLE3</v>
      </c>
      <c r="G1313" t="s">
        <v>208</v>
      </c>
      <c r="H1313" t="s">
        <v>907</v>
      </c>
      <c r="I1313" s="16">
        <v>794.81</v>
      </c>
      <c r="J1313" s="16">
        <v>159.05000000000001</v>
      </c>
      <c r="K1313" s="16">
        <v>156.16</v>
      </c>
      <c r="L1313" s="159">
        <f t="shared" si="105"/>
        <v>0.20011071828487315</v>
      </c>
      <c r="M1313" s="159">
        <f t="shared" si="105"/>
        <v>0.19647462915665381</v>
      </c>
    </row>
    <row r="1314" spans="2:13">
      <c r="B1314" t="s">
        <v>179</v>
      </c>
      <c r="C1314">
        <f t="shared" si="107"/>
        <v>4</v>
      </c>
      <c r="D1314" t="str">
        <f t="shared" si="103"/>
        <v>GRENOBLE4</v>
      </c>
      <c r="E1314" t="s">
        <v>180</v>
      </c>
      <c r="F1314" t="str">
        <f t="shared" si="104"/>
        <v>GRENOBLE4</v>
      </c>
      <c r="G1314" t="s">
        <v>207</v>
      </c>
      <c r="H1314" t="s">
        <v>906</v>
      </c>
      <c r="I1314" s="16">
        <v>688.63</v>
      </c>
      <c r="J1314" s="16">
        <v>348.03</v>
      </c>
      <c r="K1314" s="16">
        <v>569.35</v>
      </c>
      <c r="L1314" s="159">
        <f t="shared" si="105"/>
        <v>0.50539476932460103</v>
      </c>
      <c r="M1314" s="159">
        <f t="shared" si="105"/>
        <v>0.82678651815924376</v>
      </c>
    </row>
    <row r="1315" spans="2:13">
      <c r="B1315" t="s">
        <v>179</v>
      </c>
      <c r="C1315">
        <f t="shared" si="107"/>
        <v>5</v>
      </c>
      <c r="D1315" t="str">
        <f t="shared" si="103"/>
        <v>GRENOBLE5</v>
      </c>
      <c r="E1315" t="s">
        <v>180</v>
      </c>
      <c r="F1315" t="str">
        <f t="shared" si="104"/>
        <v>GRENOBLE5</v>
      </c>
      <c r="G1315" t="s">
        <v>214</v>
      </c>
      <c r="H1315" t="s">
        <v>215</v>
      </c>
      <c r="I1315" s="16">
        <v>584.23</v>
      </c>
      <c r="J1315" s="16">
        <v>316.38</v>
      </c>
      <c r="K1315" s="16">
        <v>408.63</v>
      </c>
      <c r="L1315" s="159">
        <f t="shared" si="105"/>
        <v>0.54153330024134327</v>
      </c>
      <c r="M1315" s="159">
        <f t="shared" si="105"/>
        <v>0.69943344230867976</v>
      </c>
    </row>
    <row r="1316" spans="2:13">
      <c r="B1316" t="s">
        <v>179</v>
      </c>
      <c r="C1316">
        <f t="shared" si="107"/>
        <v>6</v>
      </c>
      <c r="D1316" t="str">
        <f t="shared" si="103"/>
        <v>GRENOBLE6</v>
      </c>
      <c r="E1316" t="s">
        <v>180</v>
      </c>
      <c r="F1316" t="str">
        <f t="shared" si="104"/>
        <v>GRENOBLE6</v>
      </c>
      <c r="G1316" t="s">
        <v>216</v>
      </c>
      <c r="H1316" t="s">
        <v>910</v>
      </c>
      <c r="I1316" s="16">
        <v>458.98</v>
      </c>
      <c r="J1316" s="16">
        <v>264.61</v>
      </c>
      <c r="K1316" s="16">
        <v>147.53</v>
      </c>
      <c r="L1316" s="159">
        <f t="shared" si="105"/>
        <v>0.57651749531570007</v>
      </c>
      <c r="M1316" s="159">
        <f t="shared" si="105"/>
        <v>0.32143012767440848</v>
      </c>
    </row>
    <row r="1317" spans="2:13">
      <c r="B1317" t="s">
        <v>179</v>
      </c>
      <c r="C1317">
        <f t="shared" si="107"/>
        <v>7</v>
      </c>
      <c r="D1317" t="str">
        <f t="shared" si="103"/>
        <v>GRENOBLE7</v>
      </c>
      <c r="E1317" t="s">
        <v>180</v>
      </c>
      <c r="F1317" t="str">
        <f t="shared" si="104"/>
        <v>GRENOBLE7</v>
      </c>
      <c r="G1317" t="s">
        <v>209</v>
      </c>
      <c r="H1317" t="s">
        <v>210</v>
      </c>
      <c r="I1317" s="16">
        <v>422.65</v>
      </c>
      <c r="J1317" s="16">
        <v>216.33</v>
      </c>
      <c r="K1317" s="16">
        <v>349.74</v>
      </c>
      <c r="L1317" s="159">
        <f t="shared" si="105"/>
        <v>0.511841949603691</v>
      </c>
      <c r="M1317" s="159">
        <f t="shared" si="105"/>
        <v>0.8274931976812967</v>
      </c>
    </row>
    <row r="1318" spans="2:13">
      <c r="B1318" t="s">
        <v>179</v>
      </c>
      <c r="C1318">
        <f t="shared" si="107"/>
        <v>8</v>
      </c>
      <c r="D1318" t="str">
        <f t="shared" si="103"/>
        <v>GRENOBLE8</v>
      </c>
      <c r="E1318" t="s">
        <v>180</v>
      </c>
      <c r="F1318" t="str">
        <f t="shared" si="104"/>
        <v>GRENOBLE8</v>
      </c>
      <c r="G1318" t="s">
        <v>332</v>
      </c>
      <c r="H1318" t="s">
        <v>940</v>
      </c>
      <c r="I1318" s="16">
        <v>408.21</v>
      </c>
      <c r="J1318" s="16">
        <v>0</v>
      </c>
      <c r="K1318" s="16">
        <v>138.49</v>
      </c>
      <c r="L1318" s="159">
        <f t="shared" si="105"/>
        <v>0</v>
      </c>
      <c r="M1318" s="159">
        <f t="shared" si="105"/>
        <v>0.33926165454055512</v>
      </c>
    </row>
    <row r="1319" spans="2:13">
      <c r="B1319" t="s">
        <v>179</v>
      </c>
      <c r="C1319">
        <f t="shared" si="107"/>
        <v>9</v>
      </c>
      <c r="D1319" t="str">
        <f t="shared" si="103"/>
        <v>GRENOBLE9</v>
      </c>
      <c r="E1319" t="s">
        <v>180</v>
      </c>
      <c r="F1319" t="str">
        <f t="shared" si="104"/>
        <v>GRENOBLE9</v>
      </c>
      <c r="G1319" t="s">
        <v>354</v>
      </c>
      <c r="H1319" t="s">
        <v>942</v>
      </c>
      <c r="I1319" s="16">
        <v>381.5</v>
      </c>
      <c r="J1319" s="16">
        <v>234.64</v>
      </c>
      <c r="K1319" s="16">
        <v>0</v>
      </c>
      <c r="L1319" s="159">
        <f t="shared" si="105"/>
        <v>0.61504587155963297</v>
      </c>
      <c r="M1319" s="159">
        <f t="shared" si="105"/>
        <v>0</v>
      </c>
    </row>
    <row r="1320" spans="2:13">
      <c r="B1320" t="s">
        <v>179</v>
      </c>
      <c r="C1320">
        <f t="shared" si="107"/>
        <v>10</v>
      </c>
      <c r="D1320" t="str">
        <f t="shared" si="103"/>
        <v>GRENOBLE10</v>
      </c>
      <c r="E1320" t="s">
        <v>180</v>
      </c>
      <c r="F1320" t="str">
        <f t="shared" si="104"/>
        <v>GRENOBLE10</v>
      </c>
      <c r="G1320" t="s">
        <v>224</v>
      </c>
      <c r="H1320" t="s">
        <v>917</v>
      </c>
      <c r="I1320" s="16">
        <v>380.1</v>
      </c>
      <c r="J1320" s="16">
        <v>283.38</v>
      </c>
      <c r="K1320" s="16">
        <v>19.64</v>
      </c>
      <c r="L1320" s="159">
        <f t="shared" si="105"/>
        <v>0.74554064719810575</v>
      </c>
      <c r="M1320" s="159">
        <f t="shared" si="105"/>
        <v>5.1670612996579844E-2</v>
      </c>
    </row>
    <row r="1321" spans="2:13">
      <c r="B1321" t="s">
        <v>179</v>
      </c>
      <c r="C1321">
        <f t="shared" si="107"/>
        <v>11</v>
      </c>
      <c r="D1321" t="str">
        <f t="shared" si="103"/>
        <v>GRENOBLE11</v>
      </c>
      <c r="E1321" t="s">
        <v>180</v>
      </c>
      <c r="F1321" t="str">
        <f t="shared" si="104"/>
        <v>GRENOBLE11</v>
      </c>
      <c r="G1321" t="s">
        <v>213</v>
      </c>
      <c r="H1321" t="s">
        <v>919</v>
      </c>
      <c r="I1321" s="16">
        <v>379.16</v>
      </c>
      <c r="J1321" s="16">
        <v>103.72</v>
      </c>
      <c r="K1321" s="16">
        <v>266.33999999999997</v>
      </c>
      <c r="L1321" s="159">
        <f t="shared" si="105"/>
        <v>0.27355206245384533</v>
      </c>
      <c r="M1321" s="159">
        <f t="shared" si="105"/>
        <v>0.70244751556071305</v>
      </c>
    </row>
    <row r="1322" spans="2:13">
      <c r="B1322" t="s">
        <v>179</v>
      </c>
      <c r="C1322">
        <f t="shared" si="107"/>
        <v>12</v>
      </c>
      <c r="D1322" t="str">
        <f t="shared" si="103"/>
        <v>GRENOBLE12</v>
      </c>
      <c r="E1322" t="s">
        <v>180</v>
      </c>
      <c r="F1322" t="str">
        <f t="shared" si="104"/>
        <v>GRENOBLE12</v>
      </c>
      <c r="G1322" t="s">
        <v>232</v>
      </c>
      <c r="H1322" t="s">
        <v>922</v>
      </c>
      <c r="I1322" s="16">
        <v>357.94</v>
      </c>
      <c r="J1322" s="16">
        <v>192.88</v>
      </c>
      <c r="K1322" s="16">
        <v>116.64</v>
      </c>
      <c r="L1322" s="159">
        <f t="shared" si="105"/>
        <v>0.53886126166396597</v>
      </c>
      <c r="M1322" s="159">
        <f t="shared" si="105"/>
        <v>0.32586467005643405</v>
      </c>
    </row>
    <row r="1323" spans="2:13">
      <c r="B1323" t="s">
        <v>179</v>
      </c>
      <c r="C1323">
        <f t="shared" si="107"/>
        <v>13</v>
      </c>
      <c r="D1323" t="str">
        <f t="shared" si="103"/>
        <v>GRENOBLE13</v>
      </c>
      <c r="E1323" t="s">
        <v>180</v>
      </c>
      <c r="F1323" t="str">
        <f t="shared" si="104"/>
        <v>GRENOBLE13</v>
      </c>
      <c r="G1323" t="s">
        <v>218</v>
      </c>
      <c r="H1323" t="s">
        <v>911</v>
      </c>
      <c r="I1323" s="16">
        <v>346.47</v>
      </c>
      <c r="J1323" s="16">
        <v>27.82</v>
      </c>
      <c r="K1323" s="16">
        <v>125.7</v>
      </c>
      <c r="L1323" s="159">
        <f t="shared" si="105"/>
        <v>8.0295552284469066E-2</v>
      </c>
      <c r="M1323" s="159">
        <f t="shared" si="105"/>
        <v>0.36280197419690013</v>
      </c>
    </row>
    <row r="1324" spans="2:13">
      <c r="B1324" t="s">
        <v>179</v>
      </c>
      <c r="C1324">
        <f t="shared" si="107"/>
        <v>14</v>
      </c>
      <c r="D1324" t="str">
        <f t="shared" si="103"/>
        <v>GRENOBLE14</v>
      </c>
      <c r="E1324" t="s">
        <v>180</v>
      </c>
      <c r="F1324" t="str">
        <f t="shared" si="104"/>
        <v>GRENOBLE14</v>
      </c>
      <c r="G1324" t="s">
        <v>220</v>
      </c>
      <c r="H1324" t="s">
        <v>913</v>
      </c>
      <c r="I1324" s="16">
        <v>308.66000000000003</v>
      </c>
      <c r="J1324" s="16">
        <v>106.27</v>
      </c>
      <c r="K1324" s="16">
        <v>98.61</v>
      </c>
      <c r="L1324" s="159">
        <f t="shared" si="105"/>
        <v>0.34429469318991768</v>
      </c>
      <c r="M1324" s="159">
        <f t="shared" si="105"/>
        <v>0.31947774249983796</v>
      </c>
    </row>
    <row r="1325" spans="2:13">
      <c r="B1325" t="s">
        <v>179</v>
      </c>
      <c r="C1325">
        <f t="shared" si="107"/>
        <v>15</v>
      </c>
      <c r="D1325" t="str">
        <f t="shared" si="103"/>
        <v>GRENOBLE15</v>
      </c>
      <c r="E1325" t="s">
        <v>180</v>
      </c>
      <c r="F1325" t="str">
        <f t="shared" si="104"/>
        <v>GRENOBLE15</v>
      </c>
      <c r="G1325" t="s">
        <v>303</v>
      </c>
      <c r="H1325" t="s">
        <v>936</v>
      </c>
      <c r="I1325" s="16">
        <v>297.72000000000003</v>
      </c>
      <c r="J1325" s="16">
        <v>129.37</v>
      </c>
      <c r="K1325" s="16">
        <v>0</v>
      </c>
      <c r="L1325" s="159">
        <f t="shared" si="105"/>
        <v>0.4345358054547897</v>
      </c>
      <c r="M1325" s="159">
        <f t="shared" si="105"/>
        <v>0</v>
      </c>
    </row>
    <row r="1326" spans="2:13">
      <c r="B1326" t="s">
        <v>179</v>
      </c>
      <c r="C1326">
        <f t="shared" si="107"/>
        <v>16</v>
      </c>
      <c r="D1326" t="str">
        <f t="shared" si="103"/>
        <v>GRENOBLE16</v>
      </c>
      <c r="E1326" t="s">
        <v>180</v>
      </c>
      <c r="F1326" t="str">
        <f t="shared" si="104"/>
        <v>GRENOBLE16</v>
      </c>
      <c r="G1326" t="s">
        <v>221</v>
      </c>
      <c r="H1326" t="s">
        <v>914</v>
      </c>
      <c r="I1326" s="16">
        <v>296.27999999999997</v>
      </c>
      <c r="J1326" s="16">
        <v>79.28</v>
      </c>
      <c r="K1326" s="16">
        <v>118.4</v>
      </c>
      <c r="L1326" s="159">
        <f t="shared" si="105"/>
        <v>0.26758471715944382</v>
      </c>
      <c r="M1326" s="159">
        <f t="shared" si="105"/>
        <v>0.39962197920885656</v>
      </c>
    </row>
    <row r="1327" spans="2:13">
      <c r="B1327" t="s">
        <v>179</v>
      </c>
      <c r="C1327">
        <f t="shared" si="107"/>
        <v>17</v>
      </c>
      <c r="D1327" t="str">
        <f t="shared" si="103"/>
        <v>GRENOBLE17</v>
      </c>
      <c r="E1327" t="s">
        <v>180</v>
      </c>
      <c r="F1327" t="str">
        <f t="shared" si="104"/>
        <v>GRENOBLE17</v>
      </c>
      <c r="G1327" t="s">
        <v>212</v>
      </c>
      <c r="H1327" t="s">
        <v>909</v>
      </c>
      <c r="I1327" s="16">
        <v>283.18</v>
      </c>
      <c r="J1327" s="16">
        <v>31.85</v>
      </c>
      <c r="K1327" s="16">
        <v>215.04</v>
      </c>
      <c r="L1327" s="159">
        <f t="shared" si="105"/>
        <v>0.11247263224804012</v>
      </c>
      <c r="M1327" s="159">
        <f t="shared" si="105"/>
        <v>0.7593756621230312</v>
      </c>
    </row>
    <row r="1328" spans="2:13">
      <c r="B1328" t="s">
        <v>179</v>
      </c>
      <c r="C1328">
        <f t="shared" si="107"/>
        <v>18</v>
      </c>
      <c r="D1328" t="str">
        <f t="shared" si="103"/>
        <v>GRENOBLE18</v>
      </c>
      <c r="E1328" t="s">
        <v>180</v>
      </c>
      <c r="F1328" t="str">
        <f t="shared" si="104"/>
        <v>GRENOBLE18</v>
      </c>
      <c r="G1328" t="s">
        <v>219</v>
      </c>
      <c r="H1328" t="s">
        <v>912</v>
      </c>
      <c r="I1328" s="16">
        <v>280.42</v>
      </c>
      <c r="J1328" s="16">
        <v>29.89</v>
      </c>
      <c r="K1328" s="16">
        <v>102.85</v>
      </c>
      <c r="L1328" s="159">
        <f t="shared" si="105"/>
        <v>0.10659011482775836</v>
      </c>
      <c r="M1328" s="159">
        <f t="shared" si="105"/>
        <v>0.36677127166393264</v>
      </c>
    </row>
    <row r="1329" spans="2:13">
      <c r="B1329" t="s">
        <v>179</v>
      </c>
      <c r="C1329">
        <f t="shared" si="107"/>
        <v>19</v>
      </c>
      <c r="D1329" t="str">
        <f t="shared" si="103"/>
        <v>GRENOBLE19</v>
      </c>
      <c r="E1329" t="s">
        <v>180</v>
      </c>
      <c r="F1329" t="str">
        <f t="shared" si="104"/>
        <v>GRENOBLE19</v>
      </c>
      <c r="G1329" t="s">
        <v>234</v>
      </c>
      <c r="H1329" t="s">
        <v>923</v>
      </c>
      <c r="I1329" s="16">
        <v>241.88</v>
      </c>
      <c r="J1329" s="16">
        <v>48.2</v>
      </c>
      <c r="K1329" s="16">
        <v>14.98</v>
      </c>
      <c r="L1329" s="159">
        <f t="shared" si="105"/>
        <v>0.19927236646270879</v>
      </c>
      <c r="M1329" s="159">
        <f t="shared" si="105"/>
        <v>6.1931536298991237E-2</v>
      </c>
    </row>
    <row r="1330" spans="2:13">
      <c r="B1330" t="s">
        <v>179</v>
      </c>
      <c r="C1330">
        <f t="shared" si="107"/>
        <v>20</v>
      </c>
      <c r="D1330" t="str">
        <f t="shared" si="103"/>
        <v>GRENOBLE20</v>
      </c>
      <c r="E1330" t="s">
        <v>180</v>
      </c>
      <c r="F1330" t="str">
        <f t="shared" si="104"/>
        <v>GRENOBLE20</v>
      </c>
      <c r="G1330" t="s">
        <v>230</v>
      </c>
      <c r="H1330" t="s">
        <v>231</v>
      </c>
      <c r="I1330" s="16">
        <v>239.2</v>
      </c>
      <c r="J1330" s="16">
        <v>103.95</v>
      </c>
      <c r="K1330" s="16">
        <v>168.23</v>
      </c>
      <c r="L1330" s="159">
        <f t="shared" si="105"/>
        <v>0.43457357859531776</v>
      </c>
      <c r="M1330" s="159">
        <f t="shared" si="105"/>
        <v>0.70330267558528425</v>
      </c>
    </row>
    <row r="1331" spans="2:13">
      <c r="B1331" t="s">
        <v>179</v>
      </c>
      <c r="C1331">
        <f t="shared" si="107"/>
        <v>21</v>
      </c>
      <c r="D1331" t="str">
        <f t="shared" si="103"/>
        <v>GRENOBLE21</v>
      </c>
      <c r="E1331" t="s">
        <v>180</v>
      </c>
      <c r="F1331" t="str">
        <f t="shared" si="104"/>
        <v>GRENOBLE21</v>
      </c>
      <c r="G1331" t="s">
        <v>226</v>
      </c>
      <c r="H1331" t="s">
        <v>227</v>
      </c>
      <c r="I1331" s="16">
        <v>234.67</v>
      </c>
      <c r="J1331" s="16">
        <v>34.01</v>
      </c>
      <c r="K1331" s="16">
        <v>91.29</v>
      </c>
      <c r="L1331" s="159">
        <f t="shared" si="105"/>
        <v>0.14492691865172369</v>
      </c>
      <c r="M1331" s="159">
        <f t="shared" si="105"/>
        <v>0.38901436059146893</v>
      </c>
    </row>
    <row r="1332" spans="2:13">
      <c r="B1332" t="s">
        <v>179</v>
      </c>
      <c r="C1332">
        <f t="shared" si="107"/>
        <v>22</v>
      </c>
      <c r="D1332" t="str">
        <f t="shared" si="103"/>
        <v>GRENOBLE22</v>
      </c>
      <c r="E1332" t="s">
        <v>180</v>
      </c>
      <c r="F1332" t="str">
        <f t="shared" si="104"/>
        <v>GRENOBLE22</v>
      </c>
      <c r="G1332" t="s">
        <v>247</v>
      </c>
      <c r="H1332" t="s">
        <v>248</v>
      </c>
      <c r="I1332" s="16">
        <v>201.11</v>
      </c>
      <c r="J1332" s="16">
        <v>50.19</v>
      </c>
      <c r="K1332" s="16">
        <v>12.98</v>
      </c>
      <c r="L1332" s="159">
        <f t="shared" si="105"/>
        <v>0.24956491472328574</v>
      </c>
      <c r="M1332" s="159">
        <f t="shared" si="105"/>
        <v>6.4541793048580376E-2</v>
      </c>
    </row>
    <row r="1333" spans="2:13">
      <c r="B1333" t="s">
        <v>179</v>
      </c>
      <c r="C1333">
        <f t="shared" si="107"/>
        <v>23</v>
      </c>
      <c r="D1333" t="str">
        <f t="shared" si="103"/>
        <v>GRENOBLE23</v>
      </c>
      <c r="E1333" t="s">
        <v>180</v>
      </c>
      <c r="F1333" t="str">
        <f t="shared" si="104"/>
        <v>GRENOBLE23</v>
      </c>
      <c r="G1333" t="s">
        <v>222</v>
      </c>
      <c r="H1333" t="s">
        <v>915</v>
      </c>
      <c r="I1333" s="16">
        <v>198.66</v>
      </c>
      <c r="J1333" s="16">
        <v>0</v>
      </c>
      <c r="K1333" s="16">
        <v>76.11</v>
      </c>
      <c r="L1333" s="159">
        <f t="shared" si="105"/>
        <v>0</v>
      </c>
      <c r="M1333" s="159">
        <f t="shared" si="105"/>
        <v>0.38311688311688313</v>
      </c>
    </row>
    <row r="1334" spans="2:13">
      <c r="B1334" t="s">
        <v>179</v>
      </c>
      <c r="C1334">
        <f t="shared" si="107"/>
        <v>24</v>
      </c>
      <c r="D1334" t="str">
        <f t="shared" si="103"/>
        <v>GRENOBLE24</v>
      </c>
      <c r="E1334" t="s">
        <v>180</v>
      </c>
      <c r="F1334" t="str">
        <f t="shared" si="104"/>
        <v>GRENOBLE24</v>
      </c>
      <c r="G1334" t="s">
        <v>289</v>
      </c>
      <c r="H1334" t="s">
        <v>935</v>
      </c>
      <c r="I1334" s="16">
        <v>193</v>
      </c>
      <c r="J1334" s="16">
        <v>106.13</v>
      </c>
      <c r="K1334" s="16">
        <v>60.85</v>
      </c>
      <c r="L1334" s="159">
        <f t="shared" si="105"/>
        <v>0.54989637305699479</v>
      </c>
      <c r="M1334" s="159">
        <f t="shared" si="105"/>
        <v>0.31528497409326428</v>
      </c>
    </row>
    <row r="1335" spans="2:13">
      <c r="B1335" t="s">
        <v>179</v>
      </c>
      <c r="C1335">
        <f t="shared" si="107"/>
        <v>25</v>
      </c>
      <c r="D1335" t="str">
        <f t="shared" si="103"/>
        <v>GRENOBLE25</v>
      </c>
      <c r="E1335" t="s">
        <v>180</v>
      </c>
      <c r="F1335" t="str">
        <f t="shared" si="104"/>
        <v>GRENOBLE25</v>
      </c>
      <c r="G1335" t="s">
        <v>233</v>
      </c>
      <c r="I1335" s="16">
        <v>184.66</v>
      </c>
      <c r="J1335" s="16">
        <v>34.659999999999997</v>
      </c>
      <c r="K1335" s="16">
        <v>22.94</v>
      </c>
      <c r="L1335" s="159">
        <f t="shared" si="105"/>
        <v>0.18769630672587456</v>
      </c>
      <c r="M1335" s="159">
        <f t="shared" si="105"/>
        <v>0.12422831149138959</v>
      </c>
    </row>
    <row r="1336" spans="2:13">
      <c r="B1336" t="s">
        <v>179</v>
      </c>
      <c r="C1336">
        <f t="shared" si="107"/>
        <v>26</v>
      </c>
      <c r="D1336" t="str">
        <f t="shared" si="103"/>
        <v>GRENOBLE26</v>
      </c>
      <c r="E1336" t="s">
        <v>180</v>
      </c>
      <c r="F1336" t="str">
        <f t="shared" si="104"/>
        <v>GRENOBLE26</v>
      </c>
      <c r="G1336" t="s">
        <v>341</v>
      </c>
      <c r="I1336" s="16">
        <v>180.73</v>
      </c>
      <c r="J1336" s="16">
        <v>42.81</v>
      </c>
      <c r="K1336" s="16">
        <v>0</v>
      </c>
      <c r="L1336" s="159">
        <f t="shared" si="105"/>
        <v>0.23687268300780173</v>
      </c>
      <c r="M1336" s="159">
        <f t="shared" si="105"/>
        <v>0</v>
      </c>
    </row>
    <row r="1337" spans="2:13">
      <c r="B1337" t="s">
        <v>179</v>
      </c>
      <c r="C1337">
        <f t="shared" si="107"/>
        <v>27</v>
      </c>
      <c r="D1337" t="str">
        <f t="shared" si="103"/>
        <v>GRENOBLE27</v>
      </c>
      <c r="E1337" t="s">
        <v>180</v>
      </c>
      <c r="F1337" t="str">
        <f t="shared" si="104"/>
        <v>GRENOBLE27</v>
      </c>
      <c r="G1337" t="s">
        <v>249</v>
      </c>
      <c r="I1337" s="16">
        <v>173.62</v>
      </c>
      <c r="J1337" s="16">
        <v>14.16</v>
      </c>
      <c r="K1337" s="16">
        <v>57.7</v>
      </c>
      <c r="L1337" s="159">
        <f t="shared" si="105"/>
        <v>8.1557424259877886E-2</v>
      </c>
      <c r="M1337" s="159">
        <f t="shared" si="105"/>
        <v>0.33233498444879622</v>
      </c>
    </row>
    <row r="1338" spans="2:13">
      <c r="B1338" t="s">
        <v>179</v>
      </c>
      <c r="C1338">
        <f t="shared" si="107"/>
        <v>28</v>
      </c>
      <c r="D1338" t="str">
        <f t="shared" si="103"/>
        <v>GRENOBLE28</v>
      </c>
      <c r="E1338" t="s">
        <v>180</v>
      </c>
      <c r="F1338" t="str">
        <f t="shared" si="104"/>
        <v>GRENOBLE28</v>
      </c>
      <c r="G1338" t="s">
        <v>238</v>
      </c>
      <c r="H1338" t="s">
        <v>924</v>
      </c>
      <c r="I1338" s="16">
        <v>162.81</v>
      </c>
      <c r="J1338" s="16">
        <v>74</v>
      </c>
      <c r="K1338" s="16">
        <v>25.49</v>
      </c>
      <c r="L1338" s="159">
        <f t="shared" si="105"/>
        <v>0.45451753577790061</v>
      </c>
      <c r="M1338" s="159">
        <f t="shared" si="105"/>
        <v>0.15656286468890115</v>
      </c>
    </row>
    <row r="1339" spans="2:13">
      <c r="B1339" t="s">
        <v>179</v>
      </c>
      <c r="C1339">
        <f t="shared" si="107"/>
        <v>29</v>
      </c>
      <c r="D1339" t="str">
        <f t="shared" si="103"/>
        <v>GRENOBLE29</v>
      </c>
      <c r="E1339" t="s">
        <v>180</v>
      </c>
      <c r="F1339" t="str">
        <f t="shared" si="104"/>
        <v>GRENOBLE29</v>
      </c>
      <c r="G1339" t="s">
        <v>228</v>
      </c>
      <c r="I1339" s="16">
        <v>159.72999999999999</v>
      </c>
      <c r="J1339" s="16">
        <v>62.17</v>
      </c>
      <c r="K1339" s="16">
        <v>0</v>
      </c>
      <c r="L1339" s="159">
        <f t="shared" si="105"/>
        <v>0.38921930758154388</v>
      </c>
      <c r="M1339" s="159">
        <f t="shared" si="105"/>
        <v>0</v>
      </c>
    </row>
    <row r="1340" spans="2:13">
      <c r="B1340" t="s">
        <v>179</v>
      </c>
      <c r="C1340">
        <f t="shared" si="107"/>
        <v>30</v>
      </c>
      <c r="D1340" t="str">
        <f t="shared" si="103"/>
        <v>GRENOBLE30</v>
      </c>
      <c r="E1340" t="s">
        <v>180</v>
      </c>
      <c r="F1340" t="str">
        <f t="shared" si="104"/>
        <v>GRENOBLE30</v>
      </c>
      <c r="G1340" t="s">
        <v>266</v>
      </c>
      <c r="H1340" t="s">
        <v>267</v>
      </c>
      <c r="I1340" s="16">
        <v>150.75</v>
      </c>
      <c r="J1340" s="16">
        <v>51.84</v>
      </c>
      <c r="K1340" s="16">
        <v>10.61</v>
      </c>
      <c r="L1340" s="159">
        <f t="shared" si="105"/>
        <v>0.3438805970149254</v>
      </c>
      <c r="M1340" s="159">
        <f t="shared" si="105"/>
        <v>7.0381426202321726E-2</v>
      </c>
    </row>
    <row r="1341" spans="2:13">
      <c r="B1341" t="s">
        <v>179</v>
      </c>
      <c r="C1341">
        <f t="shared" si="107"/>
        <v>31</v>
      </c>
      <c r="D1341" t="str">
        <f t="shared" si="103"/>
        <v>GRENOBLE31</v>
      </c>
      <c r="E1341" t="s">
        <v>180</v>
      </c>
      <c r="F1341" t="str">
        <f t="shared" si="104"/>
        <v>GRENOBLE31</v>
      </c>
      <c r="G1341" t="s">
        <v>272</v>
      </c>
      <c r="I1341" s="16">
        <v>145.28</v>
      </c>
      <c r="J1341" s="16">
        <v>37.159999999999997</v>
      </c>
      <c r="K1341" s="16">
        <v>69.2</v>
      </c>
      <c r="L1341" s="159">
        <f t="shared" si="105"/>
        <v>0.25578193832599116</v>
      </c>
      <c r="M1341" s="159">
        <f t="shared" si="105"/>
        <v>0.47632158590308371</v>
      </c>
    </row>
    <row r="1342" spans="2:13">
      <c r="B1342" t="s">
        <v>179</v>
      </c>
      <c r="C1342">
        <f t="shared" si="107"/>
        <v>32</v>
      </c>
      <c r="D1342" t="str">
        <f t="shared" si="103"/>
        <v>GRENOBLE32</v>
      </c>
      <c r="E1342" t="s">
        <v>180</v>
      </c>
      <c r="F1342" t="str">
        <f t="shared" si="104"/>
        <v>GRENOBLE32</v>
      </c>
      <c r="G1342" t="s">
        <v>239</v>
      </c>
      <c r="H1342" t="s">
        <v>925</v>
      </c>
      <c r="I1342" s="16">
        <v>143.19999999999999</v>
      </c>
      <c r="J1342" s="16">
        <v>6.82</v>
      </c>
      <c r="K1342" s="16">
        <v>93.48</v>
      </c>
      <c r="L1342" s="159">
        <f t="shared" si="105"/>
        <v>4.7625698324022352E-2</v>
      </c>
      <c r="M1342" s="159">
        <f t="shared" si="105"/>
        <v>0.65279329608938552</v>
      </c>
    </row>
    <row r="1343" spans="2:13">
      <c r="B1343" t="s">
        <v>179</v>
      </c>
      <c r="C1343">
        <f t="shared" ref="C1343:C1374" si="108">RANK(I1343,$I$1310:$I$1482,0)</f>
        <v>33</v>
      </c>
      <c r="D1343" t="str">
        <f t="shared" si="103"/>
        <v>GRENOBLE33</v>
      </c>
      <c r="E1343" t="s">
        <v>180</v>
      </c>
      <c r="F1343" t="str">
        <f t="shared" si="104"/>
        <v>GRENOBLE33</v>
      </c>
      <c r="G1343" t="s">
        <v>340</v>
      </c>
      <c r="H1343" t="s">
        <v>945</v>
      </c>
      <c r="I1343" s="16">
        <v>135.91999999999999</v>
      </c>
      <c r="J1343" s="16">
        <v>76.599999999999994</v>
      </c>
      <c r="K1343" s="16">
        <v>0</v>
      </c>
      <c r="L1343" s="159">
        <f t="shared" si="105"/>
        <v>0.56356680400235437</v>
      </c>
      <c r="M1343" s="159">
        <f t="shared" si="105"/>
        <v>0</v>
      </c>
    </row>
    <row r="1344" spans="2:13">
      <c r="B1344" t="s">
        <v>179</v>
      </c>
      <c r="C1344">
        <f t="shared" si="108"/>
        <v>34</v>
      </c>
      <c r="D1344" t="str">
        <f t="shared" si="103"/>
        <v>GRENOBLE34</v>
      </c>
      <c r="E1344" t="s">
        <v>180</v>
      </c>
      <c r="F1344" t="str">
        <f t="shared" si="104"/>
        <v>GRENOBLE34</v>
      </c>
      <c r="G1344" t="s">
        <v>260</v>
      </c>
      <c r="H1344" t="s">
        <v>932</v>
      </c>
      <c r="I1344" s="16">
        <v>135</v>
      </c>
      <c r="J1344" s="16">
        <v>29.85</v>
      </c>
      <c r="K1344" s="16">
        <v>7.29</v>
      </c>
      <c r="L1344" s="159">
        <f t="shared" si="105"/>
        <v>0.22111111111111112</v>
      </c>
      <c r="M1344" s="159">
        <f t="shared" si="105"/>
        <v>5.3999999999999999E-2</v>
      </c>
    </row>
    <row r="1345" spans="2:13">
      <c r="B1345" t="s">
        <v>179</v>
      </c>
      <c r="C1345">
        <f t="shared" si="108"/>
        <v>35</v>
      </c>
      <c r="D1345" t="str">
        <f t="shared" si="103"/>
        <v>GRENOBLE35</v>
      </c>
      <c r="E1345" t="s">
        <v>180</v>
      </c>
      <c r="F1345" t="str">
        <f t="shared" si="104"/>
        <v>GRENOBLE35</v>
      </c>
      <c r="G1345" t="s">
        <v>223</v>
      </c>
      <c r="H1345" t="s">
        <v>916</v>
      </c>
      <c r="I1345" s="16">
        <v>134.84</v>
      </c>
      <c r="J1345" s="16">
        <v>26.81</v>
      </c>
      <c r="K1345" s="16">
        <v>42.35</v>
      </c>
      <c r="L1345" s="159">
        <f t="shared" si="105"/>
        <v>0.19882824087807771</v>
      </c>
      <c r="M1345" s="159">
        <f t="shared" si="105"/>
        <v>0.31407594185701571</v>
      </c>
    </row>
    <row r="1346" spans="2:13">
      <c r="B1346" t="s">
        <v>179</v>
      </c>
      <c r="C1346">
        <f t="shared" si="108"/>
        <v>36</v>
      </c>
      <c r="D1346" t="str">
        <f t="shared" ref="D1346:D1409" si="109">CONCATENATE(E1346,C1346)</f>
        <v>GRENOBLE36</v>
      </c>
      <c r="E1346" t="s">
        <v>180</v>
      </c>
      <c r="F1346" t="str">
        <f t="shared" si="104"/>
        <v>GRENOBLE36</v>
      </c>
      <c r="G1346" t="s">
        <v>290</v>
      </c>
      <c r="H1346" t="s">
        <v>291</v>
      </c>
      <c r="I1346" s="16">
        <v>134.13</v>
      </c>
      <c r="J1346" s="16">
        <v>3.59</v>
      </c>
      <c r="K1346" s="16">
        <v>0</v>
      </c>
      <c r="L1346" s="159">
        <f t="shared" si="105"/>
        <v>2.6765078655036158E-2</v>
      </c>
      <c r="M1346" s="159">
        <f t="shared" si="105"/>
        <v>0</v>
      </c>
    </row>
    <row r="1347" spans="2:13">
      <c r="B1347" t="s">
        <v>179</v>
      </c>
      <c r="C1347">
        <f t="shared" si="108"/>
        <v>37</v>
      </c>
      <c r="D1347" t="str">
        <f t="shared" si="109"/>
        <v>GRENOBLE37</v>
      </c>
      <c r="E1347" t="s">
        <v>180</v>
      </c>
      <c r="F1347" t="str">
        <f t="shared" ref="F1347:F1410" si="110">D1347</f>
        <v>GRENOBLE37</v>
      </c>
      <c r="G1347" t="s">
        <v>237</v>
      </c>
      <c r="I1347" s="16">
        <v>129.18</v>
      </c>
      <c r="J1347" s="16">
        <v>0</v>
      </c>
      <c r="K1347" s="16">
        <v>129.18</v>
      </c>
      <c r="L1347" s="159">
        <f t="shared" ref="L1347:M1410" si="111">J1347/$I1347</f>
        <v>0</v>
      </c>
      <c r="M1347" s="159">
        <f t="shared" si="111"/>
        <v>1</v>
      </c>
    </row>
    <row r="1348" spans="2:13">
      <c r="B1348" t="s">
        <v>179</v>
      </c>
      <c r="C1348">
        <f t="shared" si="108"/>
        <v>38</v>
      </c>
      <c r="D1348" t="str">
        <f t="shared" si="109"/>
        <v>GRENOBLE38</v>
      </c>
      <c r="E1348" t="s">
        <v>180</v>
      </c>
      <c r="F1348" t="str">
        <f t="shared" si="110"/>
        <v>GRENOBLE38</v>
      </c>
      <c r="G1348" t="s">
        <v>253</v>
      </c>
      <c r="I1348" s="16">
        <v>129.13999999999999</v>
      </c>
      <c r="J1348" s="16">
        <v>47.21</v>
      </c>
      <c r="K1348" s="16">
        <v>102.44</v>
      </c>
      <c r="L1348" s="159">
        <f t="shared" si="111"/>
        <v>0.36557224717361009</v>
      </c>
      <c r="M1348" s="159">
        <f t="shared" si="111"/>
        <v>0.79324763822208466</v>
      </c>
    </row>
    <row r="1349" spans="2:13">
      <c r="B1349" t="s">
        <v>179</v>
      </c>
      <c r="C1349">
        <f t="shared" si="108"/>
        <v>39</v>
      </c>
      <c r="D1349" t="str">
        <f t="shared" si="109"/>
        <v>GRENOBLE39</v>
      </c>
      <c r="E1349" t="s">
        <v>180</v>
      </c>
      <c r="F1349" t="str">
        <f t="shared" si="110"/>
        <v>GRENOBLE39</v>
      </c>
      <c r="G1349" t="s">
        <v>229</v>
      </c>
      <c r="H1349" t="s">
        <v>921</v>
      </c>
      <c r="I1349" s="16">
        <v>127.29</v>
      </c>
      <c r="J1349" s="16">
        <v>15.6</v>
      </c>
      <c r="K1349" s="16">
        <v>19.75</v>
      </c>
      <c r="L1349" s="159">
        <f t="shared" si="111"/>
        <v>0.12255479613481027</v>
      </c>
      <c r="M1349" s="159">
        <f t="shared" si="111"/>
        <v>0.15515751433733993</v>
      </c>
    </row>
    <row r="1350" spans="2:13">
      <c r="B1350" t="s">
        <v>179</v>
      </c>
      <c r="C1350">
        <f t="shared" si="108"/>
        <v>40</v>
      </c>
      <c r="D1350" t="str">
        <f t="shared" si="109"/>
        <v>GRENOBLE40</v>
      </c>
      <c r="E1350" t="s">
        <v>180</v>
      </c>
      <c r="F1350" t="str">
        <f t="shared" si="110"/>
        <v>GRENOBLE40</v>
      </c>
      <c r="G1350" t="s">
        <v>402</v>
      </c>
      <c r="H1350" t="s">
        <v>1790</v>
      </c>
      <c r="I1350" s="16">
        <v>126</v>
      </c>
      <c r="J1350" s="16">
        <v>65.94</v>
      </c>
      <c r="K1350" s="16">
        <v>0</v>
      </c>
      <c r="L1350" s="159">
        <f t="shared" si="111"/>
        <v>0.52333333333333332</v>
      </c>
      <c r="M1350" s="159">
        <f t="shared" si="111"/>
        <v>0</v>
      </c>
    </row>
    <row r="1351" spans="2:13">
      <c r="B1351" t="s">
        <v>179</v>
      </c>
      <c r="C1351">
        <f t="shared" si="108"/>
        <v>41</v>
      </c>
      <c r="D1351" t="str">
        <f t="shared" si="109"/>
        <v>GRENOBLE41</v>
      </c>
      <c r="E1351" t="s">
        <v>180</v>
      </c>
      <c r="F1351" t="str">
        <f t="shared" si="110"/>
        <v>GRENOBLE41</v>
      </c>
      <c r="G1351" t="s">
        <v>396</v>
      </c>
      <c r="I1351" s="16">
        <v>121.42</v>
      </c>
      <c r="J1351" s="16">
        <v>16.43</v>
      </c>
      <c r="K1351" s="16">
        <v>5.88</v>
      </c>
      <c r="L1351" s="159">
        <f t="shared" si="111"/>
        <v>0.13531543403063745</v>
      </c>
      <c r="M1351" s="159">
        <f t="shared" si="111"/>
        <v>4.8426947784549493E-2</v>
      </c>
    </row>
    <row r="1352" spans="2:13">
      <c r="B1352" t="s">
        <v>179</v>
      </c>
      <c r="C1352">
        <f t="shared" si="108"/>
        <v>42</v>
      </c>
      <c r="D1352" t="str">
        <f t="shared" si="109"/>
        <v>GRENOBLE42</v>
      </c>
      <c r="E1352" t="s">
        <v>180</v>
      </c>
      <c r="F1352" t="str">
        <f t="shared" si="110"/>
        <v>GRENOBLE42</v>
      </c>
      <c r="G1352" t="s">
        <v>334</v>
      </c>
      <c r="H1352" t="s">
        <v>946</v>
      </c>
      <c r="I1352" s="16">
        <v>110.58</v>
      </c>
      <c r="J1352" s="16">
        <v>0</v>
      </c>
      <c r="K1352" s="16">
        <v>110.58</v>
      </c>
      <c r="L1352" s="159">
        <f t="shared" si="111"/>
        <v>0</v>
      </c>
      <c r="M1352" s="159">
        <f t="shared" si="111"/>
        <v>1</v>
      </c>
    </row>
    <row r="1353" spans="2:13">
      <c r="B1353" t="s">
        <v>179</v>
      </c>
      <c r="C1353">
        <f t="shared" si="108"/>
        <v>43</v>
      </c>
      <c r="D1353" t="str">
        <f t="shared" si="109"/>
        <v>GRENOBLE43</v>
      </c>
      <c r="E1353" t="s">
        <v>180</v>
      </c>
      <c r="F1353" t="str">
        <f t="shared" si="110"/>
        <v>GRENOBLE43</v>
      </c>
      <c r="G1353" t="s">
        <v>276</v>
      </c>
      <c r="H1353" t="s">
        <v>933</v>
      </c>
      <c r="I1353" s="16">
        <v>107.62</v>
      </c>
      <c r="J1353" s="16">
        <v>13.47</v>
      </c>
      <c r="K1353" s="16">
        <v>0</v>
      </c>
      <c r="L1353" s="159">
        <f t="shared" si="111"/>
        <v>0.12516260918044972</v>
      </c>
      <c r="M1353" s="159">
        <f t="shared" si="111"/>
        <v>0</v>
      </c>
    </row>
    <row r="1354" spans="2:13">
      <c r="B1354" t="s">
        <v>179</v>
      </c>
      <c r="C1354">
        <f t="shared" si="108"/>
        <v>44</v>
      </c>
      <c r="D1354" t="str">
        <f t="shared" si="109"/>
        <v>GRENOBLE44</v>
      </c>
      <c r="E1354" t="s">
        <v>180</v>
      </c>
      <c r="F1354" t="str">
        <f t="shared" si="110"/>
        <v>GRENOBLE44</v>
      </c>
      <c r="G1354" t="s">
        <v>252</v>
      </c>
      <c r="H1354" t="s">
        <v>930</v>
      </c>
      <c r="I1354" s="16">
        <v>104.57</v>
      </c>
      <c r="J1354" s="16">
        <v>62.48</v>
      </c>
      <c r="K1354" s="16">
        <v>16.87</v>
      </c>
      <c r="L1354" s="159">
        <f t="shared" si="111"/>
        <v>0.59749450129100123</v>
      </c>
      <c r="M1354" s="159">
        <f t="shared" si="111"/>
        <v>0.16132734053743905</v>
      </c>
    </row>
    <row r="1355" spans="2:13">
      <c r="B1355" t="s">
        <v>179</v>
      </c>
      <c r="C1355">
        <f t="shared" si="108"/>
        <v>45</v>
      </c>
      <c r="D1355" t="str">
        <f t="shared" si="109"/>
        <v>GRENOBLE45</v>
      </c>
      <c r="E1355" t="s">
        <v>180</v>
      </c>
      <c r="F1355" t="str">
        <f t="shared" si="110"/>
        <v>GRENOBLE45</v>
      </c>
      <c r="G1355" t="s">
        <v>240</v>
      </c>
      <c r="H1355" t="s">
        <v>926</v>
      </c>
      <c r="I1355" s="16">
        <v>102.72</v>
      </c>
      <c r="J1355" s="16">
        <v>74.89</v>
      </c>
      <c r="K1355" s="16">
        <v>72.39</v>
      </c>
      <c r="L1355" s="159">
        <f t="shared" si="111"/>
        <v>0.72906931464174451</v>
      </c>
      <c r="M1355" s="159">
        <f t="shared" si="111"/>
        <v>0.70473130841121501</v>
      </c>
    </row>
    <row r="1356" spans="2:13">
      <c r="B1356" t="s">
        <v>179</v>
      </c>
      <c r="C1356">
        <f t="shared" si="108"/>
        <v>46</v>
      </c>
      <c r="D1356" t="str">
        <f t="shared" si="109"/>
        <v>GRENOBLE46</v>
      </c>
      <c r="E1356" t="s">
        <v>180</v>
      </c>
      <c r="F1356" t="str">
        <f t="shared" si="110"/>
        <v>GRENOBLE46</v>
      </c>
      <c r="G1356" t="s">
        <v>278</v>
      </c>
      <c r="H1356" t="s">
        <v>934</v>
      </c>
      <c r="I1356" s="16">
        <v>102.64</v>
      </c>
      <c r="J1356" s="16">
        <v>6.62</v>
      </c>
      <c r="K1356" s="16">
        <v>0</v>
      </c>
      <c r="L1356" s="159">
        <f t="shared" si="111"/>
        <v>6.4497272018706156E-2</v>
      </c>
      <c r="M1356" s="159">
        <f t="shared" si="111"/>
        <v>0</v>
      </c>
    </row>
    <row r="1357" spans="2:13">
      <c r="B1357" t="s">
        <v>179</v>
      </c>
      <c r="C1357">
        <f t="shared" si="108"/>
        <v>47</v>
      </c>
      <c r="D1357" t="str">
        <f t="shared" si="109"/>
        <v>GRENOBLE47</v>
      </c>
      <c r="E1357" t="s">
        <v>180</v>
      </c>
      <c r="F1357" t="str">
        <f t="shared" si="110"/>
        <v>GRENOBLE47</v>
      </c>
      <c r="G1357" t="s">
        <v>280</v>
      </c>
      <c r="I1357" s="16">
        <v>101.9</v>
      </c>
      <c r="J1357" s="16">
        <v>68.680000000000007</v>
      </c>
      <c r="K1357" s="16">
        <v>55.12</v>
      </c>
      <c r="L1357" s="159">
        <f t="shared" si="111"/>
        <v>0.67399411187438674</v>
      </c>
      <c r="M1357" s="159">
        <f t="shared" si="111"/>
        <v>0.54092247301275753</v>
      </c>
    </row>
    <row r="1358" spans="2:13">
      <c r="B1358" t="s">
        <v>179</v>
      </c>
      <c r="C1358">
        <f t="shared" si="108"/>
        <v>48</v>
      </c>
      <c r="D1358" t="str">
        <f t="shared" si="109"/>
        <v>GRENOBLE48</v>
      </c>
      <c r="E1358" t="s">
        <v>180</v>
      </c>
      <c r="F1358" t="str">
        <f t="shared" si="110"/>
        <v>GRENOBLE48</v>
      </c>
      <c r="G1358" t="s">
        <v>251</v>
      </c>
      <c r="H1358" t="s">
        <v>929</v>
      </c>
      <c r="I1358" s="16">
        <v>101.39</v>
      </c>
      <c r="J1358" s="16">
        <v>33.479999999999997</v>
      </c>
      <c r="K1358" s="16">
        <v>14.29</v>
      </c>
      <c r="L1358" s="159">
        <f t="shared" si="111"/>
        <v>0.33021007988953543</v>
      </c>
      <c r="M1358" s="159">
        <f t="shared" si="111"/>
        <v>0.14094092119538415</v>
      </c>
    </row>
    <row r="1359" spans="2:13">
      <c r="B1359" t="s">
        <v>179</v>
      </c>
      <c r="C1359">
        <f t="shared" si="108"/>
        <v>49</v>
      </c>
      <c r="D1359" t="str">
        <f t="shared" si="109"/>
        <v>GRENOBLE49</v>
      </c>
      <c r="E1359" t="s">
        <v>180</v>
      </c>
      <c r="F1359" t="str">
        <f t="shared" si="110"/>
        <v>GRENOBLE49</v>
      </c>
      <c r="G1359" t="s">
        <v>433</v>
      </c>
      <c r="I1359" s="16">
        <v>101.09</v>
      </c>
      <c r="J1359" s="16">
        <v>26.25</v>
      </c>
      <c r="K1359" s="16">
        <v>3.92</v>
      </c>
      <c r="L1359" s="159">
        <f t="shared" si="111"/>
        <v>0.25966960134533584</v>
      </c>
      <c r="M1359" s="159">
        <f t="shared" si="111"/>
        <v>3.8777327134236816E-2</v>
      </c>
    </row>
    <row r="1360" spans="2:13">
      <c r="B1360" t="s">
        <v>179</v>
      </c>
      <c r="C1360">
        <f t="shared" si="108"/>
        <v>50</v>
      </c>
      <c r="D1360" t="str">
        <f t="shared" si="109"/>
        <v>GRENOBLE50</v>
      </c>
      <c r="E1360" t="s">
        <v>180</v>
      </c>
      <c r="F1360" t="str">
        <f t="shared" si="110"/>
        <v>GRENOBLE50</v>
      </c>
      <c r="G1360" t="s">
        <v>419</v>
      </c>
      <c r="I1360" s="16">
        <v>95.23</v>
      </c>
      <c r="J1360" s="16">
        <v>25.46</v>
      </c>
      <c r="K1360" s="16">
        <v>95.23</v>
      </c>
      <c r="L1360" s="159">
        <f t="shared" si="111"/>
        <v>0.26735272498162344</v>
      </c>
      <c r="M1360" s="159">
        <f t="shared" si="111"/>
        <v>1</v>
      </c>
    </row>
    <row r="1361" spans="2:13">
      <c r="B1361" t="s">
        <v>179</v>
      </c>
      <c r="C1361">
        <f t="shared" si="108"/>
        <v>51</v>
      </c>
      <c r="D1361" t="str">
        <f t="shared" si="109"/>
        <v>GRENOBLE51</v>
      </c>
      <c r="E1361" t="s">
        <v>180</v>
      </c>
      <c r="F1361" t="str">
        <f t="shared" si="110"/>
        <v>GRENOBLE51</v>
      </c>
      <c r="G1361" t="s">
        <v>246</v>
      </c>
      <c r="H1361" t="s">
        <v>928</v>
      </c>
      <c r="I1361" s="16">
        <v>94.81</v>
      </c>
      <c r="J1361" s="16">
        <v>72.489999999999995</v>
      </c>
      <c r="K1361" s="16">
        <v>0</v>
      </c>
      <c r="L1361" s="159">
        <f t="shared" si="111"/>
        <v>0.76458179516928582</v>
      </c>
      <c r="M1361" s="159">
        <f t="shared" si="111"/>
        <v>0</v>
      </c>
    </row>
    <row r="1362" spans="2:13">
      <c r="B1362" t="s">
        <v>179</v>
      </c>
      <c r="C1362">
        <f t="shared" si="108"/>
        <v>52</v>
      </c>
      <c r="D1362" t="str">
        <f t="shared" si="109"/>
        <v>GRENOBLE52</v>
      </c>
      <c r="E1362" t="s">
        <v>180</v>
      </c>
      <c r="F1362" t="str">
        <f t="shared" si="110"/>
        <v>GRENOBLE52</v>
      </c>
      <c r="G1362" t="s">
        <v>330</v>
      </c>
      <c r="I1362" s="16">
        <v>93.18</v>
      </c>
      <c r="J1362" s="16">
        <v>42.03</v>
      </c>
      <c r="K1362" s="16">
        <v>7.29</v>
      </c>
      <c r="L1362" s="159">
        <f t="shared" si="111"/>
        <v>0.45106245975531228</v>
      </c>
      <c r="M1362" s="159">
        <f t="shared" si="111"/>
        <v>7.8235672891178359E-2</v>
      </c>
    </row>
    <row r="1363" spans="2:13">
      <c r="B1363" t="s">
        <v>179</v>
      </c>
      <c r="C1363">
        <f t="shared" si="108"/>
        <v>53</v>
      </c>
      <c r="D1363" t="str">
        <f t="shared" si="109"/>
        <v>GRENOBLE53</v>
      </c>
      <c r="E1363" t="s">
        <v>180</v>
      </c>
      <c r="F1363" t="str">
        <f t="shared" si="110"/>
        <v>GRENOBLE53</v>
      </c>
      <c r="G1363" t="s">
        <v>235</v>
      </c>
      <c r="H1363" t="s">
        <v>236</v>
      </c>
      <c r="I1363" s="16">
        <v>92.05</v>
      </c>
      <c r="J1363" s="16">
        <v>0</v>
      </c>
      <c r="K1363" s="16">
        <v>44.14</v>
      </c>
      <c r="L1363" s="159">
        <f t="shared" si="111"/>
        <v>0</v>
      </c>
      <c r="M1363" s="159">
        <f t="shared" si="111"/>
        <v>0.4795219989136339</v>
      </c>
    </row>
    <row r="1364" spans="2:13">
      <c r="B1364" t="s">
        <v>179</v>
      </c>
      <c r="C1364">
        <f t="shared" si="108"/>
        <v>54</v>
      </c>
      <c r="D1364" t="str">
        <f t="shared" si="109"/>
        <v>GRENOBLE54</v>
      </c>
      <c r="E1364" t="s">
        <v>180</v>
      </c>
      <c r="F1364" t="str">
        <f t="shared" si="110"/>
        <v>GRENOBLE54</v>
      </c>
      <c r="G1364" t="s">
        <v>287</v>
      </c>
      <c r="I1364" s="16">
        <v>91.04</v>
      </c>
      <c r="J1364" s="16">
        <v>33.79</v>
      </c>
      <c r="K1364" s="16">
        <v>1.92</v>
      </c>
      <c r="L1364" s="159">
        <f t="shared" si="111"/>
        <v>0.37115553602811946</v>
      </c>
      <c r="M1364" s="159">
        <f t="shared" si="111"/>
        <v>2.1089630931458696E-2</v>
      </c>
    </row>
    <row r="1365" spans="2:13">
      <c r="B1365" t="s">
        <v>179</v>
      </c>
      <c r="C1365">
        <f t="shared" si="108"/>
        <v>55</v>
      </c>
      <c r="D1365" t="str">
        <f t="shared" si="109"/>
        <v>GRENOBLE55</v>
      </c>
      <c r="E1365" t="s">
        <v>180</v>
      </c>
      <c r="F1365" t="str">
        <f t="shared" si="110"/>
        <v>GRENOBLE55</v>
      </c>
      <c r="G1365" t="s">
        <v>284</v>
      </c>
      <c r="I1365" s="16">
        <v>90.62</v>
      </c>
      <c r="J1365" s="16">
        <v>5.5</v>
      </c>
      <c r="K1365" s="16">
        <v>21.64</v>
      </c>
      <c r="L1365" s="159">
        <f t="shared" si="111"/>
        <v>6.0693003751931138E-2</v>
      </c>
      <c r="M1365" s="159">
        <f t="shared" si="111"/>
        <v>0.23879938203487089</v>
      </c>
    </row>
    <row r="1366" spans="2:13">
      <c r="B1366" t="s">
        <v>179</v>
      </c>
      <c r="C1366">
        <f t="shared" si="108"/>
        <v>56</v>
      </c>
      <c r="D1366" t="str">
        <f t="shared" si="109"/>
        <v>GRENOBLE56</v>
      </c>
      <c r="E1366" t="s">
        <v>180</v>
      </c>
      <c r="F1366" t="str">
        <f t="shared" si="110"/>
        <v>GRENOBLE56</v>
      </c>
      <c r="G1366" t="s">
        <v>337</v>
      </c>
      <c r="I1366" s="16">
        <v>87.63</v>
      </c>
      <c r="J1366" s="16">
        <v>46.16</v>
      </c>
      <c r="K1366" s="16">
        <v>16.16</v>
      </c>
      <c r="L1366" s="159">
        <f t="shared" si="111"/>
        <v>0.5267602419262809</v>
      </c>
      <c r="M1366" s="159">
        <f t="shared" si="111"/>
        <v>0.18441173114230289</v>
      </c>
    </row>
    <row r="1367" spans="2:13">
      <c r="B1367" t="s">
        <v>179</v>
      </c>
      <c r="C1367">
        <f t="shared" si="108"/>
        <v>57</v>
      </c>
      <c r="D1367" t="str">
        <f t="shared" si="109"/>
        <v>GRENOBLE57</v>
      </c>
      <c r="E1367" t="s">
        <v>180</v>
      </c>
      <c r="F1367" t="str">
        <f t="shared" si="110"/>
        <v>GRENOBLE57</v>
      </c>
      <c r="G1367" t="s">
        <v>241</v>
      </c>
      <c r="H1367" t="s">
        <v>927</v>
      </c>
      <c r="I1367" s="16">
        <v>86.89</v>
      </c>
      <c r="J1367" s="16">
        <v>22.49</v>
      </c>
      <c r="K1367" s="16">
        <v>0</v>
      </c>
      <c r="L1367" s="159">
        <f t="shared" si="111"/>
        <v>0.25883300725054664</v>
      </c>
      <c r="M1367" s="159">
        <f t="shared" si="111"/>
        <v>0</v>
      </c>
    </row>
    <row r="1368" spans="2:13">
      <c r="B1368" t="s">
        <v>179</v>
      </c>
      <c r="C1368">
        <f t="shared" si="108"/>
        <v>58</v>
      </c>
      <c r="D1368" t="str">
        <f t="shared" si="109"/>
        <v>GRENOBLE58</v>
      </c>
      <c r="E1368" t="s">
        <v>180</v>
      </c>
      <c r="F1368" t="str">
        <f t="shared" si="110"/>
        <v>GRENOBLE58</v>
      </c>
      <c r="G1368" t="s">
        <v>326</v>
      </c>
      <c r="I1368" s="16">
        <v>85.43</v>
      </c>
      <c r="J1368" s="16">
        <v>68.099999999999994</v>
      </c>
      <c r="K1368" s="16">
        <v>52.29</v>
      </c>
      <c r="L1368" s="159">
        <f t="shared" si="111"/>
        <v>0.79714386047056052</v>
      </c>
      <c r="M1368" s="159">
        <f t="shared" si="111"/>
        <v>0.61208006555074324</v>
      </c>
    </row>
    <row r="1369" spans="2:13">
      <c r="B1369" t="s">
        <v>179</v>
      </c>
      <c r="C1369">
        <f t="shared" si="108"/>
        <v>59</v>
      </c>
      <c r="D1369" t="str">
        <f t="shared" si="109"/>
        <v>GRENOBLE59</v>
      </c>
      <c r="E1369" t="s">
        <v>180</v>
      </c>
      <c r="F1369" t="str">
        <f t="shared" si="110"/>
        <v>GRENOBLE59</v>
      </c>
      <c r="G1369" t="s">
        <v>265</v>
      </c>
      <c r="I1369" s="16">
        <v>80.239999999999995</v>
      </c>
      <c r="J1369" s="16">
        <v>48.91</v>
      </c>
      <c r="K1369" s="16">
        <v>2</v>
      </c>
      <c r="L1369" s="159">
        <f t="shared" si="111"/>
        <v>0.60954636091724823</v>
      </c>
      <c r="M1369" s="159">
        <f t="shared" si="111"/>
        <v>2.4925224327018946E-2</v>
      </c>
    </row>
    <row r="1370" spans="2:13">
      <c r="B1370" t="s">
        <v>179</v>
      </c>
      <c r="C1370">
        <f t="shared" si="108"/>
        <v>60</v>
      </c>
      <c r="D1370" t="str">
        <f t="shared" si="109"/>
        <v>GRENOBLE60</v>
      </c>
      <c r="E1370" t="s">
        <v>180</v>
      </c>
      <c r="F1370" t="str">
        <f t="shared" si="110"/>
        <v>GRENOBLE60</v>
      </c>
      <c r="G1370" t="s">
        <v>305</v>
      </c>
      <c r="H1370" t="s">
        <v>937</v>
      </c>
      <c r="I1370" s="16">
        <v>79.36</v>
      </c>
      <c r="J1370" s="16">
        <v>58.62</v>
      </c>
      <c r="K1370" s="16">
        <v>6.57</v>
      </c>
      <c r="L1370" s="159">
        <f t="shared" si="111"/>
        <v>0.73865927419354838</v>
      </c>
      <c r="M1370" s="159">
        <f t="shared" si="111"/>
        <v>8.278729838709678E-2</v>
      </c>
    </row>
    <row r="1371" spans="2:13">
      <c r="B1371" t="s">
        <v>179</v>
      </c>
      <c r="C1371">
        <f t="shared" si="108"/>
        <v>61</v>
      </c>
      <c r="D1371" t="str">
        <f t="shared" si="109"/>
        <v>GRENOBLE61</v>
      </c>
      <c r="E1371" t="s">
        <v>180</v>
      </c>
      <c r="F1371" t="str">
        <f t="shared" si="110"/>
        <v>GRENOBLE61</v>
      </c>
      <c r="G1371" t="s">
        <v>325</v>
      </c>
      <c r="H1371" t="s">
        <v>938</v>
      </c>
      <c r="I1371" s="16">
        <v>78.7</v>
      </c>
      <c r="J1371" s="16">
        <v>0</v>
      </c>
      <c r="K1371" s="16">
        <v>0</v>
      </c>
      <c r="L1371" s="159">
        <f t="shared" si="111"/>
        <v>0</v>
      </c>
      <c r="M1371" s="159">
        <f t="shared" si="111"/>
        <v>0</v>
      </c>
    </row>
    <row r="1372" spans="2:13">
      <c r="B1372" t="s">
        <v>179</v>
      </c>
      <c r="C1372">
        <f t="shared" si="108"/>
        <v>62</v>
      </c>
      <c r="D1372" t="str">
        <f t="shared" si="109"/>
        <v>GRENOBLE62</v>
      </c>
      <c r="E1372" t="s">
        <v>180</v>
      </c>
      <c r="F1372" t="str">
        <f t="shared" si="110"/>
        <v>GRENOBLE62</v>
      </c>
      <c r="G1372" t="s">
        <v>254</v>
      </c>
      <c r="H1372" t="s">
        <v>931</v>
      </c>
      <c r="I1372" s="16">
        <v>73.59</v>
      </c>
      <c r="J1372" s="16">
        <v>14.83</v>
      </c>
      <c r="K1372" s="16">
        <v>57.29</v>
      </c>
      <c r="L1372" s="159">
        <f t="shared" si="111"/>
        <v>0.20152194591656475</v>
      </c>
      <c r="M1372" s="159">
        <f t="shared" si="111"/>
        <v>0.77850251392852288</v>
      </c>
    </row>
    <row r="1373" spans="2:13">
      <c r="B1373" t="s">
        <v>179</v>
      </c>
      <c r="C1373">
        <f t="shared" si="108"/>
        <v>63</v>
      </c>
      <c r="D1373" t="str">
        <f t="shared" si="109"/>
        <v>GRENOBLE63</v>
      </c>
      <c r="E1373" t="s">
        <v>180</v>
      </c>
      <c r="F1373" t="str">
        <f t="shared" si="110"/>
        <v>GRENOBLE63</v>
      </c>
      <c r="G1373" t="s">
        <v>381</v>
      </c>
      <c r="I1373" s="16">
        <v>72.8</v>
      </c>
      <c r="J1373" s="16">
        <v>48.59</v>
      </c>
      <c r="K1373" s="16">
        <v>0</v>
      </c>
      <c r="L1373" s="159">
        <f t="shared" si="111"/>
        <v>0.66744505494505502</v>
      </c>
      <c r="M1373" s="159">
        <f t="shared" si="111"/>
        <v>0</v>
      </c>
    </row>
    <row r="1374" spans="2:13">
      <c r="B1374" t="s">
        <v>179</v>
      </c>
      <c r="C1374">
        <f t="shared" si="108"/>
        <v>64</v>
      </c>
      <c r="D1374" t="str">
        <f t="shared" si="109"/>
        <v>GRENOBLE64</v>
      </c>
      <c r="E1374" t="s">
        <v>180</v>
      </c>
      <c r="F1374" t="str">
        <f t="shared" si="110"/>
        <v>GRENOBLE64</v>
      </c>
      <c r="G1374" t="s">
        <v>304</v>
      </c>
      <c r="I1374" s="16">
        <v>67.63</v>
      </c>
      <c r="J1374" s="16">
        <v>36.51</v>
      </c>
      <c r="K1374" s="16">
        <v>0</v>
      </c>
      <c r="L1374" s="159">
        <f t="shared" si="111"/>
        <v>0.53984917935827292</v>
      </c>
      <c r="M1374" s="159">
        <f t="shared" si="111"/>
        <v>0</v>
      </c>
    </row>
    <row r="1375" spans="2:13">
      <c r="B1375" t="s">
        <v>179</v>
      </c>
      <c r="C1375">
        <f t="shared" ref="C1375:C1406" si="112">RANK(I1375,$I$1310:$I$1482,0)</f>
        <v>65</v>
      </c>
      <c r="D1375" t="str">
        <f t="shared" si="109"/>
        <v>GRENOBLE65</v>
      </c>
      <c r="E1375" t="s">
        <v>180</v>
      </c>
      <c r="F1375" t="str">
        <f t="shared" si="110"/>
        <v>GRENOBLE65</v>
      </c>
      <c r="G1375" t="s">
        <v>259</v>
      </c>
      <c r="I1375" s="16">
        <v>61.62</v>
      </c>
      <c r="J1375" s="16">
        <v>0</v>
      </c>
      <c r="K1375" s="16">
        <v>12.07</v>
      </c>
      <c r="L1375" s="159">
        <f t="shared" si="111"/>
        <v>0</v>
      </c>
      <c r="M1375" s="159">
        <f t="shared" si="111"/>
        <v>0.19587796170074653</v>
      </c>
    </row>
    <row r="1376" spans="2:13">
      <c r="B1376" t="s">
        <v>179</v>
      </c>
      <c r="C1376">
        <f t="shared" si="112"/>
        <v>66</v>
      </c>
      <c r="D1376" t="str">
        <f t="shared" si="109"/>
        <v>GRENOBLE66</v>
      </c>
      <c r="E1376" t="s">
        <v>180</v>
      </c>
      <c r="F1376" t="str">
        <f t="shared" si="110"/>
        <v>GRENOBLE66</v>
      </c>
      <c r="G1376" t="s">
        <v>313</v>
      </c>
      <c r="I1376" s="16">
        <v>60.12</v>
      </c>
      <c r="J1376" s="16">
        <v>14.93</v>
      </c>
      <c r="K1376" s="16">
        <v>0</v>
      </c>
      <c r="L1376" s="159">
        <f t="shared" si="111"/>
        <v>0.24833666001330673</v>
      </c>
      <c r="M1376" s="159">
        <f t="shared" si="111"/>
        <v>0</v>
      </c>
    </row>
    <row r="1377" spans="2:13">
      <c r="B1377" t="s">
        <v>179</v>
      </c>
      <c r="C1377">
        <f t="shared" si="112"/>
        <v>67</v>
      </c>
      <c r="D1377" t="str">
        <f t="shared" si="109"/>
        <v>GRENOBLE67</v>
      </c>
      <c r="E1377" t="s">
        <v>180</v>
      </c>
      <c r="F1377" t="str">
        <f t="shared" si="110"/>
        <v>GRENOBLE67</v>
      </c>
      <c r="G1377" t="s">
        <v>409</v>
      </c>
      <c r="I1377" s="16">
        <v>56.78</v>
      </c>
      <c r="J1377" s="16">
        <v>34.03</v>
      </c>
      <c r="K1377" s="16">
        <v>0</v>
      </c>
      <c r="L1377" s="159">
        <f t="shared" si="111"/>
        <v>0.59933075026417748</v>
      </c>
      <c r="M1377" s="159">
        <f t="shared" si="111"/>
        <v>0</v>
      </c>
    </row>
    <row r="1378" spans="2:13">
      <c r="B1378" t="s">
        <v>179</v>
      </c>
      <c r="C1378">
        <f t="shared" si="112"/>
        <v>68</v>
      </c>
      <c r="D1378" t="str">
        <f t="shared" si="109"/>
        <v>GRENOBLE68</v>
      </c>
      <c r="E1378" t="s">
        <v>180</v>
      </c>
      <c r="F1378" t="str">
        <f t="shared" si="110"/>
        <v>GRENOBLE68</v>
      </c>
      <c r="G1378" t="s">
        <v>371</v>
      </c>
      <c r="I1378" s="16">
        <v>56.56</v>
      </c>
      <c r="J1378" s="16">
        <v>56.56</v>
      </c>
      <c r="K1378" s="16">
        <v>40.4</v>
      </c>
      <c r="L1378" s="159">
        <f t="shared" si="111"/>
        <v>1</v>
      </c>
      <c r="M1378" s="159">
        <f t="shared" si="111"/>
        <v>0.71428571428571419</v>
      </c>
    </row>
    <row r="1379" spans="2:13">
      <c r="B1379" t="s">
        <v>179</v>
      </c>
      <c r="C1379">
        <f t="shared" si="112"/>
        <v>69</v>
      </c>
      <c r="D1379" t="str">
        <f t="shared" si="109"/>
        <v>GRENOBLE69</v>
      </c>
      <c r="E1379" t="s">
        <v>180</v>
      </c>
      <c r="F1379" t="str">
        <f t="shared" si="110"/>
        <v>GRENOBLE69</v>
      </c>
      <c r="G1379" t="s">
        <v>442</v>
      </c>
      <c r="I1379" s="16">
        <v>55.91</v>
      </c>
      <c r="J1379" s="16">
        <v>48.06</v>
      </c>
      <c r="K1379" s="16">
        <v>8.8800000000000008</v>
      </c>
      <c r="L1379" s="159">
        <f t="shared" si="111"/>
        <v>0.85959577893042394</v>
      </c>
      <c r="M1379" s="159">
        <f t="shared" si="111"/>
        <v>0.15882668574494727</v>
      </c>
    </row>
    <row r="1380" spans="2:13">
      <c r="B1380" t="s">
        <v>179</v>
      </c>
      <c r="C1380">
        <f t="shared" si="112"/>
        <v>70</v>
      </c>
      <c r="D1380" t="str">
        <f t="shared" si="109"/>
        <v>GRENOBLE70</v>
      </c>
      <c r="E1380" t="s">
        <v>180</v>
      </c>
      <c r="F1380" t="str">
        <f t="shared" si="110"/>
        <v>GRENOBLE70</v>
      </c>
      <c r="G1380" t="s">
        <v>374</v>
      </c>
      <c r="I1380" s="16">
        <v>54.96</v>
      </c>
      <c r="J1380" s="16">
        <v>24.07</v>
      </c>
      <c r="K1380" s="16">
        <v>14.71</v>
      </c>
      <c r="L1380" s="159">
        <f t="shared" si="111"/>
        <v>0.43795487627365354</v>
      </c>
      <c r="M1380" s="159">
        <f t="shared" si="111"/>
        <v>0.26764919941775839</v>
      </c>
    </row>
    <row r="1381" spans="2:13">
      <c r="B1381" t="s">
        <v>179</v>
      </c>
      <c r="C1381">
        <f t="shared" si="112"/>
        <v>71</v>
      </c>
      <c r="D1381" t="str">
        <f t="shared" si="109"/>
        <v>GRENOBLE71</v>
      </c>
      <c r="E1381" t="s">
        <v>180</v>
      </c>
      <c r="F1381" t="str">
        <f t="shared" si="110"/>
        <v>GRENOBLE71</v>
      </c>
      <c r="G1381" t="s">
        <v>407</v>
      </c>
      <c r="I1381" s="16">
        <v>53.26</v>
      </c>
      <c r="J1381" s="16">
        <v>22.81</v>
      </c>
      <c r="K1381" s="16">
        <v>0</v>
      </c>
      <c r="L1381" s="159">
        <f t="shared" si="111"/>
        <v>0.42827638002253099</v>
      </c>
      <c r="M1381" s="159">
        <f t="shared" si="111"/>
        <v>0</v>
      </c>
    </row>
    <row r="1382" spans="2:13">
      <c r="B1382" t="s">
        <v>179</v>
      </c>
      <c r="C1382">
        <f t="shared" si="112"/>
        <v>72</v>
      </c>
      <c r="D1382" t="str">
        <f t="shared" si="109"/>
        <v>GRENOBLE72</v>
      </c>
      <c r="E1382" t="s">
        <v>180</v>
      </c>
      <c r="F1382" t="str">
        <f t="shared" si="110"/>
        <v>GRENOBLE72</v>
      </c>
      <c r="G1382" t="s">
        <v>375</v>
      </c>
      <c r="I1382" s="16">
        <v>51.7</v>
      </c>
      <c r="J1382" s="16">
        <v>3.59</v>
      </c>
      <c r="K1382" s="16">
        <v>0</v>
      </c>
      <c r="L1382" s="159">
        <f t="shared" si="111"/>
        <v>6.9439071566731139E-2</v>
      </c>
      <c r="M1382" s="159">
        <f t="shared" si="111"/>
        <v>0</v>
      </c>
    </row>
    <row r="1383" spans="2:13">
      <c r="B1383" t="s">
        <v>179</v>
      </c>
      <c r="C1383">
        <f t="shared" si="112"/>
        <v>73</v>
      </c>
      <c r="D1383" t="str">
        <f t="shared" si="109"/>
        <v>GRENOBLE73</v>
      </c>
      <c r="E1383" t="s">
        <v>180</v>
      </c>
      <c r="F1383" t="str">
        <f t="shared" si="110"/>
        <v>GRENOBLE73</v>
      </c>
      <c r="G1383" t="s">
        <v>245</v>
      </c>
      <c r="I1383" s="16">
        <v>51.37</v>
      </c>
      <c r="J1383" s="16">
        <v>0</v>
      </c>
      <c r="K1383" s="16">
        <v>45</v>
      </c>
      <c r="L1383" s="159">
        <f t="shared" si="111"/>
        <v>0</v>
      </c>
      <c r="M1383" s="159">
        <f t="shared" si="111"/>
        <v>0.87599766400622936</v>
      </c>
    </row>
    <row r="1384" spans="2:13">
      <c r="B1384" t="s">
        <v>179</v>
      </c>
      <c r="C1384">
        <f t="shared" si="112"/>
        <v>74</v>
      </c>
      <c r="D1384" t="str">
        <f t="shared" si="109"/>
        <v>GRENOBLE74</v>
      </c>
      <c r="E1384" t="s">
        <v>180</v>
      </c>
      <c r="F1384" t="str">
        <f t="shared" si="110"/>
        <v>GRENOBLE74</v>
      </c>
      <c r="G1384" t="s">
        <v>268</v>
      </c>
      <c r="H1384" t="s">
        <v>269</v>
      </c>
      <c r="I1384" s="16">
        <v>49.85</v>
      </c>
      <c r="J1384" s="16">
        <v>11.55</v>
      </c>
      <c r="K1384" s="16">
        <v>23.47</v>
      </c>
      <c r="L1384" s="159">
        <f t="shared" si="111"/>
        <v>0.23169508525576732</v>
      </c>
      <c r="M1384" s="159">
        <f t="shared" si="111"/>
        <v>0.47081243731193578</v>
      </c>
    </row>
    <row r="1385" spans="2:13">
      <c r="B1385" t="s">
        <v>179</v>
      </c>
      <c r="C1385">
        <f t="shared" si="112"/>
        <v>75</v>
      </c>
      <c r="D1385" t="str">
        <f t="shared" si="109"/>
        <v>GRENOBLE75</v>
      </c>
      <c r="E1385" t="s">
        <v>180</v>
      </c>
      <c r="F1385" t="str">
        <f t="shared" si="110"/>
        <v>GRENOBLE75</v>
      </c>
      <c r="G1385" t="s">
        <v>321</v>
      </c>
      <c r="I1385" s="16">
        <v>49.8</v>
      </c>
      <c r="J1385" s="16">
        <v>20.93</v>
      </c>
      <c r="K1385" s="16">
        <v>0</v>
      </c>
      <c r="L1385" s="159">
        <f t="shared" si="111"/>
        <v>0.42028112449799199</v>
      </c>
      <c r="M1385" s="159">
        <f t="shared" si="111"/>
        <v>0</v>
      </c>
    </row>
    <row r="1386" spans="2:13">
      <c r="B1386" t="s">
        <v>179</v>
      </c>
      <c r="C1386">
        <f t="shared" si="112"/>
        <v>76</v>
      </c>
      <c r="D1386" t="str">
        <f t="shared" si="109"/>
        <v>GRENOBLE76</v>
      </c>
      <c r="E1386" t="s">
        <v>180</v>
      </c>
      <c r="F1386" t="str">
        <f t="shared" si="110"/>
        <v>GRENOBLE76</v>
      </c>
      <c r="G1386" t="s">
        <v>316</v>
      </c>
      <c r="H1386" t="s">
        <v>317</v>
      </c>
      <c r="I1386" s="16">
        <v>48.73</v>
      </c>
      <c r="J1386" s="16">
        <v>13.74</v>
      </c>
      <c r="K1386" s="16">
        <v>8.51</v>
      </c>
      <c r="L1386" s="159">
        <f t="shared" si="111"/>
        <v>0.28196183049456192</v>
      </c>
      <c r="M1386" s="159">
        <f t="shared" si="111"/>
        <v>0.17463574799917916</v>
      </c>
    </row>
    <row r="1387" spans="2:13">
      <c r="B1387" t="s">
        <v>179</v>
      </c>
      <c r="C1387">
        <f t="shared" si="112"/>
        <v>77</v>
      </c>
      <c r="D1387" t="str">
        <f t="shared" si="109"/>
        <v>GRENOBLE77</v>
      </c>
      <c r="E1387" t="s">
        <v>180</v>
      </c>
      <c r="F1387" t="str">
        <f t="shared" si="110"/>
        <v>GRENOBLE77</v>
      </c>
      <c r="G1387" t="s">
        <v>347</v>
      </c>
      <c r="I1387" s="16">
        <v>47.93</v>
      </c>
      <c r="J1387" s="16">
        <v>12.13</v>
      </c>
      <c r="K1387" s="16">
        <v>0</v>
      </c>
      <c r="L1387" s="159">
        <f t="shared" si="111"/>
        <v>0.25307740454829963</v>
      </c>
      <c r="M1387" s="159">
        <f t="shared" si="111"/>
        <v>0</v>
      </c>
    </row>
    <row r="1388" spans="2:13">
      <c r="B1388" t="s">
        <v>179</v>
      </c>
      <c r="C1388">
        <f t="shared" si="112"/>
        <v>78</v>
      </c>
      <c r="D1388" t="str">
        <f t="shared" si="109"/>
        <v>GRENOBLE78</v>
      </c>
      <c r="E1388" t="s">
        <v>180</v>
      </c>
      <c r="F1388" t="str">
        <f t="shared" si="110"/>
        <v>GRENOBLE78</v>
      </c>
      <c r="G1388" t="s">
        <v>437</v>
      </c>
      <c r="I1388" s="16">
        <v>47.27</v>
      </c>
      <c r="J1388" s="16">
        <v>27.27</v>
      </c>
      <c r="K1388" s="16">
        <v>27.27</v>
      </c>
      <c r="L1388" s="159">
        <f t="shared" si="111"/>
        <v>0.57689866723080174</v>
      </c>
      <c r="M1388" s="159">
        <f t="shared" si="111"/>
        <v>0.57689866723080174</v>
      </c>
    </row>
    <row r="1389" spans="2:13">
      <c r="B1389" t="s">
        <v>179</v>
      </c>
      <c r="C1389">
        <f t="shared" si="112"/>
        <v>79</v>
      </c>
      <c r="D1389" t="str">
        <f t="shared" si="109"/>
        <v>GRENOBLE79</v>
      </c>
      <c r="E1389" t="s">
        <v>180</v>
      </c>
      <c r="F1389" t="str">
        <f t="shared" si="110"/>
        <v>GRENOBLE79</v>
      </c>
      <c r="G1389" t="s">
        <v>270</v>
      </c>
      <c r="I1389" s="16">
        <v>47.17</v>
      </c>
      <c r="J1389" s="16">
        <v>33.78</v>
      </c>
      <c r="K1389" s="16">
        <v>0</v>
      </c>
      <c r="L1389" s="159">
        <f t="shared" si="111"/>
        <v>0.71613313546745816</v>
      </c>
      <c r="M1389" s="159">
        <f t="shared" si="111"/>
        <v>0</v>
      </c>
    </row>
    <row r="1390" spans="2:13">
      <c r="B1390" t="s">
        <v>179</v>
      </c>
      <c r="C1390">
        <f t="shared" si="112"/>
        <v>80</v>
      </c>
      <c r="D1390" t="str">
        <f t="shared" si="109"/>
        <v>GRENOBLE80</v>
      </c>
      <c r="E1390" t="s">
        <v>180</v>
      </c>
      <c r="F1390" t="str">
        <f t="shared" si="110"/>
        <v>GRENOBLE80</v>
      </c>
      <c r="G1390" t="s">
        <v>327</v>
      </c>
      <c r="H1390" t="s">
        <v>1799</v>
      </c>
      <c r="I1390" s="16">
        <v>46.8</v>
      </c>
      <c r="J1390" s="16">
        <v>33.06</v>
      </c>
      <c r="K1390" s="16">
        <v>20.61</v>
      </c>
      <c r="L1390" s="159">
        <f t="shared" si="111"/>
        <v>0.70641025641025645</v>
      </c>
      <c r="M1390" s="159">
        <f t="shared" si="111"/>
        <v>0.44038461538461537</v>
      </c>
    </row>
    <row r="1391" spans="2:13">
      <c r="B1391" t="s">
        <v>179</v>
      </c>
      <c r="C1391">
        <f t="shared" si="112"/>
        <v>81</v>
      </c>
      <c r="D1391" t="str">
        <f t="shared" si="109"/>
        <v>GRENOBLE81</v>
      </c>
      <c r="E1391" t="s">
        <v>180</v>
      </c>
      <c r="F1391" t="str">
        <f t="shared" si="110"/>
        <v>GRENOBLE81</v>
      </c>
      <c r="G1391" t="s">
        <v>320</v>
      </c>
      <c r="I1391" s="16">
        <v>46.62</v>
      </c>
      <c r="J1391" s="16">
        <v>12.28</v>
      </c>
      <c r="K1391" s="16">
        <v>14.73</v>
      </c>
      <c r="L1391" s="159">
        <f t="shared" si="111"/>
        <v>0.26340626340626339</v>
      </c>
      <c r="M1391" s="159">
        <f t="shared" si="111"/>
        <v>0.31595881595881598</v>
      </c>
    </row>
    <row r="1392" spans="2:13">
      <c r="B1392" t="s">
        <v>179</v>
      </c>
      <c r="C1392">
        <f t="shared" si="112"/>
        <v>82</v>
      </c>
      <c r="D1392" t="str">
        <f t="shared" si="109"/>
        <v>GRENOBLE82</v>
      </c>
      <c r="E1392" t="s">
        <v>180</v>
      </c>
      <c r="F1392" t="str">
        <f t="shared" si="110"/>
        <v>GRENOBLE82</v>
      </c>
      <c r="G1392" t="s">
        <v>360</v>
      </c>
      <c r="I1392" s="16">
        <v>46.07</v>
      </c>
      <c r="J1392" s="16">
        <v>34.86</v>
      </c>
      <c r="K1392" s="16">
        <v>34.729999999999997</v>
      </c>
      <c r="L1392" s="159">
        <f t="shared" si="111"/>
        <v>0.75667462556978504</v>
      </c>
      <c r="M1392" s="159">
        <f t="shared" si="111"/>
        <v>0.75385283264597347</v>
      </c>
    </row>
    <row r="1393" spans="2:13">
      <c r="B1393" t="s">
        <v>179</v>
      </c>
      <c r="C1393">
        <f t="shared" si="112"/>
        <v>83</v>
      </c>
      <c r="D1393" t="str">
        <f t="shared" si="109"/>
        <v>GRENOBLE83</v>
      </c>
      <c r="E1393" t="s">
        <v>180</v>
      </c>
      <c r="F1393" t="str">
        <f t="shared" si="110"/>
        <v>GRENOBLE83</v>
      </c>
      <c r="G1393" t="s">
        <v>257</v>
      </c>
      <c r="I1393" s="16">
        <v>43.09</v>
      </c>
      <c r="J1393" s="16">
        <v>12.74</v>
      </c>
      <c r="K1393" s="16">
        <v>0</v>
      </c>
      <c r="L1393" s="159">
        <f t="shared" si="111"/>
        <v>0.29566024599675095</v>
      </c>
      <c r="M1393" s="159">
        <f t="shared" si="111"/>
        <v>0</v>
      </c>
    </row>
    <row r="1394" spans="2:13">
      <c r="B1394" t="s">
        <v>179</v>
      </c>
      <c r="C1394">
        <f t="shared" si="112"/>
        <v>84</v>
      </c>
      <c r="D1394" t="str">
        <f t="shared" si="109"/>
        <v>GRENOBLE84</v>
      </c>
      <c r="E1394" t="s">
        <v>180</v>
      </c>
      <c r="F1394" t="str">
        <f t="shared" si="110"/>
        <v>GRENOBLE84</v>
      </c>
      <c r="G1394" t="s">
        <v>328</v>
      </c>
      <c r="H1394" t="s">
        <v>939</v>
      </c>
      <c r="I1394" s="16">
        <v>42.01</v>
      </c>
      <c r="J1394" s="16">
        <v>10.88</v>
      </c>
      <c r="K1394" s="16">
        <v>0</v>
      </c>
      <c r="L1394" s="159">
        <f t="shared" si="111"/>
        <v>0.25898595572482747</v>
      </c>
      <c r="M1394" s="159">
        <f t="shared" si="111"/>
        <v>0</v>
      </c>
    </row>
    <row r="1395" spans="2:13">
      <c r="B1395" t="s">
        <v>179</v>
      </c>
      <c r="C1395">
        <f t="shared" si="112"/>
        <v>85</v>
      </c>
      <c r="D1395" t="str">
        <f t="shared" si="109"/>
        <v>GRENOBLE85</v>
      </c>
      <c r="E1395" t="s">
        <v>180</v>
      </c>
      <c r="F1395" t="str">
        <f t="shared" si="110"/>
        <v>GRENOBLE85</v>
      </c>
      <c r="G1395" t="s">
        <v>312</v>
      </c>
      <c r="I1395" s="16">
        <v>40.74</v>
      </c>
      <c r="J1395" s="16">
        <v>16.37</v>
      </c>
      <c r="K1395" s="16">
        <v>1</v>
      </c>
      <c r="L1395" s="159">
        <f t="shared" si="111"/>
        <v>0.4018163966617575</v>
      </c>
      <c r="M1395" s="159">
        <f t="shared" si="111"/>
        <v>2.4545900834560628E-2</v>
      </c>
    </row>
    <row r="1396" spans="2:13">
      <c r="B1396" t="s">
        <v>179</v>
      </c>
      <c r="C1396">
        <f t="shared" si="112"/>
        <v>86</v>
      </c>
      <c r="D1396" t="str">
        <f t="shared" si="109"/>
        <v>GRENOBLE86</v>
      </c>
      <c r="E1396" t="s">
        <v>180</v>
      </c>
      <c r="F1396" t="str">
        <f t="shared" si="110"/>
        <v>GRENOBLE86</v>
      </c>
      <c r="G1396" t="s">
        <v>362</v>
      </c>
      <c r="H1396" t="s">
        <v>943</v>
      </c>
      <c r="I1396" s="16">
        <v>37.67</v>
      </c>
      <c r="J1396" s="16">
        <v>11.33</v>
      </c>
      <c r="K1396" s="16">
        <v>0</v>
      </c>
      <c r="L1396" s="159">
        <f t="shared" si="111"/>
        <v>0.30076984337669233</v>
      </c>
      <c r="M1396" s="159">
        <f t="shared" si="111"/>
        <v>0</v>
      </c>
    </row>
    <row r="1397" spans="2:13">
      <c r="B1397" t="s">
        <v>179</v>
      </c>
      <c r="C1397">
        <f t="shared" si="112"/>
        <v>87</v>
      </c>
      <c r="D1397" t="str">
        <f t="shared" si="109"/>
        <v>GRENOBLE87</v>
      </c>
      <c r="E1397" t="s">
        <v>180</v>
      </c>
      <c r="F1397" t="str">
        <f t="shared" si="110"/>
        <v>GRENOBLE87</v>
      </c>
      <c r="G1397" t="s">
        <v>310</v>
      </c>
      <c r="I1397" s="16">
        <v>36.93</v>
      </c>
      <c r="J1397" s="16">
        <v>4.4400000000000004</v>
      </c>
      <c r="K1397" s="16">
        <v>25.19</v>
      </c>
      <c r="L1397" s="159">
        <f t="shared" si="111"/>
        <v>0.12022745735174656</v>
      </c>
      <c r="M1397" s="159">
        <f t="shared" si="111"/>
        <v>0.68210127267803955</v>
      </c>
    </row>
    <row r="1398" spans="2:13">
      <c r="B1398" t="s">
        <v>179</v>
      </c>
      <c r="C1398">
        <f t="shared" si="112"/>
        <v>88</v>
      </c>
      <c r="D1398" t="str">
        <f t="shared" si="109"/>
        <v>GRENOBLE88</v>
      </c>
      <c r="E1398" t="s">
        <v>180</v>
      </c>
      <c r="F1398" t="str">
        <f t="shared" si="110"/>
        <v>GRENOBLE88</v>
      </c>
      <c r="G1398" t="s">
        <v>397</v>
      </c>
      <c r="I1398" s="16">
        <v>36.659999999999997</v>
      </c>
      <c r="J1398" s="16">
        <v>20.18</v>
      </c>
      <c r="K1398" s="16">
        <v>0</v>
      </c>
      <c r="L1398" s="159">
        <f t="shared" si="111"/>
        <v>0.55046372067648663</v>
      </c>
      <c r="M1398" s="159">
        <f t="shared" si="111"/>
        <v>0</v>
      </c>
    </row>
    <row r="1399" spans="2:13">
      <c r="B1399" t="s">
        <v>179</v>
      </c>
      <c r="C1399">
        <f t="shared" si="112"/>
        <v>89</v>
      </c>
      <c r="D1399" t="str">
        <f t="shared" si="109"/>
        <v>GRENOBLE89</v>
      </c>
      <c r="E1399" t="s">
        <v>180</v>
      </c>
      <c r="F1399" t="str">
        <f t="shared" si="110"/>
        <v>GRENOBLE89</v>
      </c>
      <c r="G1399" t="s">
        <v>293</v>
      </c>
      <c r="I1399" s="16">
        <v>36.590000000000003</v>
      </c>
      <c r="J1399" s="16">
        <v>29.15</v>
      </c>
      <c r="K1399" s="16">
        <v>0</v>
      </c>
      <c r="L1399" s="159">
        <f t="shared" si="111"/>
        <v>0.79666575567094822</v>
      </c>
      <c r="M1399" s="159">
        <f t="shared" si="111"/>
        <v>0</v>
      </c>
    </row>
    <row r="1400" spans="2:13">
      <c r="B1400" t="s">
        <v>179</v>
      </c>
      <c r="C1400">
        <f t="shared" si="112"/>
        <v>90</v>
      </c>
      <c r="D1400" t="str">
        <f t="shared" si="109"/>
        <v>GRENOBLE90</v>
      </c>
      <c r="E1400" t="s">
        <v>180</v>
      </c>
      <c r="F1400" t="str">
        <f t="shared" si="110"/>
        <v>GRENOBLE90</v>
      </c>
      <c r="G1400" t="s">
        <v>277</v>
      </c>
      <c r="I1400" s="16">
        <v>36.450000000000003</v>
      </c>
      <c r="J1400" s="16">
        <v>0</v>
      </c>
      <c r="K1400" s="16">
        <v>0</v>
      </c>
      <c r="L1400" s="159">
        <f t="shared" si="111"/>
        <v>0</v>
      </c>
      <c r="M1400" s="159">
        <f t="shared" si="111"/>
        <v>0</v>
      </c>
    </row>
    <row r="1401" spans="2:13">
      <c r="B1401" t="s">
        <v>179</v>
      </c>
      <c r="C1401">
        <f t="shared" si="112"/>
        <v>91</v>
      </c>
      <c r="D1401" t="str">
        <f t="shared" si="109"/>
        <v>GRENOBLE91</v>
      </c>
      <c r="E1401" t="s">
        <v>180</v>
      </c>
      <c r="F1401" t="str">
        <f t="shared" si="110"/>
        <v>GRENOBLE91</v>
      </c>
      <c r="G1401" t="s">
        <v>349</v>
      </c>
      <c r="I1401" s="16">
        <v>36.18</v>
      </c>
      <c r="J1401" s="16">
        <v>3.51</v>
      </c>
      <c r="K1401" s="16">
        <v>0</v>
      </c>
      <c r="L1401" s="159">
        <f t="shared" si="111"/>
        <v>9.7014925373134317E-2</v>
      </c>
      <c r="M1401" s="159">
        <f t="shared" si="111"/>
        <v>0</v>
      </c>
    </row>
    <row r="1402" spans="2:13">
      <c r="B1402" t="s">
        <v>179</v>
      </c>
      <c r="C1402">
        <f t="shared" si="112"/>
        <v>92</v>
      </c>
      <c r="D1402" t="str">
        <f t="shared" si="109"/>
        <v>GRENOBLE92</v>
      </c>
      <c r="E1402" t="s">
        <v>180</v>
      </c>
      <c r="F1402" t="str">
        <f t="shared" si="110"/>
        <v>GRENOBLE92</v>
      </c>
      <c r="G1402" t="s">
        <v>436</v>
      </c>
      <c r="I1402" s="16">
        <v>35.630000000000003</v>
      </c>
      <c r="J1402" s="16">
        <v>35.630000000000003</v>
      </c>
      <c r="K1402" s="16">
        <v>0</v>
      </c>
      <c r="L1402" s="159">
        <f t="shared" si="111"/>
        <v>1</v>
      </c>
      <c r="M1402" s="159">
        <f t="shared" si="111"/>
        <v>0</v>
      </c>
    </row>
    <row r="1403" spans="2:13">
      <c r="B1403" t="s">
        <v>179</v>
      </c>
      <c r="C1403">
        <f t="shared" si="112"/>
        <v>93</v>
      </c>
      <c r="D1403" t="str">
        <f t="shared" si="109"/>
        <v>GRENOBLE93</v>
      </c>
      <c r="E1403" t="s">
        <v>180</v>
      </c>
      <c r="F1403" t="str">
        <f t="shared" si="110"/>
        <v>GRENOBLE93</v>
      </c>
      <c r="G1403" t="s">
        <v>283</v>
      </c>
      <c r="I1403" s="16">
        <v>34.729999999999997</v>
      </c>
      <c r="J1403" s="16">
        <v>0</v>
      </c>
      <c r="K1403" s="16">
        <v>5</v>
      </c>
      <c r="L1403" s="159">
        <f t="shared" si="111"/>
        <v>0</v>
      </c>
      <c r="M1403" s="159">
        <f t="shared" si="111"/>
        <v>0.1439677512237259</v>
      </c>
    </row>
    <row r="1404" spans="2:13">
      <c r="B1404" t="s">
        <v>179</v>
      </c>
      <c r="C1404">
        <f t="shared" si="112"/>
        <v>94</v>
      </c>
      <c r="D1404" t="str">
        <f t="shared" si="109"/>
        <v>GRENOBLE94</v>
      </c>
      <c r="E1404" t="s">
        <v>180</v>
      </c>
      <c r="F1404" t="str">
        <f t="shared" si="110"/>
        <v>GRENOBLE94</v>
      </c>
      <c r="G1404" t="s">
        <v>379</v>
      </c>
      <c r="H1404" t="s">
        <v>944</v>
      </c>
      <c r="I1404" s="16">
        <v>34.31</v>
      </c>
      <c r="J1404" s="16">
        <v>0</v>
      </c>
      <c r="K1404" s="16">
        <v>0</v>
      </c>
      <c r="L1404" s="159">
        <f t="shared" si="111"/>
        <v>0</v>
      </c>
      <c r="M1404" s="159">
        <f t="shared" si="111"/>
        <v>0</v>
      </c>
    </row>
    <row r="1405" spans="2:13">
      <c r="B1405" t="s">
        <v>179</v>
      </c>
      <c r="C1405">
        <f t="shared" si="112"/>
        <v>95</v>
      </c>
      <c r="D1405" t="str">
        <f t="shared" si="109"/>
        <v>GRENOBLE95</v>
      </c>
      <c r="E1405" t="s">
        <v>180</v>
      </c>
      <c r="F1405" t="str">
        <f t="shared" si="110"/>
        <v>GRENOBLE95</v>
      </c>
      <c r="G1405" t="s">
        <v>435</v>
      </c>
      <c r="I1405" s="16">
        <v>33.729999999999997</v>
      </c>
      <c r="J1405" s="16">
        <v>8.16</v>
      </c>
      <c r="K1405" s="16">
        <v>0</v>
      </c>
      <c r="L1405" s="159">
        <f t="shared" si="111"/>
        <v>0.24192113845241628</v>
      </c>
      <c r="M1405" s="159">
        <f t="shared" si="111"/>
        <v>0</v>
      </c>
    </row>
    <row r="1406" spans="2:13">
      <c r="B1406" t="s">
        <v>179</v>
      </c>
      <c r="C1406">
        <f t="shared" si="112"/>
        <v>96</v>
      </c>
      <c r="D1406" t="str">
        <f t="shared" si="109"/>
        <v>GRENOBLE96</v>
      </c>
      <c r="E1406" t="s">
        <v>180</v>
      </c>
      <c r="F1406" t="str">
        <f t="shared" si="110"/>
        <v>GRENOBLE96</v>
      </c>
      <c r="G1406" t="s">
        <v>295</v>
      </c>
      <c r="I1406" s="16">
        <v>33.32</v>
      </c>
      <c r="J1406" s="16">
        <v>9.42</v>
      </c>
      <c r="K1406" s="16">
        <v>33.32</v>
      </c>
      <c r="L1406" s="159">
        <f t="shared" si="111"/>
        <v>0.28271308523409361</v>
      </c>
      <c r="M1406" s="159">
        <f t="shared" si="111"/>
        <v>1</v>
      </c>
    </row>
    <row r="1407" spans="2:13">
      <c r="B1407" t="s">
        <v>179</v>
      </c>
      <c r="C1407">
        <f t="shared" ref="C1407:C1438" si="113">RANK(I1407,$I$1310:$I$1482,0)</f>
        <v>97</v>
      </c>
      <c r="D1407" t="str">
        <f t="shared" si="109"/>
        <v>GRENOBLE97</v>
      </c>
      <c r="E1407" t="s">
        <v>180</v>
      </c>
      <c r="F1407" t="str">
        <f t="shared" si="110"/>
        <v>GRENOBLE97</v>
      </c>
      <c r="G1407" t="s">
        <v>411</v>
      </c>
      <c r="I1407" s="16">
        <v>33.28</v>
      </c>
      <c r="J1407" s="16">
        <v>33.28</v>
      </c>
      <c r="K1407" s="16">
        <v>0</v>
      </c>
      <c r="L1407" s="159">
        <f t="shared" si="111"/>
        <v>1</v>
      </c>
      <c r="M1407" s="159">
        <f t="shared" si="111"/>
        <v>0</v>
      </c>
    </row>
    <row r="1408" spans="2:13">
      <c r="B1408" t="s">
        <v>179</v>
      </c>
      <c r="C1408">
        <f t="shared" si="113"/>
        <v>98</v>
      </c>
      <c r="D1408" t="str">
        <f t="shared" si="109"/>
        <v>GRENOBLE98</v>
      </c>
      <c r="E1408" t="s">
        <v>180</v>
      </c>
      <c r="F1408" t="str">
        <f t="shared" si="110"/>
        <v>GRENOBLE98</v>
      </c>
      <c r="G1408" t="s">
        <v>423</v>
      </c>
      <c r="I1408" s="16">
        <v>33.229999999999997</v>
      </c>
      <c r="J1408" s="16">
        <v>0</v>
      </c>
      <c r="K1408" s="16">
        <v>33.229999999999997</v>
      </c>
      <c r="L1408" s="159">
        <f t="shared" si="111"/>
        <v>0</v>
      </c>
      <c r="M1408" s="159">
        <f t="shared" si="111"/>
        <v>1</v>
      </c>
    </row>
    <row r="1409" spans="2:13">
      <c r="B1409" t="s">
        <v>179</v>
      </c>
      <c r="C1409">
        <f t="shared" si="113"/>
        <v>99</v>
      </c>
      <c r="D1409" t="str">
        <f t="shared" si="109"/>
        <v>GRENOBLE99</v>
      </c>
      <c r="E1409" t="s">
        <v>180</v>
      </c>
      <c r="F1409" t="str">
        <f t="shared" si="110"/>
        <v>GRENOBLE99</v>
      </c>
      <c r="G1409" t="s">
        <v>306</v>
      </c>
      <c r="H1409" t="s">
        <v>307</v>
      </c>
      <c r="I1409" s="16">
        <v>32.08</v>
      </c>
      <c r="J1409" s="16">
        <v>6.62</v>
      </c>
      <c r="K1409" s="16">
        <v>0</v>
      </c>
      <c r="L1409" s="159">
        <f t="shared" si="111"/>
        <v>0.20635910224438905</v>
      </c>
      <c r="M1409" s="159">
        <f t="shared" si="111"/>
        <v>0</v>
      </c>
    </row>
    <row r="1410" spans="2:13">
      <c r="B1410" t="s">
        <v>179</v>
      </c>
      <c r="C1410">
        <f t="shared" si="113"/>
        <v>100</v>
      </c>
      <c r="D1410" t="str">
        <f t="shared" ref="D1410:D1473" si="114">CONCATENATE(E1410,C1410)</f>
        <v>GRENOBLE100</v>
      </c>
      <c r="E1410" t="s">
        <v>180</v>
      </c>
      <c r="F1410" t="str">
        <f t="shared" si="110"/>
        <v>GRENOBLE100</v>
      </c>
      <c r="G1410" t="s">
        <v>279</v>
      </c>
      <c r="I1410" s="16">
        <v>29.5</v>
      </c>
      <c r="J1410" s="16">
        <v>16.29</v>
      </c>
      <c r="K1410" s="16">
        <v>0</v>
      </c>
      <c r="L1410" s="159">
        <f t="shared" si="111"/>
        <v>0.55220338983050843</v>
      </c>
      <c r="M1410" s="159">
        <f t="shared" si="111"/>
        <v>0</v>
      </c>
    </row>
    <row r="1411" spans="2:13">
      <c r="B1411" t="s">
        <v>179</v>
      </c>
      <c r="C1411">
        <f t="shared" si="113"/>
        <v>101</v>
      </c>
      <c r="D1411" t="str">
        <f t="shared" si="114"/>
        <v>GRENOBLE101</v>
      </c>
      <c r="E1411" t="s">
        <v>180</v>
      </c>
      <c r="F1411" t="str">
        <f t="shared" ref="F1411:F1474" si="115">D1411</f>
        <v>GRENOBLE101</v>
      </c>
      <c r="G1411" t="s">
        <v>393</v>
      </c>
      <c r="I1411" s="16">
        <v>29.44</v>
      </c>
      <c r="J1411" s="16">
        <v>26.49</v>
      </c>
      <c r="K1411" s="16">
        <v>7.02</v>
      </c>
      <c r="L1411" s="159">
        <f t="shared" ref="L1411:M1474" si="116">J1411/$I1411</f>
        <v>0.89979619565217384</v>
      </c>
      <c r="M1411" s="159">
        <f t="shared" si="116"/>
        <v>0.2384510869565217</v>
      </c>
    </row>
    <row r="1412" spans="2:13">
      <c r="B1412" t="s">
        <v>179</v>
      </c>
      <c r="C1412">
        <f t="shared" si="113"/>
        <v>102</v>
      </c>
      <c r="D1412" t="str">
        <f t="shared" si="114"/>
        <v>GRENOBLE102</v>
      </c>
      <c r="E1412" t="s">
        <v>180</v>
      </c>
      <c r="F1412" t="str">
        <f t="shared" si="115"/>
        <v>GRENOBLE102</v>
      </c>
      <c r="G1412" t="s">
        <v>285</v>
      </c>
      <c r="H1412" t="s">
        <v>286</v>
      </c>
      <c r="I1412" s="16">
        <v>29.12</v>
      </c>
      <c r="J1412" s="16">
        <v>6.87</v>
      </c>
      <c r="K1412" s="16">
        <v>20.61</v>
      </c>
      <c r="L1412" s="159">
        <f t="shared" si="116"/>
        <v>0.23592032967032966</v>
      </c>
      <c r="M1412" s="159">
        <f t="shared" si="116"/>
        <v>0.70776098901098894</v>
      </c>
    </row>
    <row r="1413" spans="2:13">
      <c r="B1413" t="s">
        <v>179</v>
      </c>
      <c r="C1413">
        <f t="shared" si="113"/>
        <v>102</v>
      </c>
      <c r="D1413" t="str">
        <f t="shared" si="114"/>
        <v>GRENOBLE102</v>
      </c>
      <c r="E1413" t="s">
        <v>180</v>
      </c>
      <c r="F1413" t="str">
        <f t="shared" si="115"/>
        <v>GRENOBLE102</v>
      </c>
      <c r="G1413" t="s">
        <v>274</v>
      </c>
      <c r="H1413" t="s">
        <v>275</v>
      </c>
      <c r="I1413" s="16">
        <v>29.12</v>
      </c>
      <c r="J1413" s="16">
        <v>0</v>
      </c>
      <c r="K1413" s="16">
        <v>0</v>
      </c>
      <c r="L1413" s="159">
        <f t="shared" si="116"/>
        <v>0</v>
      </c>
      <c r="M1413" s="159">
        <f t="shared" si="116"/>
        <v>0</v>
      </c>
    </row>
    <row r="1414" spans="2:13">
      <c r="B1414" t="s">
        <v>179</v>
      </c>
      <c r="C1414">
        <f t="shared" si="113"/>
        <v>104</v>
      </c>
      <c r="D1414" t="str">
        <f t="shared" si="114"/>
        <v>GRENOBLE104</v>
      </c>
      <c r="E1414" t="s">
        <v>180</v>
      </c>
      <c r="F1414" t="str">
        <f t="shared" si="115"/>
        <v>GRENOBLE104</v>
      </c>
      <c r="G1414" t="s">
        <v>421</v>
      </c>
      <c r="I1414" s="16">
        <v>29.11</v>
      </c>
      <c r="J1414" s="16">
        <v>13.27</v>
      </c>
      <c r="K1414" s="16">
        <v>15.92</v>
      </c>
      <c r="L1414" s="159">
        <f t="shared" si="116"/>
        <v>0.4558570937822054</v>
      </c>
      <c r="M1414" s="159">
        <f t="shared" si="116"/>
        <v>0.546891102713844</v>
      </c>
    </row>
    <row r="1415" spans="2:13">
      <c r="B1415" t="s">
        <v>179</v>
      </c>
      <c r="C1415">
        <f t="shared" si="113"/>
        <v>105</v>
      </c>
      <c r="D1415" t="str">
        <f t="shared" si="114"/>
        <v>GRENOBLE105</v>
      </c>
      <c r="E1415" t="s">
        <v>180</v>
      </c>
      <c r="F1415" t="str">
        <f t="shared" si="115"/>
        <v>GRENOBLE105</v>
      </c>
      <c r="G1415" t="s">
        <v>346</v>
      </c>
      <c r="I1415" s="16">
        <v>28.72</v>
      </c>
      <c r="J1415" s="16">
        <v>28.72</v>
      </c>
      <c r="K1415" s="16">
        <v>0</v>
      </c>
      <c r="L1415" s="159">
        <f t="shared" si="116"/>
        <v>1</v>
      </c>
      <c r="M1415" s="159">
        <f t="shared" si="116"/>
        <v>0</v>
      </c>
    </row>
    <row r="1416" spans="2:13">
      <c r="B1416" t="s">
        <v>179</v>
      </c>
      <c r="C1416">
        <f t="shared" si="113"/>
        <v>106</v>
      </c>
      <c r="D1416" t="str">
        <f t="shared" si="114"/>
        <v>GRENOBLE106</v>
      </c>
      <c r="E1416" t="s">
        <v>180</v>
      </c>
      <c r="F1416" t="str">
        <f t="shared" si="115"/>
        <v>GRENOBLE106</v>
      </c>
      <c r="G1416" t="s">
        <v>405</v>
      </c>
      <c r="I1416" s="16">
        <v>28.27</v>
      </c>
      <c r="J1416" s="16">
        <v>28.27</v>
      </c>
      <c r="K1416" s="16">
        <v>0</v>
      </c>
      <c r="L1416" s="159">
        <f t="shared" si="116"/>
        <v>1</v>
      </c>
      <c r="M1416" s="159">
        <f t="shared" si="116"/>
        <v>0</v>
      </c>
    </row>
    <row r="1417" spans="2:13">
      <c r="B1417" t="s">
        <v>179</v>
      </c>
      <c r="C1417">
        <f t="shared" si="113"/>
        <v>107</v>
      </c>
      <c r="D1417" t="str">
        <f t="shared" si="114"/>
        <v>GRENOBLE107</v>
      </c>
      <c r="E1417" t="s">
        <v>180</v>
      </c>
      <c r="F1417" t="str">
        <f t="shared" si="115"/>
        <v>GRENOBLE107</v>
      </c>
      <c r="G1417" t="s">
        <v>318</v>
      </c>
      <c r="I1417" s="16">
        <v>26.88</v>
      </c>
      <c r="J1417" s="16">
        <v>23.61</v>
      </c>
      <c r="K1417" s="16">
        <v>0</v>
      </c>
      <c r="L1417" s="159">
        <f t="shared" si="116"/>
        <v>0.8783482142857143</v>
      </c>
      <c r="M1417" s="159">
        <f t="shared" si="116"/>
        <v>0</v>
      </c>
    </row>
    <row r="1418" spans="2:13">
      <c r="B1418" t="s">
        <v>179</v>
      </c>
      <c r="C1418">
        <f t="shared" si="113"/>
        <v>108</v>
      </c>
      <c r="D1418" t="str">
        <f t="shared" si="114"/>
        <v>GRENOBLE108</v>
      </c>
      <c r="E1418" t="s">
        <v>180</v>
      </c>
      <c r="F1418" t="str">
        <f t="shared" si="115"/>
        <v>GRENOBLE108</v>
      </c>
      <c r="G1418" t="s">
        <v>255</v>
      </c>
      <c r="H1418" t="s">
        <v>256</v>
      </c>
      <c r="I1418" s="16">
        <v>26.82</v>
      </c>
      <c r="J1418" s="16">
        <v>0</v>
      </c>
      <c r="K1418" s="16">
        <v>9.82</v>
      </c>
      <c r="L1418" s="159">
        <f t="shared" si="116"/>
        <v>0</v>
      </c>
      <c r="M1418" s="159">
        <f t="shared" si="116"/>
        <v>0.36614466815809099</v>
      </c>
    </row>
    <row r="1419" spans="2:13">
      <c r="B1419" t="s">
        <v>179</v>
      </c>
      <c r="C1419">
        <f t="shared" si="113"/>
        <v>109</v>
      </c>
      <c r="D1419" t="str">
        <f t="shared" si="114"/>
        <v>GRENOBLE109</v>
      </c>
      <c r="E1419" t="s">
        <v>180</v>
      </c>
      <c r="F1419" t="str">
        <f t="shared" si="115"/>
        <v>GRENOBLE109</v>
      </c>
      <c r="G1419" t="s">
        <v>372</v>
      </c>
      <c r="I1419" s="16">
        <v>25.63</v>
      </c>
      <c r="J1419" s="16">
        <v>5.5</v>
      </c>
      <c r="K1419" s="16">
        <v>0</v>
      </c>
      <c r="L1419" s="159">
        <f t="shared" si="116"/>
        <v>0.21459227467811159</v>
      </c>
      <c r="M1419" s="159">
        <f t="shared" si="116"/>
        <v>0</v>
      </c>
    </row>
    <row r="1420" spans="2:13">
      <c r="B1420" t="s">
        <v>179</v>
      </c>
      <c r="C1420">
        <f t="shared" si="113"/>
        <v>110</v>
      </c>
      <c r="D1420" t="str">
        <f t="shared" si="114"/>
        <v>GRENOBLE110</v>
      </c>
      <c r="E1420" t="s">
        <v>180</v>
      </c>
      <c r="F1420" t="str">
        <f t="shared" si="115"/>
        <v>GRENOBLE110</v>
      </c>
      <c r="G1420" t="s">
        <v>244</v>
      </c>
      <c r="I1420" s="16">
        <v>25.56</v>
      </c>
      <c r="J1420" s="16">
        <v>0</v>
      </c>
      <c r="K1420" s="16">
        <v>0</v>
      </c>
      <c r="L1420" s="159">
        <f t="shared" si="116"/>
        <v>0</v>
      </c>
      <c r="M1420" s="159">
        <f t="shared" si="116"/>
        <v>0</v>
      </c>
    </row>
    <row r="1421" spans="2:13">
      <c r="B1421" t="s">
        <v>179</v>
      </c>
      <c r="C1421">
        <f t="shared" si="113"/>
        <v>111</v>
      </c>
      <c r="D1421" t="str">
        <f t="shared" si="114"/>
        <v>GRENOBLE111</v>
      </c>
      <c r="E1421" t="s">
        <v>180</v>
      </c>
      <c r="F1421" t="str">
        <f t="shared" si="115"/>
        <v>GRENOBLE111</v>
      </c>
      <c r="G1421" t="s">
        <v>282</v>
      </c>
      <c r="H1421" t="s">
        <v>920</v>
      </c>
      <c r="I1421" s="16">
        <v>23.69</v>
      </c>
      <c r="J1421" s="16">
        <v>3.26</v>
      </c>
      <c r="K1421" s="16">
        <v>6.17</v>
      </c>
      <c r="L1421" s="159">
        <f t="shared" si="116"/>
        <v>0.13761080624736174</v>
      </c>
      <c r="M1421" s="159">
        <f t="shared" si="116"/>
        <v>0.26044744617982268</v>
      </c>
    </row>
    <row r="1422" spans="2:13">
      <c r="B1422" t="s">
        <v>179</v>
      </c>
      <c r="C1422">
        <f t="shared" si="113"/>
        <v>112</v>
      </c>
      <c r="D1422" t="str">
        <f t="shared" si="114"/>
        <v>GRENOBLE112</v>
      </c>
      <c r="E1422" t="s">
        <v>180</v>
      </c>
      <c r="F1422" t="str">
        <f t="shared" si="115"/>
        <v>GRENOBLE112</v>
      </c>
      <c r="G1422" t="s">
        <v>443</v>
      </c>
      <c r="I1422" s="16">
        <v>23.08</v>
      </c>
      <c r="J1422" s="16">
        <v>0</v>
      </c>
      <c r="K1422" s="16">
        <v>15</v>
      </c>
      <c r="L1422" s="159">
        <f t="shared" si="116"/>
        <v>0</v>
      </c>
      <c r="M1422" s="159">
        <f t="shared" si="116"/>
        <v>0.64991334488734842</v>
      </c>
    </row>
    <row r="1423" spans="2:13">
      <c r="B1423" t="s">
        <v>179</v>
      </c>
      <c r="C1423">
        <f t="shared" si="113"/>
        <v>113</v>
      </c>
      <c r="D1423" t="str">
        <f t="shared" si="114"/>
        <v>GRENOBLE113</v>
      </c>
      <c r="E1423" t="s">
        <v>180</v>
      </c>
      <c r="F1423" t="str">
        <f t="shared" si="115"/>
        <v>GRENOBLE113</v>
      </c>
      <c r="G1423" t="s">
        <v>445</v>
      </c>
      <c r="I1423" s="16">
        <v>22.84</v>
      </c>
      <c r="J1423" s="16">
        <v>2.84</v>
      </c>
      <c r="K1423" s="16">
        <v>0</v>
      </c>
      <c r="L1423" s="159">
        <f t="shared" si="116"/>
        <v>0.12434325744308231</v>
      </c>
      <c r="M1423" s="159">
        <f t="shared" si="116"/>
        <v>0</v>
      </c>
    </row>
    <row r="1424" spans="2:13">
      <c r="B1424" t="s">
        <v>179</v>
      </c>
      <c r="C1424">
        <f t="shared" si="113"/>
        <v>114</v>
      </c>
      <c r="D1424" t="str">
        <f t="shared" si="114"/>
        <v>GRENOBLE114</v>
      </c>
      <c r="E1424" t="s">
        <v>180</v>
      </c>
      <c r="F1424" t="str">
        <f t="shared" si="115"/>
        <v>GRENOBLE114</v>
      </c>
      <c r="G1424" t="s">
        <v>345</v>
      </c>
      <c r="I1424" s="16">
        <v>22.71</v>
      </c>
      <c r="J1424" s="16">
        <v>15.36</v>
      </c>
      <c r="K1424" s="16">
        <v>0</v>
      </c>
      <c r="L1424" s="159">
        <f t="shared" si="116"/>
        <v>0.67635402906208708</v>
      </c>
      <c r="M1424" s="159">
        <f t="shared" si="116"/>
        <v>0</v>
      </c>
    </row>
    <row r="1425" spans="2:13">
      <c r="B1425" t="s">
        <v>179</v>
      </c>
      <c r="C1425">
        <f t="shared" si="113"/>
        <v>115</v>
      </c>
      <c r="D1425" t="str">
        <f t="shared" si="114"/>
        <v>GRENOBLE115</v>
      </c>
      <c r="E1425" t="s">
        <v>180</v>
      </c>
      <c r="F1425" t="str">
        <f t="shared" si="115"/>
        <v>GRENOBLE115</v>
      </c>
      <c r="G1425" t="s">
        <v>333</v>
      </c>
      <c r="I1425" s="16">
        <v>21.3</v>
      </c>
      <c r="J1425" s="16">
        <v>0</v>
      </c>
      <c r="K1425" s="16">
        <v>7.85</v>
      </c>
      <c r="L1425" s="159">
        <f t="shared" si="116"/>
        <v>0</v>
      </c>
      <c r="M1425" s="159">
        <f t="shared" si="116"/>
        <v>0.36854460093896713</v>
      </c>
    </row>
    <row r="1426" spans="2:13">
      <c r="B1426" t="s">
        <v>179</v>
      </c>
      <c r="C1426">
        <f t="shared" si="113"/>
        <v>116</v>
      </c>
      <c r="D1426" t="str">
        <f t="shared" si="114"/>
        <v>GRENOBLE116</v>
      </c>
      <c r="E1426" t="s">
        <v>180</v>
      </c>
      <c r="F1426" t="str">
        <f t="shared" si="115"/>
        <v>GRENOBLE116</v>
      </c>
      <c r="G1426" t="s">
        <v>416</v>
      </c>
      <c r="I1426" s="16">
        <v>20.81</v>
      </c>
      <c r="J1426" s="16">
        <v>14.42</v>
      </c>
      <c r="K1426" s="16">
        <v>0</v>
      </c>
      <c r="L1426" s="159">
        <f t="shared" si="116"/>
        <v>0.69293608841902932</v>
      </c>
      <c r="M1426" s="159">
        <f t="shared" si="116"/>
        <v>0</v>
      </c>
    </row>
    <row r="1427" spans="2:13">
      <c r="B1427" t="s">
        <v>179</v>
      </c>
      <c r="C1427">
        <f t="shared" si="113"/>
        <v>117</v>
      </c>
      <c r="D1427" t="str">
        <f t="shared" si="114"/>
        <v>GRENOBLE117</v>
      </c>
      <c r="E1427" t="s">
        <v>180</v>
      </c>
      <c r="F1427" t="str">
        <f t="shared" si="115"/>
        <v>GRENOBLE117</v>
      </c>
      <c r="G1427" t="s">
        <v>308</v>
      </c>
      <c r="I1427" s="16">
        <v>20.62</v>
      </c>
      <c r="J1427" s="16">
        <v>11.73</v>
      </c>
      <c r="K1427" s="16">
        <v>0</v>
      </c>
      <c r="L1427" s="159">
        <f t="shared" si="116"/>
        <v>0.56886517943743942</v>
      </c>
      <c r="M1427" s="159">
        <f t="shared" si="116"/>
        <v>0</v>
      </c>
    </row>
    <row r="1428" spans="2:13">
      <c r="B1428" t="s">
        <v>179</v>
      </c>
      <c r="C1428">
        <f t="shared" si="113"/>
        <v>118</v>
      </c>
      <c r="D1428" t="str">
        <f t="shared" si="114"/>
        <v>GRENOBLE118</v>
      </c>
      <c r="E1428" t="s">
        <v>180</v>
      </c>
      <c r="F1428" t="str">
        <f t="shared" si="115"/>
        <v>GRENOBLE118</v>
      </c>
      <c r="G1428" t="s">
        <v>302</v>
      </c>
      <c r="I1428" s="16">
        <v>20.37</v>
      </c>
      <c r="J1428" s="16">
        <v>0</v>
      </c>
      <c r="K1428" s="16">
        <v>0</v>
      </c>
      <c r="L1428" s="159">
        <f t="shared" si="116"/>
        <v>0</v>
      </c>
      <c r="M1428" s="159">
        <f t="shared" si="116"/>
        <v>0</v>
      </c>
    </row>
    <row r="1429" spans="2:13">
      <c r="B1429" t="s">
        <v>179</v>
      </c>
      <c r="C1429">
        <f t="shared" si="113"/>
        <v>119</v>
      </c>
      <c r="D1429" t="str">
        <f t="shared" si="114"/>
        <v>GRENOBLE119</v>
      </c>
      <c r="E1429" t="s">
        <v>180</v>
      </c>
      <c r="F1429" t="str">
        <f t="shared" si="115"/>
        <v>GRENOBLE119</v>
      </c>
      <c r="G1429" t="s">
        <v>339</v>
      </c>
      <c r="I1429" s="16">
        <v>19.989999999999998</v>
      </c>
      <c r="J1429" s="16">
        <v>17.13</v>
      </c>
      <c r="K1429" s="16">
        <v>6.9</v>
      </c>
      <c r="L1429" s="159">
        <f t="shared" si="116"/>
        <v>0.8569284642321161</v>
      </c>
      <c r="M1429" s="159">
        <f t="shared" si="116"/>
        <v>0.34517258629314662</v>
      </c>
    </row>
    <row r="1430" spans="2:13">
      <c r="B1430" t="s">
        <v>179</v>
      </c>
      <c r="C1430">
        <f t="shared" si="113"/>
        <v>120</v>
      </c>
      <c r="D1430" t="str">
        <f t="shared" si="114"/>
        <v>GRENOBLE120</v>
      </c>
      <c r="E1430" t="s">
        <v>180</v>
      </c>
      <c r="F1430" t="str">
        <f t="shared" si="115"/>
        <v>GRENOBLE120</v>
      </c>
      <c r="G1430" t="s">
        <v>363</v>
      </c>
      <c r="I1430" s="16">
        <v>18.84</v>
      </c>
      <c r="J1430" s="16">
        <v>18.84</v>
      </c>
      <c r="K1430" s="16">
        <v>0</v>
      </c>
      <c r="L1430" s="159">
        <f t="shared" si="116"/>
        <v>1</v>
      </c>
      <c r="M1430" s="159">
        <f t="shared" si="116"/>
        <v>0</v>
      </c>
    </row>
    <row r="1431" spans="2:13">
      <c r="B1431" t="s">
        <v>179</v>
      </c>
      <c r="C1431">
        <f t="shared" si="113"/>
        <v>121</v>
      </c>
      <c r="D1431" t="str">
        <f t="shared" si="114"/>
        <v>GRENOBLE121</v>
      </c>
      <c r="E1431" t="s">
        <v>180</v>
      </c>
      <c r="F1431" t="str">
        <f t="shared" si="115"/>
        <v>GRENOBLE121</v>
      </c>
      <c r="G1431" t="s">
        <v>298</v>
      </c>
      <c r="I1431" s="16">
        <v>18.7</v>
      </c>
      <c r="J1431" s="16">
        <v>18.7</v>
      </c>
      <c r="K1431" s="16">
        <v>0</v>
      </c>
      <c r="L1431" s="159">
        <f t="shared" si="116"/>
        <v>1</v>
      </c>
      <c r="M1431" s="159">
        <f t="shared" si="116"/>
        <v>0</v>
      </c>
    </row>
    <row r="1432" spans="2:13">
      <c r="B1432" t="s">
        <v>179</v>
      </c>
      <c r="C1432">
        <f t="shared" si="113"/>
        <v>122</v>
      </c>
      <c r="D1432" t="str">
        <f t="shared" si="114"/>
        <v>GRENOBLE122</v>
      </c>
      <c r="E1432" t="s">
        <v>180</v>
      </c>
      <c r="F1432" t="str">
        <f t="shared" si="115"/>
        <v>GRENOBLE122</v>
      </c>
      <c r="G1432" t="s">
        <v>412</v>
      </c>
      <c r="I1432" s="16">
        <v>18.2</v>
      </c>
      <c r="J1432" s="16">
        <v>14.27</v>
      </c>
      <c r="K1432" s="16">
        <v>0</v>
      </c>
      <c r="L1432" s="159">
        <f t="shared" si="116"/>
        <v>0.78406593406593406</v>
      </c>
      <c r="M1432" s="159">
        <f t="shared" si="116"/>
        <v>0</v>
      </c>
    </row>
    <row r="1433" spans="2:13">
      <c r="B1433" t="s">
        <v>179</v>
      </c>
      <c r="C1433">
        <f t="shared" si="113"/>
        <v>123</v>
      </c>
      <c r="D1433" t="str">
        <f t="shared" si="114"/>
        <v>GRENOBLE123</v>
      </c>
      <c r="E1433" t="s">
        <v>180</v>
      </c>
      <c r="F1433" t="str">
        <f t="shared" si="115"/>
        <v>GRENOBLE123</v>
      </c>
      <c r="G1433" t="s">
        <v>444</v>
      </c>
      <c r="I1433" s="16">
        <v>18.11</v>
      </c>
      <c r="J1433" s="16">
        <v>8.08</v>
      </c>
      <c r="K1433" s="16">
        <v>0</v>
      </c>
      <c r="L1433" s="159">
        <f t="shared" si="116"/>
        <v>0.44616234124792936</v>
      </c>
      <c r="M1433" s="159">
        <f t="shared" si="116"/>
        <v>0</v>
      </c>
    </row>
    <row r="1434" spans="2:13">
      <c r="B1434" t="s">
        <v>179</v>
      </c>
      <c r="C1434">
        <f t="shared" si="113"/>
        <v>124</v>
      </c>
      <c r="D1434" t="str">
        <f t="shared" si="114"/>
        <v>GRENOBLE124</v>
      </c>
      <c r="E1434" t="s">
        <v>180</v>
      </c>
      <c r="F1434" t="str">
        <f t="shared" si="115"/>
        <v>GRENOBLE124</v>
      </c>
      <c r="G1434" t="s">
        <v>353</v>
      </c>
      <c r="I1434" s="16">
        <v>17.14</v>
      </c>
      <c r="J1434" s="16">
        <v>17.14</v>
      </c>
      <c r="K1434" s="16">
        <v>0</v>
      </c>
      <c r="L1434" s="159">
        <f t="shared" si="116"/>
        <v>1</v>
      </c>
      <c r="M1434" s="159">
        <f t="shared" si="116"/>
        <v>0</v>
      </c>
    </row>
    <row r="1435" spans="2:13">
      <c r="B1435" t="s">
        <v>179</v>
      </c>
      <c r="C1435">
        <f t="shared" si="113"/>
        <v>125</v>
      </c>
      <c r="D1435" t="str">
        <f t="shared" si="114"/>
        <v>GRENOBLE125</v>
      </c>
      <c r="E1435" t="s">
        <v>180</v>
      </c>
      <c r="F1435" t="str">
        <f t="shared" si="115"/>
        <v>GRENOBLE125</v>
      </c>
      <c r="G1435" t="s">
        <v>314</v>
      </c>
      <c r="I1435" s="16">
        <v>15.99</v>
      </c>
      <c r="J1435" s="16">
        <v>0</v>
      </c>
      <c r="K1435" s="16">
        <v>0</v>
      </c>
      <c r="L1435" s="159">
        <f t="shared" si="116"/>
        <v>0</v>
      </c>
      <c r="M1435" s="159">
        <f t="shared" si="116"/>
        <v>0</v>
      </c>
    </row>
    <row r="1436" spans="2:13">
      <c r="B1436" t="s">
        <v>179</v>
      </c>
      <c r="C1436">
        <f t="shared" si="113"/>
        <v>126</v>
      </c>
      <c r="D1436" t="str">
        <f t="shared" si="114"/>
        <v>GRENOBLE126</v>
      </c>
      <c r="E1436" t="s">
        <v>180</v>
      </c>
      <c r="F1436" t="str">
        <f t="shared" si="115"/>
        <v>GRENOBLE126</v>
      </c>
      <c r="G1436" t="s">
        <v>386</v>
      </c>
      <c r="I1436" s="16">
        <v>15.64</v>
      </c>
      <c r="J1436" s="16">
        <v>8.51</v>
      </c>
      <c r="K1436" s="16">
        <v>7.13</v>
      </c>
      <c r="L1436" s="159">
        <f t="shared" si="116"/>
        <v>0.54411764705882348</v>
      </c>
      <c r="M1436" s="159">
        <f t="shared" si="116"/>
        <v>0.45588235294117646</v>
      </c>
    </row>
    <row r="1437" spans="2:13">
      <c r="B1437" t="s">
        <v>179</v>
      </c>
      <c r="C1437">
        <f t="shared" si="113"/>
        <v>127</v>
      </c>
      <c r="D1437" t="str">
        <f t="shared" si="114"/>
        <v>GRENOBLE127</v>
      </c>
      <c r="E1437" t="s">
        <v>180</v>
      </c>
      <c r="F1437" t="str">
        <f t="shared" si="115"/>
        <v>GRENOBLE127</v>
      </c>
      <c r="G1437" t="s">
        <v>351</v>
      </c>
      <c r="I1437" s="16">
        <v>15.36</v>
      </c>
      <c r="J1437" s="16">
        <v>15.36</v>
      </c>
      <c r="K1437" s="16">
        <v>0</v>
      </c>
      <c r="L1437" s="159">
        <f t="shared" si="116"/>
        <v>1</v>
      </c>
      <c r="M1437" s="159">
        <f t="shared" si="116"/>
        <v>0</v>
      </c>
    </row>
    <row r="1438" spans="2:13">
      <c r="B1438" t="s">
        <v>179</v>
      </c>
      <c r="C1438">
        <f t="shared" si="113"/>
        <v>128</v>
      </c>
      <c r="D1438" t="str">
        <f t="shared" si="114"/>
        <v>GRENOBLE128</v>
      </c>
      <c r="E1438" t="s">
        <v>180</v>
      </c>
      <c r="F1438" t="str">
        <f t="shared" si="115"/>
        <v>GRENOBLE128</v>
      </c>
      <c r="G1438" t="s">
        <v>344</v>
      </c>
      <c r="I1438" s="16">
        <v>15.34</v>
      </c>
      <c r="J1438" s="16">
        <v>2.9</v>
      </c>
      <c r="K1438" s="16">
        <v>10</v>
      </c>
      <c r="L1438" s="159">
        <f t="shared" si="116"/>
        <v>0.18904823989569752</v>
      </c>
      <c r="M1438" s="159">
        <f t="shared" si="116"/>
        <v>0.65189048239895697</v>
      </c>
    </row>
    <row r="1439" spans="2:13">
      <c r="B1439" t="s">
        <v>179</v>
      </c>
      <c r="C1439">
        <f t="shared" ref="C1439:C1470" si="117">RANK(I1439,$I$1310:$I$1482,0)</f>
        <v>129</v>
      </c>
      <c r="D1439" t="str">
        <f t="shared" si="114"/>
        <v>GRENOBLE129</v>
      </c>
      <c r="E1439" t="s">
        <v>180</v>
      </c>
      <c r="F1439" t="str">
        <f t="shared" si="115"/>
        <v>GRENOBLE129</v>
      </c>
      <c r="G1439" t="s">
        <v>432</v>
      </c>
      <c r="I1439" s="16">
        <v>15.13</v>
      </c>
      <c r="J1439" s="16">
        <v>15.13</v>
      </c>
      <c r="K1439" s="16">
        <v>0</v>
      </c>
      <c r="L1439" s="159">
        <f t="shared" si="116"/>
        <v>1</v>
      </c>
      <c r="M1439" s="159">
        <f t="shared" si="116"/>
        <v>0</v>
      </c>
    </row>
    <row r="1440" spans="2:13">
      <c r="B1440" t="s">
        <v>179</v>
      </c>
      <c r="C1440">
        <f t="shared" si="117"/>
        <v>130</v>
      </c>
      <c r="D1440" t="str">
        <f t="shared" si="114"/>
        <v>GRENOBLE130</v>
      </c>
      <c r="E1440" t="s">
        <v>180</v>
      </c>
      <c r="F1440" t="str">
        <f t="shared" si="115"/>
        <v>GRENOBLE130</v>
      </c>
      <c r="G1440" t="s">
        <v>301</v>
      </c>
      <c r="H1440" t="s">
        <v>918</v>
      </c>
      <c r="I1440" s="16">
        <v>14.12</v>
      </c>
      <c r="J1440" s="16">
        <v>0</v>
      </c>
      <c r="K1440" s="16">
        <v>0</v>
      </c>
      <c r="L1440" s="159">
        <f t="shared" si="116"/>
        <v>0</v>
      </c>
      <c r="M1440" s="159">
        <f t="shared" si="116"/>
        <v>0</v>
      </c>
    </row>
    <row r="1441" spans="2:13">
      <c r="B1441" t="s">
        <v>179</v>
      </c>
      <c r="C1441">
        <f t="shared" si="117"/>
        <v>131</v>
      </c>
      <c r="D1441" t="str">
        <f t="shared" si="114"/>
        <v>GRENOBLE131</v>
      </c>
      <c r="E1441" t="s">
        <v>180</v>
      </c>
      <c r="F1441" t="str">
        <f t="shared" si="115"/>
        <v>GRENOBLE131</v>
      </c>
      <c r="G1441" t="s">
        <v>417</v>
      </c>
      <c r="I1441" s="16">
        <v>13.99</v>
      </c>
      <c r="J1441" s="16">
        <v>0</v>
      </c>
      <c r="K1441" s="16">
        <v>0</v>
      </c>
      <c r="L1441" s="159">
        <f t="shared" si="116"/>
        <v>0</v>
      </c>
      <c r="M1441" s="159">
        <f t="shared" si="116"/>
        <v>0</v>
      </c>
    </row>
    <row r="1442" spans="2:13">
      <c r="B1442" t="s">
        <v>179</v>
      </c>
      <c r="C1442">
        <f t="shared" si="117"/>
        <v>132</v>
      </c>
      <c r="D1442" t="str">
        <f t="shared" si="114"/>
        <v>GRENOBLE132</v>
      </c>
      <c r="E1442" t="s">
        <v>180</v>
      </c>
      <c r="F1442" t="str">
        <f t="shared" si="115"/>
        <v>GRENOBLE132</v>
      </c>
      <c r="G1442" t="s">
        <v>383</v>
      </c>
      <c r="I1442" s="16">
        <v>13.72</v>
      </c>
      <c r="J1442" s="16">
        <v>0</v>
      </c>
      <c r="K1442" s="16">
        <v>6.82</v>
      </c>
      <c r="L1442" s="159">
        <f t="shared" si="116"/>
        <v>0</v>
      </c>
      <c r="M1442" s="159">
        <f t="shared" si="116"/>
        <v>0.49708454810495628</v>
      </c>
    </row>
    <row r="1443" spans="2:13">
      <c r="B1443" t="s">
        <v>179</v>
      </c>
      <c r="C1443">
        <f t="shared" si="117"/>
        <v>133</v>
      </c>
      <c r="D1443" t="str">
        <f t="shared" si="114"/>
        <v>GRENOBLE133</v>
      </c>
      <c r="E1443" t="s">
        <v>180</v>
      </c>
      <c r="F1443" t="str">
        <f t="shared" si="115"/>
        <v>GRENOBLE133</v>
      </c>
      <c r="G1443" t="s">
        <v>343</v>
      </c>
      <c r="I1443" s="16">
        <v>13.25</v>
      </c>
      <c r="J1443" s="16">
        <v>3.6</v>
      </c>
      <c r="K1443" s="16">
        <v>0</v>
      </c>
      <c r="L1443" s="159">
        <f t="shared" si="116"/>
        <v>0.27169811320754716</v>
      </c>
      <c r="M1443" s="159">
        <f t="shared" si="116"/>
        <v>0</v>
      </c>
    </row>
    <row r="1444" spans="2:13">
      <c r="B1444" t="s">
        <v>179</v>
      </c>
      <c r="C1444">
        <f t="shared" si="117"/>
        <v>134</v>
      </c>
      <c r="D1444" t="str">
        <f t="shared" si="114"/>
        <v>GRENOBLE134</v>
      </c>
      <c r="E1444" t="s">
        <v>180</v>
      </c>
      <c r="F1444" t="str">
        <f t="shared" si="115"/>
        <v>GRENOBLE134</v>
      </c>
      <c r="G1444" t="s">
        <v>391</v>
      </c>
      <c r="I1444" s="16">
        <v>13.15</v>
      </c>
      <c r="J1444" s="16">
        <v>11.69</v>
      </c>
      <c r="K1444" s="16">
        <v>0</v>
      </c>
      <c r="L1444" s="159">
        <f t="shared" si="116"/>
        <v>0.88897338403041815</v>
      </c>
      <c r="M1444" s="159">
        <f t="shared" si="116"/>
        <v>0</v>
      </c>
    </row>
    <row r="1445" spans="2:13">
      <c r="B1445" t="s">
        <v>179</v>
      </c>
      <c r="C1445">
        <f t="shared" si="117"/>
        <v>135</v>
      </c>
      <c r="D1445" t="str">
        <f t="shared" si="114"/>
        <v>GRENOBLE135</v>
      </c>
      <c r="E1445" t="s">
        <v>180</v>
      </c>
      <c r="F1445" t="str">
        <f t="shared" si="115"/>
        <v>GRENOBLE135</v>
      </c>
      <c r="G1445" t="s">
        <v>242</v>
      </c>
      <c r="H1445" t="s">
        <v>243</v>
      </c>
      <c r="I1445" s="16">
        <v>12.74</v>
      </c>
      <c r="J1445" s="16">
        <v>0</v>
      </c>
      <c r="K1445" s="16">
        <v>12.74</v>
      </c>
      <c r="L1445" s="159">
        <f t="shared" si="116"/>
        <v>0</v>
      </c>
      <c r="M1445" s="159">
        <f t="shared" si="116"/>
        <v>1</v>
      </c>
    </row>
    <row r="1446" spans="2:13">
      <c r="B1446" t="s">
        <v>179</v>
      </c>
      <c r="C1446">
        <f t="shared" si="117"/>
        <v>136</v>
      </c>
      <c r="D1446" t="str">
        <f t="shared" si="114"/>
        <v>GRENOBLE136</v>
      </c>
      <c r="E1446" t="s">
        <v>180</v>
      </c>
      <c r="F1446" t="str">
        <f t="shared" si="115"/>
        <v>GRENOBLE136</v>
      </c>
      <c r="G1446" t="s">
        <v>370</v>
      </c>
      <c r="I1446" s="16">
        <v>11.3</v>
      </c>
      <c r="J1446" s="16">
        <v>3.42</v>
      </c>
      <c r="K1446" s="16">
        <v>0</v>
      </c>
      <c r="L1446" s="159">
        <f t="shared" si="116"/>
        <v>0.30265486725663715</v>
      </c>
      <c r="M1446" s="159">
        <f t="shared" si="116"/>
        <v>0</v>
      </c>
    </row>
    <row r="1447" spans="2:13">
      <c r="B1447" t="s">
        <v>179</v>
      </c>
      <c r="C1447">
        <f t="shared" si="117"/>
        <v>137</v>
      </c>
      <c r="D1447" t="str">
        <f t="shared" si="114"/>
        <v>GRENOBLE137</v>
      </c>
      <c r="E1447" t="s">
        <v>180</v>
      </c>
      <c r="F1447" t="str">
        <f t="shared" si="115"/>
        <v>GRENOBLE137</v>
      </c>
      <c r="G1447" t="s">
        <v>398</v>
      </c>
      <c r="I1447" s="16">
        <v>11.16</v>
      </c>
      <c r="J1447" s="16">
        <v>0</v>
      </c>
      <c r="K1447" s="16">
        <v>0</v>
      </c>
      <c r="L1447" s="159">
        <f t="shared" si="116"/>
        <v>0</v>
      </c>
      <c r="M1447" s="159">
        <f t="shared" si="116"/>
        <v>0</v>
      </c>
    </row>
    <row r="1448" spans="2:13">
      <c r="B1448" t="s">
        <v>179</v>
      </c>
      <c r="C1448">
        <f t="shared" si="117"/>
        <v>138</v>
      </c>
      <c r="D1448" t="str">
        <f t="shared" si="114"/>
        <v>GRENOBLE138</v>
      </c>
      <c r="E1448" t="s">
        <v>180</v>
      </c>
      <c r="F1448" t="str">
        <f t="shared" si="115"/>
        <v>GRENOBLE138</v>
      </c>
      <c r="G1448" t="s">
        <v>450</v>
      </c>
      <c r="I1448" s="16">
        <v>11.13</v>
      </c>
      <c r="J1448" s="16">
        <v>0</v>
      </c>
      <c r="K1448" s="16">
        <v>0</v>
      </c>
      <c r="L1448" s="159">
        <f t="shared" si="116"/>
        <v>0</v>
      </c>
      <c r="M1448" s="159">
        <f t="shared" si="116"/>
        <v>0</v>
      </c>
    </row>
    <row r="1449" spans="2:13">
      <c r="B1449" t="s">
        <v>179</v>
      </c>
      <c r="C1449">
        <f t="shared" si="117"/>
        <v>139</v>
      </c>
      <c r="D1449" t="str">
        <f t="shared" si="114"/>
        <v>GRENOBLE139</v>
      </c>
      <c r="E1449" t="s">
        <v>180</v>
      </c>
      <c r="F1449" t="str">
        <f t="shared" si="115"/>
        <v>GRENOBLE139</v>
      </c>
      <c r="G1449" t="s">
        <v>427</v>
      </c>
      <c r="H1449" t="s">
        <v>1797</v>
      </c>
      <c r="I1449" s="16">
        <v>10.85</v>
      </c>
      <c r="J1449" s="16">
        <v>0</v>
      </c>
      <c r="K1449" s="16">
        <v>6.82</v>
      </c>
      <c r="L1449" s="159">
        <f t="shared" si="116"/>
        <v>0</v>
      </c>
      <c r="M1449" s="159">
        <f t="shared" si="116"/>
        <v>0.62857142857142867</v>
      </c>
    </row>
    <row r="1450" spans="2:13">
      <c r="B1450" t="s">
        <v>179</v>
      </c>
      <c r="C1450">
        <f t="shared" si="117"/>
        <v>140</v>
      </c>
      <c r="D1450" t="str">
        <f t="shared" si="114"/>
        <v>GRENOBLE140</v>
      </c>
      <c r="E1450" t="s">
        <v>180</v>
      </c>
      <c r="F1450" t="str">
        <f t="shared" si="115"/>
        <v>GRENOBLE140</v>
      </c>
      <c r="G1450" t="s">
        <v>392</v>
      </c>
      <c r="I1450" s="16">
        <v>10.71</v>
      </c>
      <c r="J1450" s="16">
        <v>10.71</v>
      </c>
      <c r="K1450" s="16">
        <v>0</v>
      </c>
      <c r="L1450" s="159">
        <f t="shared" si="116"/>
        <v>1</v>
      </c>
      <c r="M1450" s="159">
        <f t="shared" si="116"/>
        <v>0</v>
      </c>
    </row>
    <row r="1451" spans="2:13">
      <c r="B1451" t="s">
        <v>179</v>
      </c>
      <c r="C1451">
        <f t="shared" si="117"/>
        <v>141</v>
      </c>
      <c r="D1451" t="str">
        <f t="shared" si="114"/>
        <v>GRENOBLE141</v>
      </c>
      <c r="E1451" t="s">
        <v>180</v>
      </c>
      <c r="F1451" t="str">
        <f t="shared" si="115"/>
        <v>GRENOBLE141</v>
      </c>
      <c r="G1451" t="s">
        <v>323</v>
      </c>
      <c r="I1451" s="16">
        <v>10.54</v>
      </c>
      <c r="J1451" s="16">
        <v>1.45</v>
      </c>
      <c r="K1451" s="16">
        <v>0</v>
      </c>
      <c r="L1451" s="159">
        <f t="shared" si="116"/>
        <v>0.13757115749525617</v>
      </c>
      <c r="M1451" s="159">
        <f t="shared" si="116"/>
        <v>0</v>
      </c>
    </row>
    <row r="1452" spans="2:13">
      <c r="B1452" t="s">
        <v>179</v>
      </c>
      <c r="C1452">
        <f t="shared" si="117"/>
        <v>142</v>
      </c>
      <c r="D1452" t="str">
        <f t="shared" si="114"/>
        <v>GRENOBLE142</v>
      </c>
      <c r="E1452" t="s">
        <v>180</v>
      </c>
      <c r="F1452" t="str">
        <f t="shared" si="115"/>
        <v>GRENOBLE142</v>
      </c>
      <c r="G1452" t="s">
        <v>389</v>
      </c>
      <c r="I1452" s="16">
        <v>9.69</v>
      </c>
      <c r="J1452" s="16">
        <v>9.69</v>
      </c>
      <c r="K1452" s="16">
        <v>0</v>
      </c>
      <c r="L1452" s="159">
        <f t="shared" si="116"/>
        <v>1</v>
      </c>
      <c r="M1452" s="159">
        <f t="shared" si="116"/>
        <v>0</v>
      </c>
    </row>
    <row r="1453" spans="2:13">
      <c r="B1453" t="s">
        <v>179</v>
      </c>
      <c r="C1453">
        <f t="shared" si="117"/>
        <v>143</v>
      </c>
      <c r="D1453" t="str">
        <f t="shared" si="114"/>
        <v>GRENOBLE143</v>
      </c>
      <c r="E1453" t="s">
        <v>180</v>
      </c>
      <c r="F1453" t="str">
        <f t="shared" si="115"/>
        <v>GRENOBLE143</v>
      </c>
      <c r="G1453" t="s">
        <v>366</v>
      </c>
      <c r="I1453" s="16">
        <v>9.6</v>
      </c>
      <c r="J1453" s="16">
        <v>0</v>
      </c>
      <c r="K1453" s="16">
        <v>0</v>
      </c>
      <c r="L1453" s="159">
        <f t="shared" si="116"/>
        <v>0</v>
      </c>
      <c r="M1453" s="159">
        <f t="shared" si="116"/>
        <v>0</v>
      </c>
    </row>
    <row r="1454" spans="2:13">
      <c r="B1454" t="s">
        <v>179</v>
      </c>
      <c r="C1454">
        <f t="shared" si="117"/>
        <v>144</v>
      </c>
      <c r="D1454" t="str">
        <f t="shared" si="114"/>
        <v>GRENOBLE144</v>
      </c>
      <c r="E1454" t="s">
        <v>180</v>
      </c>
      <c r="F1454" t="str">
        <f t="shared" si="115"/>
        <v>GRENOBLE144</v>
      </c>
      <c r="G1454" t="s">
        <v>368</v>
      </c>
      <c r="I1454" s="16">
        <v>9.09</v>
      </c>
      <c r="J1454" s="16">
        <v>6.46</v>
      </c>
      <c r="K1454" s="16">
        <v>0</v>
      </c>
      <c r="L1454" s="159">
        <f t="shared" si="116"/>
        <v>0.71067106710671069</v>
      </c>
      <c r="M1454" s="159">
        <f t="shared" si="116"/>
        <v>0</v>
      </c>
    </row>
    <row r="1455" spans="2:13">
      <c r="B1455" t="s">
        <v>179</v>
      </c>
      <c r="C1455">
        <f t="shared" si="117"/>
        <v>145</v>
      </c>
      <c r="D1455" t="str">
        <f t="shared" si="114"/>
        <v>GRENOBLE145</v>
      </c>
      <c r="E1455" t="s">
        <v>180</v>
      </c>
      <c r="F1455" t="str">
        <f t="shared" si="115"/>
        <v>GRENOBLE145</v>
      </c>
      <c r="G1455" t="s">
        <v>288</v>
      </c>
      <c r="I1455" s="16">
        <v>8.67</v>
      </c>
      <c r="J1455" s="16">
        <v>8.67</v>
      </c>
      <c r="K1455" s="16">
        <v>0</v>
      </c>
      <c r="L1455" s="159">
        <f t="shared" si="116"/>
        <v>1</v>
      </c>
      <c r="M1455" s="159">
        <f t="shared" si="116"/>
        <v>0</v>
      </c>
    </row>
    <row r="1456" spans="2:13">
      <c r="B1456" t="s">
        <v>179</v>
      </c>
      <c r="C1456">
        <f t="shared" si="117"/>
        <v>146</v>
      </c>
      <c r="D1456" t="str">
        <f t="shared" si="114"/>
        <v>GRENOBLE146</v>
      </c>
      <c r="E1456" t="s">
        <v>180</v>
      </c>
      <c r="F1456" t="str">
        <f t="shared" si="115"/>
        <v>GRENOBLE146</v>
      </c>
      <c r="G1456" t="s">
        <v>378</v>
      </c>
      <c r="I1456" s="16">
        <v>8.1300000000000008</v>
      </c>
      <c r="J1456" s="16">
        <v>0</v>
      </c>
      <c r="K1456" s="16">
        <v>0</v>
      </c>
      <c r="L1456" s="159">
        <f t="shared" si="116"/>
        <v>0</v>
      </c>
      <c r="M1456" s="159">
        <f t="shared" si="116"/>
        <v>0</v>
      </c>
    </row>
    <row r="1457" spans="2:13">
      <c r="B1457" t="s">
        <v>179</v>
      </c>
      <c r="C1457">
        <f t="shared" si="117"/>
        <v>147</v>
      </c>
      <c r="D1457" t="str">
        <f t="shared" si="114"/>
        <v>GRENOBLE147</v>
      </c>
      <c r="E1457" t="s">
        <v>180</v>
      </c>
      <c r="F1457" t="str">
        <f t="shared" si="115"/>
        <v>GRENOBLE147</v>
      </c>
      <c r="G1457" t="s">
        <v>415</v>
      </c>
      <c r="I1457" s="16">
        <v>7.94</v>
      </c>
      <c r="J1457" s="16">
        <v>7.94</v>
      </c>
      <c r="K1457" s="16">
        <v>0</v>
      </c>
      <c r="L1457" s="159">
        <f t="shared" si="116"/>
        <v>1</v>
      </c>
      <c r="M1457" s="159">
        <f t="shared" si="116"/>
        <v>0</v>
      </c>
    </row>
    <row r="1458" spans="2:13">
      <c r="B1458" t="s">
        <v>179</v>
      </c>
      <c r="C1458">
        <f t="shared" si="117"/>
        <v>148</v>
      </c>
      <c r="D1458" t="str">
        <f t="shared" si="114"/>
        <v>GRENOBLE148</v>
      </c>
      <c r="E1458" t="s">
        <v>180</v>
      </c>
      <c r="F1458" t="str">
        <f t="shared" si="115"/>
        <v>GRENOBLE148</v>
      </c>
      <c r="G1458" t="s">
        <v>365</v>
      </c>
      <c r="I1458" s="16">
        <v>7.59</v>
      </c>
      <c r="J1458" s="16">
        <v>7.59</v>
      </c>
      <c r="K1458" s="16">
        <v>0</v>
      </c>
      <c r="L1458" s="159">
        <f t="shared" si="116"/>
        <v>1</v>
      </c>
      <c r="M1458" s="159">
        <f t="shared" si="116"/>
        <v>0</v>
      </c>
    </row>
    <row r="1459" spans="2:13">
      <c r="B1459" t="s">
        <v>179</v>
      </c>
      <c r="C1459">
        <f t="shared" si="117"/>
        <v>149</v>
      </c>
      <c r="D1459" t="str">
        <f t="shared" si="114"/>
        <v>GRENOBLE149</v>
      </c>
      <c r="E1459" t="s">
        <v>180</v>
      </c>
      <c r="F1459" t="str">
        <f t="shared" si="115"/>
        <v>GRENOBLE149</v>
      </c>
      <c r="G1459" t="s">
        <v>424</v>
      </c>
      <c r="I1459" s="16">
        <v>7.29</v>
      </c>
      <c r="J1459" s="16">
        <v>7.29</v>
      </c>
      <c r="K1459" s="16">
        <v>0</v>
      </c>
      <c r="L1459" s="159">
        <f t="shared" si="116"/>
        <v>1</v>
      </c>
      <c r="M1459" s="159">
        <f t="shared" si="116"/>
        <v>0</v>
      </c>
    </row>
    <row r="1460" spans="2:13">
      <c r="B1460" t="s">
        <v>179</v>
      </c>
      <c r="C1460">
        <f t="shared" si="117"/>
        <v>150</v>
      </c>
      <c r="D1460" t="str">
        <f t="shared" si="114"/>
        <v>GRENOBLE150</v>
      </c>
      <c r="E1460" t="s">
        <v>180</v>
      </c>
      <c r="F1460" t="str">
        <f t="shared" si="115"/>
        <v>GRENOBLE150</v>
      </c>
      <c r="G1460" t="s">
        <v>355</v>
      </c>
      <c r="I1460" s="16">
        <v>7.02</v>
      </c>
      <c r="J1460" s="16">
        <v>7.02</v>
      </c>
      <c r="K1460" s="16">
        <v>7.02</v>
      </c>
      <c r="L1460" s="159">
        <f t="shared" si="116"/>
        <v>1</v>
      </c>
      <c r="M1460" s="159">
        <f t="shared" si="116"/>
        <v>1</v>
      </c>
    </row>
    <row r="1461" spans="2:13">
      <c r="B1461" t="s">
        <v>179</v>
      </c>
      <c r="C1461">
        <f t="shared" si="117"/>
        <v>151</v>
      </c>
      <c r="D1461" t="str">
        <f t="shared" si="114"/>
        <v>GRENOBLE151</v>
      </c>
      <c r="E1461" t="s">
        <v>180</v>
      </c>
      <c r="F1461" t="str">
        <f t="shared" si="115"/>
        <v>GRENOBLE151</v>
      </c>
      <c r="G1461" t="s">
        <v>441</v>
      </c>
      <c r="I1461" s="16">
        <v>6.37</v>
      </c>
      <c r="J1461" s="16">
        <v>0</v>
      </c>
      <c r="K1461" s="16">
        <v>0</v>
      </c>
      <c r="L1461" s="159">
        <f t="shared" si="116"/>
        <v>0</v>
      </c>
      <c r="M1461" s="159">
        <f t="shared" si="116"/>
        <v>0</v>
      </c>
    </row>
    <row r="1462" spans="2:13">
      <c r="B1462" t="s">
        <v>179</v>
      </c>
      <c r="C1462">
        <f t="shared" si="117"/>
        <v>152</v>
      </c>
      <c r="D1462" t="str">
        <f t="shared" si="114"/>
        <v>GRENOBLE152</v>
      </c>
      <c r="E1462" t="s">
        <v>180</v>
      </c>
      <c r="F1462" t="str">
        <f t="shared" si="115"/>
        <v>GRENOBLE152</v>
      </c>
      <c r="G1462" t="s">
        <v>403</v>
      </c>
      <c r="I1462" s="16">
        <v>6.33</v>
      </c>
      <c r="J1462" s="16">
        <v>0</v>
      </c>
      <c r="K1462" s="16">
        <v>0</v>
      </c>
      <c r="L1462" s="159">
        <f t="shared" si="116"/>
        <v>0</v>
      </c>
      <c r="M1462" s="159">
        <f t="shared" si="116"/>
        <v>0</v>
      </c>
    </row>
    <row r="1463" spans="2:13">
      <c r="B1463" t="s">
        <v>179</v>
      </c>
      <c r="C1463">
        <f t="shared" si="117"/>
        <v>153</v>
      </c>
      <c r="D1463" t="str">
        <f t="shared" si="114"/>
        <v>GRENOBLE153</v>
      </c>
      <c r="E1463" t="s">
        <v>180</v>
      </c>
      <c r="F1463" t="str">
        <f t="shared" si="115"/>
        <v>GRENOBLE153</v>
      </c>
      <c r="G1463" t="s">
        <v>217</v>
      </c>
      <c r="I1463" s="16">
        <v>6</v>
      </c>
      <c r="J1463" s="16">
        <v>0</v>
      </c>
      <c r="K1463" s="16">
        <v>0</v>
      </c>
      <c r="L1463" s="159">
        <f t="shared" si="116"/>
        <v>0</v>
      </c>
      <c r="M1463" s="159">
        <f t="shared" si="116"/>
        <v>0</v>
      </c>
    </row>
    <row r="1464" spans="2:13">
      <c r="B1464" t="s">
        <v>179</v>
      </c>
      <c r="C1464">
        <f t="shared" si="117"/>
        <v>154</v>
      </c>
      <c r="D1464" t="str">
        <f t="shared" si="114"/>
        <v>GRENOBLE154</v>
      </c>
      <c r="E1464" t="s">
        <v>180</v>
      </c>
      <c r="F1464" t="str">
        <f t="shared" si="115"/>
        <v>GRENOBLE154</v>
      </c>
      <c r="G1464" t="s">
        <v>357</v>
      </c>
      <c r="I1464" s="16">
        <v>5.57</v>
      </c>
      <c r="J1464" s="16">
        <v>0</v>
      </c>
      <c r="K1464" s="16">
        <v>0</v>
      </c>
      <c r="L1464" s="159">
        <f t="shared" si="116"/>
        <v>0</v>
      </c>
      <c r="M1464" s="159">
        <f t="shared" si="116"/>
        <v>0</v>
      </c>
    </row>
    <row r="1465" spans="2:13">
      <c r="B1465" t="s">
        <v>179</v>
      </c>
      <c r="C1465">
        <f t="shared" si="117"/>
        <v>155</v>
      </c>
      <c r="D1465" t="str">
        <f t="shared" si="114"/>
        <v>GRENOBLE155</v>
      </c>
      <c r="E1465" t="s">
        <v>180</v>
      </c>
      <c r="F1465" t="str">
        <f t="shared" si="115"/>
        <v>GRENOBLE155</v>
      </c>
      <c r="G1465" t="s">
        <v>380</v>
      </c>
      <c r="I1465" s="16">
        <v>5.27</v>
      </c>
      <c r="J1465" s="16">
        <v>0</v>
      </c>
      <c r="K1465" s="16">
        <v>0</v>
      </c>
      <c r="L1465" s="159">
        <f t="shared" si="116"/>
        <v>0</v>
      </c>
      <c r="M1465" s="159">
        <f t="shared" si="116"/>
        <v>0</v>
      </c>
    </row>
    <row r="1466" spans="2:13">
      <c r="B1466" t="s">
        <v>179</v>
      </c>
      <c r="C1466">
        <f t="shared" si="117"/>
        <v>156</v>
      </c>
      <c r="D1466" t="str">
        <f t="shared" si="114"/>
        <v>GRENOBLE156</v>
      </c>
      <c r="E1466" t="s">
        <v>180</v>
      </c>
      <c r="F1466" t="str">
        <f t="shared" si="115"/>
        <v>GRENOBLE156</v>
      </c>
      <c r="G1466" t="s">
        <v>431</v>
      </c>
      <c r="I1466" s="16">
        <v>5</v>
      </c>
      <c r="J1466" s="16">
        <v>0</v>
      </c>
      <c r="K1466" s="16">
        <v>5</v>
      </c>
      <c r="L1466" s="159">
        <f t="shared" si="116"/>
        <v>0</v>
      </c>
      <c r="M1466" s="159">
        <f t="shared" si="116"/>
        <v>1</v>
      </c>
    </row>
    <row r="1467" spans="2:13">
      <c r="B1467" t="s">
        <v>179</v>
      </c>
      <c r="C1467">
        <f t="shared" si="117"/>
        <v>157</v>
      </c>
      <c r="D1467" t="str">
        <f t="shared" si="114"/>
        <v>GRENOBLE157</v>
      </c>
      <c r="E1467" t="s">
        <v>180</v>
      </c>
      <c r="F1467" t="str">
        <f t="shared" si="115"/>
        <v>GRENOBLE157</v>
      </c>
      <c r="G1467" t="s">
        <v>329</v>
      </c>
      <c r="I1467" s="16">
        <v>4.71</v>
      </c>
      <c r="J1467" s="16">
        <v>0</v>
      </c>
      <c r="K1467" s="16">
        <v>4.71</v>
      </c>
      <c r="L1467" s="159">
        <f t="shared" si="116"/>
        <v>0</v>
      </c>
      <c r="M1467" s="159">
        <f t="shared" si="116"/>
        <v>1</v>
      </c>
    </row>
    <row r="1468" spans="2:13">
      <c r="B1468" t="s">
        <v>179</v>
      </c>
      <c r="C1468">
        <f t="shared" si="117"/>
        <v>158</v>
      </c>
      <c r="D1468" t="str">
        <f t="shared" si="114"/>
        <v>GRENOBLE158</v>
      </c>
      <c r="E1468" t="s">
        <v>180</v>
      </c>
      <c r="F1468" t="str">
        <f t="shared" si="115"/>
        <v>GRENOBLE158</v>
      </c>
      <c r="G1468" t="s">
        <v>401</v>
      </c>
      <c r="I1468" s="16">
        <v>4.0999999999999996</v>
      </c>
      <c r="J1468" s="16">
        <v>0</v>
      </c>
      <c r="K1468" s="16">
        <v>0</v>
      </c>
      <c r="L1468" s="159">
        <f t="shared" si="116"/>
        <v>0</v>
      </c>
      <c r="M1468" s="159">
        <f t="shared" si="116"/>
        <v>0</v>
      </c>
    </row>
    <row r="1469" spans="2:13">
      <c r="B1469" t="s">
        <v>179</v>
      </c>
      <c r="C1469">
        <f t="shared" si="117"/>
        <v>159</v>
      </c>
      <c r="D1469" t="str">
        <f t="shared" si="114"/>
        <v>GRENOBLE159</v>
      </c>
      <c r="E1469" t="s">
        <v>180</v>
      </c>
      <c r="F1469" t="str">
        <f t="shared" si="115"/>
        <v>GRENOBLE159</v>
      </c>
      <c r="G1469" t="s">
        <v>336</v>
      </c>
      <c r="H1469" t="s">
        <v>941</v>
      </c>
      <c r="I1469" s="16">
        <v>3.93</v>
      </c>
      <c r="J1469" s="16">
        <v>0</v>
      </c>
      <c r="K1469" s="16">
        <v>0</v>
      </c>
      <c r="L1469" s="159">
        <f t="shared" si="116"/>
        <v>0</v>
      </c>
      <c r="M1469" s="159">
        <f t="shared" si="116"/>
        <v>0</v>
      </c>
    </row>
    <row r="1470" spans="2:13">
      <c r="B1470" t="s">
        <v>179</v>
      </c>
      <c r="C1470">
        <f t="shared" si="117"/>
        <v>160</v>
      </c>
      <c r="D1470" t="str">
        <f t="shared" si="114"/>
        <v>GRENOBLE160</v>
      </c>
      <c r="E1470" t="s">
        <v>180</v>
      </c>
      <c r="F1470" t="str">
        <f t="shared" si="115"/>
        <v>GRENOBLE160</v>
      </c>
      <c r="G1470" t="s">
        <v>359</v>
      </c>
      <c r="I1470" s="16">
        <v>3.51</v>
      </c>
      <c r="J1470" s="16">
        <v>0</v>
      </c>
      <c r="K1470" s="16">
        <v>0</v>
      </c>
      <c r="L1470" s="159">
        <f t="shared" si="116"/>
        <v>0</v>
      </c>
      <c r="M1470" s="159">
        <f t="shared" si="116"/>
        <v>0</v>
      </c>
    </row>
    <row r="1471" spans="2:13">
      <c r="B1471" t="s">
        <v>179</v>
      </c>
      <c r="C1471">
        <f t="shared" ref="C1471:C1482" si="118">RANK(I1471,$I$1310:$I$1482,0)</f>
        <v>161</v>
      </c>
      <c r="D1471" t="str">
        <f t="shared" si="114"/>
        <v>GRENOBLE161</v>
      </c>
      <c r="E1471" t="s">
        <v>180</v>
      </c>
      <c r="F1471" t="str">
        <f t="shared" si="115"/>
        <v>GRENOBLE161</v>
      </c>
      <c r="G1471" t="s">
        <v>418</v>
      </c>
      <c r="I1471" s="16">
        <v>3.04</v>
      </c>
      <c r="J1471" s="16">
        <v>0</v>
      </c>
      <c r="K1471" s="16">
        <v>0</v>
      </c>
      <c r="L1471" s="159">
        <f t="shared" si="116"/>
        <v>0</v>
      </c>
      <c r="M1471" s="159">
        <f t="shared" si="116"/>
        <v>0</v>
      </c>
    </row>
    <row r="1472" spans="2:13">
      <c r="B1472" t="s">
        <v>179</v>
      </c>
      <c r="C1472">
        <f t="shared" si="118"/>
        <v>162</v>
      </c>
      <c r="D1472" t="str">
        <f t="shared" si="114"/>
        <v>GRENOBLE162</v>
      </c>
      <c r="E1472" t="s">
        <v>180</v>
      </c>
      <c r="F1472" t="str">
        <f t="shared" si="115"/>
        <v>GRENOBLE162</v>
      </c>
      <c r="G1472" t="s">
        <v>385</v>
      </c>
      <c r="I1472" s="16">
        <v>2.95</v>
      </c>
      <c r="J1472" s="16">
        <v>2.95</v>
      </c>
      <c r="K1472" s="16">
        <v>0</v>
      </c>
      <c r="L1472" s="159">
        <f t="shared" si="116"/>
        <v>1</v>
      </c>
      <c r="M1472" s="159">
        <f t="shared" si="116"/>
        <v>0</v>
      </c>
    </row>
    <row r="1473" spans="2:13">
      <c r="B1473" t="s">
        <v>179</v>
      </c>
      <c r="C1473">
        <f t="shared" si="118"/>
        <v>163</v>
      </c>
      <c r="D1473" t="str">
        <f t="shared" si="114"/>
        <v>GRENOBLE163</v>
      </c>
      <c r="E1473" t="s">
        <v>180</v>
      </c>
      <c r="F1473" t="str">
        <f t="shared" si="115"/>
        <v>GRENOBLE163</v>
      </c>
      <c r="G1473" t="s">
        <v>367</v>
      </c>
      <c r="I1473" s="16">
        <v>2.94</v>
      </c>
      <c r="J1473" s="16">
        <v>2.94</v>
      </c>
      <c r="K1473" s="16">
        <v>0</v>
      </c>
      <c r="L1473" s="159">
        <f t="shared" si="116"/>
        <v>1</v>
      </c>
      <c r="M1473" s="159">
        <f t="shared" si="116"/>
        <v>0</v>
      </c>
    </row>
    <row r="1474" spans="2:13">
      <c r="B1474" t="s">
        <v>179</v>
      </c>
      <c r="C1474">
        <f t="shared" si="118"/>
        <v>164</v>
      </c>
      <c r="D1474" t="str">
        <f t="shared" ref="D1474:D1537" si="119">CONCATENATE(E1474,C1474)</f>
        <v>GRENOBLE164</v>
      </c>
      <c r="E1474" t="s">
        <v>180</v>
      </c>
      <c r="F1474" t="str">
        <f t="shared" si="115"/>
        <v>GRENOBLE164</v>
      </c>
      <c r="G1474" t="s">
        <v>449</v>
      </c>
      <c r="I1474" s="16">
        <v>2.68</v>
      </c>
      <c r="J1474" s="16">
        <v>0</v>
      </c>
      <c r="K1474" s="16">
        <v>0</v>
      </c>
      <c r="L1474" s="159">
        <f t="shared" si="116"/>
        <v>0</v>
      </c>
      <c r="M1474" s="159">
        <f t="shared" si="116"/>
        <v>0</v>
      </c>
    </row>
    <row r="1475" spans="2:13">
      <c r="B1475" t="s">
        <v>179</v>
      </c>
      <c r="C1475">
        <f t="shared" si="118"/>
        <v>165</v>
      </c>
      <c r="D1475" t="str">
        <f t="shared" si="119"/>
        <v>GRENOBLE165</v>
      </c>
      <c r="E1475" t="s">
        <v>180</v>
      </c>
      <c r="F1475" t="str">
        <f t="shared" ref="F1475:F1538" si="120">D1475</f>
        <v>GRENOBLE165</v>
      </c>
      <c r="G1475" t="s">
        <v>428</v>
      </c>
      <c r="I1475" s="16">
        <v>2.33</v>
      </c>
      <c r="J1475" s="16">
        <v>0</v>
      </c>
      <c r="K1475" s="16">
        <v>0</v>
      </c>
      <c r="L1475" s="159">
        <f t="shared" ref="L1475:M1538" si="121">J1475/$I1475</f>
        <v>0</v>
      </c>
      <c r="M1475" s="159">
        <f t="shared" si="121"/>
        <v>0</v>
      </c>
    </row>
    <row r="1476" spans="2:13">
      <c r="B1476" t="s">
        <v>179</v>
      </c>
      <c r="C1476">
        <f t="shared" si="118"/>
        <v>166</v>
      </c>
      <c r="D1476" t="str">
        <f t="shared" si="119"/>
        <v>GRENOBLE166</v>
      </c>
      <c r="E1476" t="s">
        <v>180</v>
      </c>
      <c r="F1476" t="str">
        <f t="shared" si="120"/>
        <v>GRENOBLE166</v>
      </c>
      <c r="G1476" t="s">
        <v>404</v>
      </c>
      <c r="I1476" s="16">
        <v>2.29</v>
      </c>
      <c r="J1476" s="16">
        <v>0</v>
      </c>
      <c r="K1476" s="16">
        <v>0</v>
      </c>
      <c r="L1476" s="159">
        <f t="shared" si="121"/>
        <v>0</v>
      </c>
      <c r="M1476" s="159">
        <f t="shared" si="121"/>
        <v>0</v>
      </c>
    </row>
    <row r="1477" spans="2:13">
      <c r="B1477" t="s">
        <v>179</v>
      </c>
      <c r="C1477">
        <f t="shared" si="118"/>
        <v>166</v>
      </c>
      <c r="D1477" t="str">
        <f t="shared" si="119"/>
        <v>GRENOBLE166</v>
      </c>
      <c r="E1477" t="s">
        <v>180</v>
      </c>
      <c r="F1477" t="str">
        <f t="shared" si="120"/>
        <v>GRENOBLE166</v>
      </c>
      <c r="G1477" t="s">
        <v>457</v>
      </c>
      <c r="I1477" s="16">
        <v>2.29</v>
      </c>
      <c r="J1477" s="16">
        <v>0</v>
      </c>
      <c r="K1477" s="16">
        <v>0</v>
      </c>
      <c r="L1477" s="159">
        <f t="shared" si="121"/>
        <v>0</v>
      </c>
      <c r="M1477" s="159">
        <f t="shared" si="121"/>
        <v>0</v>
      </c>
    </row>
    <row r="1478" spans="2:13">
      <c r="B1478" t="s">
        <v>179</v>
      </c>
      <c r="C1478">
        <f t="shared" si="118"/>
        <v>168</v>
      </c>
      <c r="D1478" t="str">
        <f t="shared" si="119"/>
        <v>GRENOBLE168</v>
      </c>
      <c r="E1478" t="s">
        <v>180</v>
      </c>
      <c r="F1478" t="str">
        <f t="shared" si="120"/>
        <v>GRENOBLE168</v>
      </c>
      <c r="G1478" t="s">
        <v>384</v>
      </c>
      <c r="I1478" s="16">
        <v>2.27</v>
      </c>
      <c r="J1478" s="16">
        <v>2.27</v>
      </c>
      <c r="K1478" s="16">
        <v>0</v>
      </c>
      <c r="L1478" s="159">
        <f t="shared" si="121"/>
        <v>1</v>
      </c>
      <c r="M1478" s="159">
        <f t="shared" si="121"/>
        <v>0</v>
      </c>
    </row>
    <row r="1479" spans="2:13">
      <c r="B1479" t="s">
        <v>179</v>
      </c>
      <c r="C1479">
        <f t="shared" si="118"/>
        <v>169</v>
      </c>
      <c r="D1479" t="str">
        <f t="shared" si="119"/>
        <v>GRENOBLE169</v>
      </c>
      <c r="E1479" t="s">
        <v>180</v>
      </c>
      <c r="F1479" t="str">
        <f t="shared" si="120"/>
        <v>GRENOBLE169</v>
      </c>
      <c r="G1479" t="s">
        <v>315</v>
      </c>
      <c r="I1479" s="16">
        <v>2.19</v>
      </c>
      <c r="J1479" s="16">
        <v>0</v>
      </c>
      <c r="K1479" s="16">
        <v>0</v>
      </c>
      <c r="L1479" s="159">
        <f t="shared" si="121"/>
        <v>0</v>
      </c>
      <c r="M1479" s="159">
        <f t="shared" si="121"/>
        <v>0</v>
      </c>
    </row>
    <row r="1480" spans="2:13">
      <c r="B1480" t="s">
        <v>179</v>
      </c>
      <c r="C1480">
        <f t="shared" si="118"/>
        <v>170</v>
      </c>
      <c r="D1480" t="str">
        <f t="shared" si="119"/>
        <v>GRENOBLE170</v>
      </c>
      <c r="E1480" t="s">
        <v>180</v>
      </c>
      <c r="F1480" t="str">
        <f t="shared" si="120"/>
        <v>GRENOBLE170</v>
      </c>
      <c r="G1480" t="s">
        <v>448</v>
      </c>
      <c r="I1480" s="16">
        <v>1.45</v>
      </c>
      <c r="J1480" s="16">
        <v>1.45</v>
      </c>
      <c r="K1480" s="16">
        <v>0</v>
      </c>
      <c r="L1480" s="159">
        <f t="shared" si="121"/>
        <v>1</v>
      </c>
      <c r="M1480" s="159">
        <f t="shared" si="121"/>
        <v>0</v>
      </c>
    </row>
    <row r="1481" spans="2:13">
      <c r="B1481" t="s">
        <v>179</v>
      </c>
      <c r="C1481">
        <f t="shared" si="118"/>
        <v>171</v>
      </c>
      <c r="D1481" t="str">
        <f t="shared" si="119"/>
        <v>GRENOBLE171</v>
      </c>
      <c r="E1481" t="s">
        <v>180</v>
      </c>
      <c r="F1481" t="str">
        <f t="shared" si="120"/>
        <v>GRENOBLE171</v>
      </c>
      <c r="G1481" t="s">
        <v>438</v>
      </c>
      <c r="I1481" s="16">
        <v>1.17</v>
      </c>
      <c r="J1481" s="16">
        <v>1.17</v>
      </c>
      <c r="K1481" s="16">
        <v>0</v>
      </c>
      <c r="L1481" s="159">
        <f t="shared" si="121"/>
        <v>1</v>
      </c>
      <c r="M1481" s="159">
        <f t="shared" si="121"/>
        <v>0</v>
      </c>
    </row>
    <row r="1482" spans="2:13">
      <c r="B1482" t="s">
        <v>179</v>
      </c>
      <c r="C1482">
        <f t="shared" si="118"/>
        <v>172</v>
      </c>
      <c r="D1482" t="str">
        <f t="shared" si="119"/>
        <v>GRENOBLE172</v>
      </c>
      <c r="E1482" t="s">
        <v>180</v>
      </c>
      <c r="F1482" t="str">
        <f t="shared" si="120"/>
        <v>GRENOBLE172</v>
      </c>
      <c r="G1482" t="s">
        <v>430</v>
      </c>
      <c r="I1482" s="16">
        <v>1</v>
      </c>
      <c r="J1482" s="16">
        <v>0</v>
      </c>
      <c r="K1482" s="16">
        <v>0</v>
      </c>
      <c r="L1482" s="159">
        <f t="shared" si="121"/>
        <v>0</v>
      </c>
      <c r="M1482" s="159">
        <f t="shared" si="121"/>
        <v>0</v>
      </c>
    </row>
    <row r="1483" spans="2:13">
      <c r="B1483" t="s">
        <v>183</v>
      </c>
      <c r="C1483">
        <f t="shared" ref="C1483:C1514" si="122">RANK(I1483,$I$1482:$I$1637,0)</f>
        <v>1</v>
      </c>
      <c r="D1483" t="str">
        <f t="shared" si="119"/>
        <v>LYON1</v>
      </c>
      <c r="E1483" t="s">
        <v>1300</v>
      </c>
      <c r="F1483" t="str">
        <f t="shared" si="120"/>
        <v>LYON1</v>
      </c>
      <c r="G1483" t="s">
        <v>212</v>
      </c>
      <c r="H1483" t="s">
        <v>909</v>
      </c>
      <c r="I1483" s="16">
        <v>1205.17</v>
      </c>
      <c r="J1483" s="16">
        <v>0</v>
      </c>
      <c r="K1483" s="16">
        <v>480.35</v>
      </c>
      <c r="L1483" s="159">
        <f t="shared" si="121"/>
        <v>0</v>
      </c>
      <c r="M1483" s="159">
        <f t="shared" si="121"/>
        <v>0.39857447497033616</v>
      </c>
    </row>
    <row r="1484" spans="2:13">
      <c r="B1484" t="s">
        <v>183</v>
      </c>
      <c r="C1484">
        <f t="shared" si="122"/>
        <v>2</v>
      </c>
      <c r="D1484" t="str">
        <f t="shared" si="119"/>
        <v>LYON2</v>
      </c>
      <c r="E1484" t="s">
        <v>1300</v>
      </c>
      <c r="F1484" t="str">
        <f t="shared" si="120"/>
        <v>LYON2</v>
      </c>
      <c r="G1484" t="s">
        <v>220</v>
      </c>
      <c r="H1484" t="s">
        <v>913</v>
      </c>
      <c r="I1484" s="16">
        <v>1002.4</v>
      </c>
      <c r="J1484" s="16">
        <v>328.9</v>
      </c>
      <c r="K1484" s="16">
        <v>509.69</v>
      </c>
      <c r="L1484" s="159">
        <f t="shared" si="121"/>
        <v>0.32811252992817236</v>
      </c>
      <c r="M1484" s="159">
        <f t="shared" si="121"/>
        <v>0.5084696727853153</v>
      </c>
    </row>
    <row r="1485" spans="2:13">
      <c r="B1485" t="s">
        <v>183</v>
      </c>
      <c r="C1485">
        <f t="shared" si="122"/>
        <v>3</v>
      </c>
      <c r="D1485" t="str">
        <f t="shared" si="119"/>
        <v>LYON3</v>
      </c>
      <c r="E1485" t="s">
        <v>1300</v>
      </c>
      <c r="F1485" t="str">
        <f t="shared" si="120"/>
        <v>LYON3</v>
      </c>
      <c r="G1485" t="s">
        <v>207</v>
      </c>
      <c r="H1485" t="s">
        <v>906</v>
      </c>
      <c r="I1485" s="16">
        <v>844.81</v>
      </c>
      <c r="J1485" s="16">
        <v>461.44</v>
      </c>
      <c r="K1485" s="16">
        <v>359.15</v>
      </c>
      <c r="L1485" s="159">
        <f t="shared" si="121"/>
        <v>0.54620565570956792</v>
      </c>
      <c r="M1485" s="159">
        <f t="shared" si="121"/>
        <v>0.42512517607509381</v>
      </c>
    </row>
    <row r="1486" spans="2:13">
      <c r="B1486" t="s">
        <v>183</v>
      </c>
      <c r="C1486">
        <f t="shared" si="122"/>
        <v>4</v>
      </c>
      <c r="D1486" t="str">
        <f t="shared" si="119"/>
        <v>LYON4</v>
      </c>
      <c r="E1486" t="s">
        <v>1300</v>
      </c>
      <c r="F1486" t="str">
        <f t="shared" si="120"/>
        <v>LYON4</v>
      </c>
      <c r="G1486" t="s">
        <v>216</v>
      </c>
      <c r="H1486" t="s">
        <v>910</v>
      </c>
      <c r="I1486" s="16">
        <v>799.35</v>
      </c>
      <c r="J1486" s="16">
        <v>709.23</v>
      </c>
      <c r="K1486" s="16">
        <v>170.28</v>
      </c>
      <c r="L1486" s="159">
        <f t="shared" si="121"/>
        <v>0.88725839744792645</v>
      </c>
      <c r="M1486" s="159">
        <f t="shared" si="121"/>
        <v>0.21302308125351849</v>
      </c>
    </row>
    <row r="1487" spans="2:13">
      <c r="B1487" t="s">
        <v>183</v>
      </c>
      <c r="C1487">
        <f t="shared" si="122"/>
        <v>5</v>
      </c>
      <c r="D1487" t="str">
        <f t="shared" si="119"/>
        <v>LYON5</v>
      </c>
      <c r="E1487" t="s">
        <v>1300</v>
      </c>
      <c r="F1487" t="str">
        <f t="shared" si="120"/>
        <v>LYON5</v>
      </c>
      <c r="G1487" t="s">
        <v>354</v>
      </c>
      <c r="H1487" t="s">
        <v>942</v>
      </c>
      <c r="I1487" s="16">
        <v>745.58</v>
      </c>
      <c r="J1487" s="16">
        <v>542.4</v>
      </c>
      <c r="K1487" s="16">
        <v>0</v>
      </c>
      <c r="L1487" s="159">
        <f t="shared" si="121"/>
        <v>0.72748732530379023</v>
      </c>
      <c r="M1487" s="159">
        <f t="shared" si="121"/>
        <v>0</v>
      </c>
    </row>
    <row r="1488" spans="2:13">
      <c r="B1488" t="s">
        <v>183</v>
      </c>
      <c r="C1488">
        <f t="shared" si="122"/>
        <v>6</v>
      </c>
      <c r="D1488" t="str">
        <f t="shared" si="119"/>
        <v>LYON6</v>
      </c>
      <c r="E1488" t="s">
        <v>1300</v>
      </c>
      <c r="F1488" t="str">
        <f t="shared" si="120"/>
        <v>LYON6</v>
      </c>
      <c r="G1488" t="s">
        <v>208</v>
      </c>
      <c r="H1488" t="s">
        <v>907</v>
      </c>
      <c r="I1488" s="16">
        <v>740.19</v>
      </c>
      <c r="J1488" s="16">
        <v>109.72</v>
      </c>
      <c r="K1488" s="16">
        <v>96.69</v>
      </c>
      <c r="L1488" s="159">
        <f t="shared" si="121"/>
        <v>0.14823221064861725</v>
      </c>
      <c r="M1488" s="159">
        <f t="shared" si="121"/>
        <v>0.13062862238074008</v>
      </c>
    </row>
    <row r="1489" spans="2:13">
      <c r="B1489" t="s">
        <v>183</v>
      </c>
      <c r="C1489">
        <f t="shared" si="122"/>
        <v>7</v>
      </c>
      <c r="D1489" t="str">
        <f t="shared" si="119"/>
        <v>LYON7</v>
      </c>
      <c r="E1489" t="s">
        <v>1300</v>
      </c>
      <c r="F1489" t="str">
        <f t="shared" si="120"/>
        <v>LYON7</v>
      </c>
      <c r="G1489" t="s">
        <v>219</v>
      </c>
      <c r="H1489" t="s">
        <v>912</v>
      </c>
      <c r="I1489" s="16">
        <v>612.61</v>
      </c>
      <c r="J1489" s="16">
        <v>273.37</v>
      </c>
      <c r="K1489" s="16">
        <v>85.61</v>
      </c>
      <c r="L1489" s="159">
        <f t="shared" si="121"/>
        <v>0.4462382266042017</v>
      </c>
      <c r="M1489" s="159">
        <f t="shared" si="121"/>
        <v>0.13974633127111866</v>
      </c>
    </row>
    <row r="1490" spans="2:13">
      <c r="B1490" t="s">
        <v>183</v>
      </c>
      <c r="C1490">
        <f t="shared" si="122"/>
        <v>8</v>
      </c>
      <c r="D1490" t="str">
        <f t="shared" si="119"/>
        <v>LYON8</v>
      </c>
      <c r="E1490" t="s">
        <v>1300</v>
      </c>
      <c r="F1490" t="str">
        <f t="shared" si="120"/>
        <v>LYON8</v>
      </c>
      <c r="G1490" t="s">
        <v>214</v>
      </c>
      <c r="H1490" t="s">
        <v>215</v>
      </c>
      <c r="I1490" s="16">
        <v>559.16999999999996</v>
      </c>
      <c r="J1490" s="16">
        <v>431.41</v>
      </c>
      <c r="K1490" s="16">
        <v>62.76</v>
      </c>
      <c r="L1490" s="159">
        <f t="shared" si="121"/>
        <v>0.7715185006348696</v>
      </c>
      <c r="M1490" s="159">
        <f t="shared" si="121"/>
        <v>0.1122377809968346</v>
      </c>
    </row>
    <row r="1491" spans="2:13">
      <c r="B1491" t="s">
        <v>183</v>
      </c>
      <c r="C1491">
        <f t="shared" si="122"/>
        <v>9</v>
      </c>
      <c r="D1491" t="str">
        <f t="shared" si="119"/>
        <v>LYON9</v>
      </c>
      <c r="E1491" t="s">
        <v>1300</v>
      </c>
      <c r="F1491" t="str">
        <f t="shared" si="120"/>
        <v>LYON9</v>
      </c>
      <c r="G1491" t="s">
        <v>225</v>
      </c>
      <c r="H1491" t="s">
        <v>1779</v>
      </c>
      <c r="I1491" s="16">
        <v>524.19000000000005</v>
      </c>
      <c r="J1491" s="16">
        <v>189.15</v>
      </c>
      <c r="K1491" s="16">
        <v>61.22</v>
      </c>
      <c r="L1491" s="159">
        <f t="shared" si="121"/>
        <v>0.36084244262576542</v>
      </c>
      <c r="M1491" s="159">
        <f t="shared" si="121"/>
        <v>0.11678971365344626</v>
      </c>
    </row>
    <row r="1492" spans="2:13">
      <c r="B1492" t="s">
        <v>183</v>
      </c>
      <c r="C1492">
        <f t="shared" si="122"/>
        <v>10</v>
      </c>
      <c r="D1492" t="str">
        <f t="shared" si="119"/>
        <v>LYON10</v>
      </c>
      <c r="E1492" t="s">
        <v>1300</v>
      </c>
      <c r="F1492" t="str">
        <f t="shared" si="120"/>
        <v>LYON10</v>
      </c>
      <c r="G1492" t="s">
        <v>224</v>
      </c>
      <c r="H1492" t="s">
        <v>917</v>
      </c>
      <c r="I1492" s="16">
        <v>523.55999999999995</v>
      </c>
      <c r="J1492" s="16">
        <v>169.29</v>
      </c>
      <c r="K1492" s="16">
        <v>88.72</v>
      </c>
      <c r="L1492" s="159">
        <f t="shared" si="121"/>
        <v>0.32334402933761175</v>
      </c>
      <c r="M1492" s="159">
        <f t="shared" si="121"/>
        <v>0.16945526778210712</v>
      </c>
    </row>
    <row r="1493" spans="2:13">
      <c r="B1493" t="s">
        <v>183</v>
      </c>
      <c r="C1493">
        <f t="shared" si="122"/>
        <v>11</v>
      </c>
      <c r="D1493" t="str">
        <f t="shared" si="119"/>
        <v>LYON11</v>
      </c>
      <c r="E1493" t="s">
        <v>1300</v>
      </c>
      <c r="F1493" t="str">
        <f t="shared" si="120"/>
        <v>LYON11</v>
      </c>
      <c r="G1493" t="s">
        <v>402</v>
      </c>
      <c r="H1493" t="s">
        <v>1790</v>
      </c>
      <c r="I1493" s="16">
        <v>497.32</v>
      </c>
      <c r="J1493" s="16">
        <v>178.06</v>
      </c>
      <c r="K1493" s="16">
        <v>0</v>
      </c>
      <c r="L1493" s="159">
        <f t="shared" si="121"/>
        <v>0.35803908951982627</v>
      </c>
      <c r="M1493" s="159">
        <f t="shared" si="121"/>
        <v>0</v>
      </c>
    </row>
    <row r="1494" spans="2:13">
      <c r="B1494" t="s">
        <v>183</v>
      </c>
      <c r="C1494">
        <f t="shared" si="122"/>
        <v>12</v>
      </c>
      <c r="D1494" t="str">
        <f t="shared" si="119"/>
        <v>LYON12</v>
      </c>
      <c r="E1494" t="s">
        <v>1300</v>
      </c>
      <c r="F1494" t="str">
        <f t="shared" si="120"/>
        <v>LYON12</v>
      </c>
      <c r="G1494" t="s">
        <v>234</v>
      </c>
      <c r="H1494" t="s">
        <v>923</v>
      </c>
      <c r="I1494" s="16">
        <v>484.02</v>
      </c>
      <c r="J1494" s="16">
        <v>44.99</v>
      </c>
      <c r="K1494" s="16">
        <v>12.35</v>
      </c>
      <c r="L1494" s="159">
        <f t="shared" si="121"/>
        <v>9.2950704516342311E-2</v>
      </c>
      <c r="M1494" s="159">
        <f t="shared" si="121"/>
        <v>2.5515474567166647E-2</v>
      </c>
    </row>
    <row r="1495" spans="2:13">
      <c r="B1495" t="s">
        <v>183</v>
      </c>
      <c r="C1495">
        <f t="shared" si="122"/>
        <v>13</v>
      </c>
      <c r="D1495" t="str">
        <f t="shared" si="119"/>
        <v>LYON13</v>
      </c>
      <c r="E1495" t="s">
        <v>1300</v>
      </c>
      <c r="F1495" t="str">
        <f t="shared" si="120"/>
        <v>LYON13</v>
      </c>
      <c r="G1495" t="s">
        <v>228</v>
      </c>
      <c r="I1495" s="16">
        <v>452.62</v>
      </c>
      <c r="J1495" s="16">
        <v>142.76</v>
      </c>
      <c r="K1495" s="16">
        <v>0</v>
      </c>
      <c r="L1495" s="159">
        <f t="shared" si="121"/>
        <v>0.31540806857849851</v>
      </c>
      <c r="M1495" s="159">
        <f t="shared" si="121"/>
        <v>0</v>
      </c>
    </row>
    <row r="1496" spans="2:13">
      <c r="B1496" t="s">
        <v>183</v>
      </c>
      <c r="C1496">
        <f t="shared" si="122"/>
        <v>14</v>
      </c>
      <c r="D1496" t="str">
        <f t="shared" si="119"/>
        <v>LYON14</v>
      </c>
      <c r="E1496" t="s">
        <v>1300</v>
      </c>
      <c r="F1496" t="str">
        <f t="shared" si="120"/>
        <v>LYON14</v>
      </c>
      <c r="G1496" t="s">
        <v>213</v>
      </c>
      <c r="H1496" t="s">
        <v>919</v>
      </c>
      <c r="I1496" s="16">
        <v>431.25</v>
      </c>
      <c r="J1496" s="16">
        <v>144.33000000000001</v>
      </c>
      <c r="K1496" s="16">
        <v>232.52</v>
      </c>
      <c r="L1496" s="159">
        <f t="shared" si="121"/>
        <v>0.33467826086956526</v>
      </c>
      <c r="M1496" s="159">
        <f t="shared" si="121"/>
        <v>0.53917681159420294</v>
      </c>
    </row>
    <row r="1497" spans="2:13">
      <c r="B1497" t="s">
        <v>183</v>
      </c>
      <c r="C1497">
        <f t="shared" si="122"/>
        <v>15</v>
      </c>
      <c r="D1497" t="str">
        <f t="shared" si="119"/>
        <v>LYON15</v>
      </c>
      <c r="E1497" t="s">
        <v>1300</v>
      </c>
      <c r="F1497" t="str">
        <f t="shared" si="120"/>
        <v>LYON15</v>
      </c>
      <c r="G1497" t="s">
        <v>325</v>
      </c>
      <c r="H1497" t="s">
        <v>938</v>
      </c>
      <c r="I1497" s="16">
        <v>414.1</v>
      </c>
      <c r="J1497" s="16">
        <v>62.97</v>
      </c>
      <c r="K1497" s="16">
        <v>150.82</v>
      </c>
      <c r="L1497" s="159">
        <f t="shared" si="121"/>
        <v>0.15206471866698865</v>
      </c>
      <c r="M1497" s="159">
        <f t="shared" si="121"/>
        <v>0.36421154310553006</v>
      </c>
    </row>
    <row r="1498" spans="2:13">
      <c r="B1498" t="s">
        <v>183</v>
      </c>
      <c r="C1498">
        <f t="shared" si="122"/>
        <v>16</v>
      </c>
      <c r="D1498" t="str">
        <f t="shared" si="119"/>
        <v>LYON16</v>
      </c>
      <c r="E1498" t="s">
        <v>1300</v>
      </c>
      <c r="F1498" t="str">
        <f t="shared" si="120"/>
        <v>LYON16</v>
      </c>
      <c r="G1498" t="s">
        <v>235</v>
      </c>
      <c r="H1498" t="s">
        <v>236</v>
      </c>
      <c r="I1498" s="16">
        <v>410.33</v>
      </c>
      <c r="J1498" s="16">
        <v>24.08</v>
      </c>
      <c r="K1498" s="16">
        <v>272</v>
      </c>
      <c r="L1498" s="159">
        <f t="shared" si="121"/>
        <v>5.8684473472570858E-2</v>
      </c>
      <c r="M1498" s="159">
        <f t="shared" si="121"/>
        <v>0.66288109570345821</v>
      </c>
    </row>
    <row r="1499" spans="2:13">
      <c r="B1499" t="s">
        <v>183</v>
      </c>
      <c r="C1499">
        <f t="shared" si="122"/>
        <v>17</v>
      </c>
      <c r="D1499" t="str">
        <f t="shared" si="119"/>
        <v>LYON17</v>
      </c>
      <c r="E1499" t="s">
        <v>1300</v>
      </c>
      <c r="F1499" t="str">
        <f t="shared" si="120"/>
        <v>LYON17</v>
      </c>
      <c r="G1499" t="s">
        <v>222</v>
      </c>
      <c r="H1499" t="s">
        <v>915</v>
      </c>
      <c r="I1499" s="16">
        <v>396.14</v>
      </c>
      <c r="J1499" s="16">
        <v>9.0299999999999994</v>
      </c>
      <c r="K1499" s="16">
        <v>244.03</v>
      </c>
      <c r="L1499" s="159">
        <f t="shared" si="121"/>
        <v>2.2794971474731154E-2</v>
      </c>
      <c r="M1499" s="159">
        <f t="shared" si="121"/>
        <v>0.61601958903417986</v>
      </c>
    </row>
    <row r="1500" spans="2:13">
      <c r="B1500" t="s">
        <v>183</v>
      </c>
      <c r="C1500">
        <f t="shared" si="122"/>
        <v>18</v>
      </c>
      <c r="D1500" t="str">
        <f t="shared" si="119"/>
        <v>LYON18</v>
      </c>
      <c r="E1500" t="s">
        <v>1300</v>
      </c>
      <c r="F1500" t="str">
        <f t="shared" si="120"/>
        <v>LYON18</v>
      </c>
      <c r="G1500" t="s">
        <v>238</v>
      </c>
      <c r="H1500" t="s">
        <v>924</v>
      </c>
      <c r="I1500" s="16">
        <v>368.96</v>
      </c>
      <c r="J1500" s="16">
        <v>61.17</v>
      </c>
      <c r="K1500" s="16">
        <v>15.32</v>
      </c>
      <c r="L1500" s="159">
        <f t="shared" si="121"/>
        <v>0.16579032957502168</v>
      </c>
      <c r="M1500" s="159">
        <f t="shared" si="121"/>
        <v>4.1522116218560279E-2</v>
      </c>
    </row>
    <row r="1501" spans="2:13">
      <c r="B1501" t="s">
        <v>183</v>
      </c>
      <c r="C1501">
        <f t="shared" si="122"/>
        <v>19</v>
      </c>
      <c r="D1501" t="str">
        <f t="shared" si="119"/>
        <v>LYON19</v>
      </c>
      <c r="E1501" t="s">
        <v>1300</v>
      </c>
      <c r="F1501" t="str">
        <f t="shared" si="120"/>
        <v>LYON19</v>
      </c>
      <c r="G1501" t="s">
        <v>290</v>
      </c>
      <c r="H1501" t="s">
        <v>291</v>
      </c>
      <c r="I1501" s="16">
        <v>363.6</v>
      </c>
      <c r="J1501" s="16">
        <v>353.28</v>
      </c>
      <c r="K1501" s="16">
        <v>0</v>
      </c>
      <c r="L1501" s="159">
        <f t="shared" si="121"/>
        <v>0.97161716171617152</v>
      </c>
      <c r="M1501" s="159">
        <f t="shared" si="121"/>
        <v>0</v>
      </c>
    </row>
    <row r="1502" spans="2:13">
      <c r="B1502" t="s">
        <v>183</v>
      </c>
      <c r="C1502">
        <f t="shared" si="122"/>
        <v>20</v>
      </c>
      <c r="D1502" t="str">
        <f t="shared" si="119"/>
        <v>LYON20</v>
      </c>
      <c r="E1502" t="s">
        <v>1300</v>
      </c>
      <c r="F1502" t="str">
        <f t="shared" si="120"/>
        <v>LYON20</v>
      </c>
      <c r="G1502" t="s">
        <v>334</v>
      </c>
      <c r="H1502" t="s">
        <v>946</v>
      </c>
      <c r="I1502" s="16">
        <v>359.15</v>
      </c>
      <c r="J1502" s="16">
        <v>90.55</v>
      </c>
      <c r="K1502" s="16">
        <v>359.15</v>
      </c>
      <c r="L1502" s="159">
        <f t="shared" si="121"/>
        <v>0.2521230683558402</v>
      </c>
      <c r="M1502" s="159">
        <f t="shared" si="121"/>
        <v>1</v>
      </c>
    </row>
    <row r="1503" spans="2:13">
      <c r="B1503" t="s">
        <v>183</v>
      </c>
      <c r="C1503">
        <f t="shared" si="122"/>
        <v>21</v>
      </c>
      <c r="D1503" t="str">
        <f t="shared" si="119"/>
        <v>LYON21</v>
      </c>
      <c r="E1503" t="s">
        <v>1300</v>
      </c>
      <c r="F1503" t="str">
        <f t="shared" si="120"/>
        <v>LYON21</v>
      </c>
      <c r="G1503" t="s">
        <v>303</v>
      </c>
      <c r="H1503" t="s">
        <v>936</v>
      </c>
      <c r="I1503" s="16">
        <v>356.54</v>
      </c>
      <c r="J1503" s="16">
        <v>146.59</v>
      </c>
      <c r="K1503" s="16">
        <v>0</v>
      </c>
      <c r="L1503" s="159">
        <f t="shared" si="121"/>
        <v>0.41114601447242943</v>
      </c>
      <c r="M1503" s="159">
        <f t="shared" si="121"/>
        <v>0</v>
      </c>
    </row>
    <row r="1504" spans="2:13">
      <c r="B1504" t="s">
        <v>183</v>
      </c>
      <c r="C1504">
        <f t="shared" si="122"/>
        <v>22</v>
      </c>
      <c r="D1504" t="str">
        <f t="shared" si="119"/>
        <v>LYON22</v>
      </c>
      <c r="E1504" t="s">
        <v>1300</v>
      </c>
      <c r="F1504" t="str">
        <f t="shared" si="120"/>
        <v>LYON22</v>
      </c>
      <c r="G1504" t="s">
        <v>340</v>
      </c>
      <c r="H1504" t="s">
        <v>945</v>
      </c>
      <c r="I1504" s="16">
        <v>305.32</v>
      </c>
      <c r="J1504" s="16">
        <v>218.54</v>
      </c>
      <c r="K1504" s="16">
        <v>0</v>
      </c>
      <c r="L1504" s="159">
        <f t="shared" si="121"/>
        <v>0.71577361456832178</v>
      </c>
      <c r="M1504" s="159">
        <f t="shared" si="121"/>
        <v>0</v>
      </c>
    </row>
    <row r="1505" spans="2:13">
      <c r="B1505" t="s">
        <v>183</v>
      </c>
      <c r="C1505">
        <f t="shared" si="122"/>
        <v>23</v>
      </c>
      <c r="D1505" t="str">
        <f t="shared" si="119"/>
        <v>LYON23</v>
      </c>
      <c r="E1505" t="s">
        <v>1300</v>
      </c>
      <c r="F1505" t="str">
        <f t="shared" si="120"/>
        <v>LYON23</v>
      </c>
      <c r="G1505" t="s">
        <v>218</v>
      </c>
      <c r="H1505" t="s">
        <v>911</v>
      </c>
      <c r="I1505" s="16">
        <v>273.23</v>
      </c>
      <c r="J1505" s="16">
        <v>97.64</v>
      </c>
      <c r="K1505" s="16">
        <v>77.53</v>
      </c>
      <c r="L1505" s="159">
        <f t="shared" si="121"/>
        <v>0.35735460966950916</v>
      </c>
      <c r="M1505" s="159">
        <f t="shared" si="121"/>
        <v>0.28375361417121103</v>
      </c>
    </row>
    <row r="1506" spans="2:13">
      <c r="B1506" t="s">
        <v>183</v>
      </c>
      <c r="C1506">
        <f t="shared" si="122"/>
        <v>24</v>
      </c>
      <c r="D1506" t="str">
        <f t="shared" si="119"/>
        <v>LYON24</v>
      </c>
      <c r="E1506" t="s">
        <v>1300</v>
      </c>
      <c r="F1506" t="str">
        <f t="shared" si="120"/>
        <v>LYON24</v>
      </c>
      <c r="G1506" t="s">
        <v>246</v>
      </c>
      <c r="H1506" t="s">
        <v>928</v>
      </c>
      <c r="I1506" s="16">
        <v>255.78</v>
      </c>
      <c r="J1506" s="16">
        <v>70.67</v>
      </c>
      <c r="K1506" s="16">
        <v>121.23</v>
      </c>
      <c r="L1506" s="159">
        <f t="shared" si="121"/>
        <v>0.27629212604582065</v>
      </c>
      <c r="M1506" s="159">
        <f t="shared" si="121"/>
        <v>0.47396199859254046</v>
      </c>
    </row>
    <row r="1507" spans="2:13">
      <c r="B1507" t="s">
        <v>183</v>
      </c>
      <c r="C1507">
        <f t="shared" si="122"/>
        <v>25</v>
      </c>
      <c r="D1507" t="str">
        <f t="shared" si="119"/>
        <v>LYON25</v>
      </c>
      <c r="E1507" t="s">
        <v>1300</v>
      </c>
      <c r="F1507" t="str">
        <f t="shared" si="120"/>
        <v>LYON25</v>
      </c>
      <c r="G1507" t="s">
        <v>249</v>
      </c>
      <c r="I1507" s="16">
        <v>251.7</v>
      </c>
      <c r="J1507" s="16">
        <v>57.44</v>
      </c>
      <c r="K1507" s="16">
        <v>39.630000000000003</v>
      </c>
      <c r="L1507" s="159">
        <f t="shared" si="121"/>
        <v>0.22820818434644419</v>
      </c>
      <c r="M1507" s="159">
        <f t="shared" si="121"/>
        <v>0.15744934445768774</v>
      </c>
    </row>
    <row r="1508" spans="2:13">
      <c r="B1508" t="s">
        <v>183</v>
      </c>
      <c r="C1508">
        <f t="shared" si="122"/>
        <v>26</v>
      </c>
      <c r="D1508" t="str">
        <f t="shared" si="119"/>
        <v>LYON26</v>
      </c>
      <c r="E1508" t="s">
        <v>1300</v>
      </c>
      <c r="F1508" t="str">
        <f t="shared" si="120"/>
        <v>LYON26</v>
      </c>
      <c r="G1508" t="s">
        <v>211</v>
      </c>
      <c r="H1508" t="s">
        <v>908</v>
      </c>
      <c r="I1508" s="16">
        <v>241.43</v>
      </c>
      <c r="J1508" s="16">
        <v>171.37</v>
      </c>
      <c r="K1508" s="16">
        <v>165.84</v>
      </c>
      <c r="L1508" s="159">
        <f t="shared" si="121"/>
        <v>0.70981236797415403</v>
      </c>
      <c r="M1508" s="159">
        <f t="shared" si="121"/>
        <v>0.68690717806403512</v>
      </c>
    </row>
    <row r="1509" spans="2:13">
      <c r="B1509" t="s">
        <v>183</v>
      </c>
      <c r="C1509">
        <f t="shared" si="122"/>
        <v>27</v>
      </c>
      <c r="D1509" t="str">
        <f t="shared" si="119"/>
        <v>LYON27</v>
      </c>
      <c r="E1509" t="s">
        <v>1300</v>
      </c>
      <c r="F1509" t="str">
        <f t="shared" si="120"/>
        <v>LYON27</v>
      </c>
      <c r="G1509" t="s">
        <v>278</v>
      </c>
      <c r="H1509" t="s">
        <v>934</v>
      </c>
      <c r="I1509" s="16">
        <v>231.05</v>
      </c>
      <c r="J1509" s="16">
        <v>34.450000000000003</v>
      </c>
      <c r="K1509" s="16">
        <v>16.23</v>
      </c>
      <c r="L1509" s="159">
        <f t="shared" si="121"/>
        <v>0.14910192599004546</v>
      </c>
      <c r="M1509" s="159">
        <f t="shared" si="121"/>
        <v>7.0244535814758702E-2</v>
      </c>
    </row>
    <row r="1510" spans="2:13">
      <c r="B1510" t="s">
        <v>183</v>
      </c>
      <c r="C1510">
        <f t="shared" si="122"/>
        <v>28</v>
      </c>
      <c r="D1510" t="str">
        <f t="shared" si="119"/>
        <v>LYON28</v>
      </c>
      <c r="E1510" t="s">
        <v>1300</v>
      </c>
      <c r="F1510" t="str">
        <f t="shared" si="120"/>
        <v>LYON28</v>
      </c>
      <c r="G1510" t="s">
        <v>298</v>
      </c>
      <c r="I1510" s="16">
        <v>213.96</v>
      </c>
      <c r="J1510" s="16">
        <v>177.6</v>
      </c>
      <c r="K1510" s="16">
        <v>0</v>
      </c>
      <c r="L1510" s="159">
        <f t="shared" si="121"/>
        <v>0.8300616937745372</v>
      </c>
      <c r="M1510" s="159">
        <f t="shared" si="121"/>
        <v>0</v>
      </c>
    </row>
    <row r="1511" spans="2:13">
      <c r="B1511" t="s">
        <v>183</v>
      </c>
      <c r="C1511">
        <f t="shared" si="122"/>
        <v>29</v>
      </c>
      <c r="D1511" t="str">
        <f t="shared" si="119"/>
        <v>LYON29</v>
      </c>
      <c r="E1511" t="s">
        <v>1300</v>
      </c>
      <c r="F1511" t="str">
        <f t="shared" si="120"/>
        <v>LYON29</v>
      </c>
      <c r="G1511" t="s">
        <v>282</v>
      </c>
      <c r="H1511" t="s">
        <v>920</v>
      </c>
      <c r="I1511" s="16">
        <v>209.1</v>
      </c>
      <c r="J1511" s="16">
        <v>50.98</v>
      </c>
      <c r="K1511" s="16">
        <v>0</v>
      </c>
      <c r="L1511" s="159">
        <f t="shared" si="121"/>
        <v>0.24380679100908656</v>
      </c>
      <c r="M1511" s="159">
        <f t="shared" si="121"/>
        <v>0</v>
      </c>
    </row>
    <row r="1512" spans="2:13">
      <c r="B1512" t="s">
        <v>183</v>
      </c>
      <c r="C1512">
        <f t="shared" si="122"/>
        <v>30</v>
      </c>
      <c r="D1512" t="str">
        <f t="shared" si="119"/>
        <v>LYON30</v>
      </c>
      <c r="E1512" t="s">
        <v>1300</v>
      </c>
      <c r="F1512" t="str">
        <f t="shared" si="120"/>
        <v>LYON30</v>
      </c>
      <c r="G1512" t="s">
        <v>221</v>
      </c>
      <c r="H1512" t="s">
        <v>914</v>
      </c>
      <c r="I1512" s="16">
        <v>207.96</v>
      </c>
      <c r="J1512" s="16">
        <v>49.03</v>
      </c>
      <c r="K1512" s="16">
        <v>123.67</v>
      </c>
      <c r="L1512" s="159">
        <f t="shared" si="121"/>
        <v>0.23576649355645315</v>
      </c>
      <c r="M1512" s="159">
        <f t="shared" si="121"/>
        <v>0.59468166955183688</v>
      </c>
    </row>
    <row r="1513" spans="2:13">
      <c r="B1513" t="s">
        <v>183</v>
      </c>
      <c r="C1513">
        <f t="shared" si="122"/>
        <v>31</v>
      </c>
      <c r="D1513" t="str">
        <f t="shared" si="119"/>
        <v>LYON31</v>
      </c>
      <c r="E1513" t="s">
        <v>1300</v>
      </c>
      <c r="F1513" t="str">
        <f t="shared" si="120"/>
        <v>LYON31</v>
      </c>
      <c r="G1513" t="s">
        <v>226</v>
      </c>
      <c r="H1513" t="s">
        <v>227</v>
      </c>
      <c r="I1513" s="16">
        <v>206.85</v>
      </c>
      <c r="J1513" s="16">
        <v>19.21</v>
      </c>
      <c r="K1513" s="16">
        <v>47.56</v>
      </c>
      <c r="L1513" s="159">
        <f t="shared" si="121"/>
        <v>9.286922890983805E-2</v>
      </c>
      <c r="M1513" s="159">
        <f t="shared" si="121"/>
        <v>0.22992506647328984</v>
      </c>
    </row>
    <row r="1514" spans="2:13">
      <c r="B1514" t="s">
        <v>183</v>
      </c>
      <c r="C1514">
        <f t="shared" si="122"/>
        <v>32</v>
      </c>
      <c r="D1514" t="str">
        <f t="shared" si="119"/>
        <v>LYON32</v>
      </c>
      <c r="E1514" t="s">
        <v>1300</v>
      </c>
      <c r="F1514" t="str">
        <f t="shared" si="120"/>
        <v>LYON32</v>
      </c>
      <c r="G1514" t="s">
        <v>242</v>
      </c>
      <c r="H1514" t="s">
        <v>243</v>
      </c>
      <c r="I1514" s="16">
        <v>205.59</v>
      </c>
      <c r="J1514" s="16">
        <v>168.26</v>
      </c>
      <c r="K1514" s="16">
        <v>37.35</v>
      </c>
      <c r="L1514" s="159">
        <f t="shared" si="121"/>
        <v>0.81842502067221168</v>
      </c>
      <c r="M1514" s="159">
        <f t="shared" si="121"/>
        <v>0.18167226032394573</v>
      </c>
    </row>
    <row r="1515" spans="2:13">
      <c r="B1515" t="s">
        <v>183</v>
      </c>
      <c r="C1515">
        <f t="shared" ref="C1515:C1546" si="123">RANK(I1515,$I$1482:$I$1637,0)</f>
        <v>33</v>
      </c>
      <c r="D1515" t="str">
        <f t="shared" si="119"/>
        <v>LYON33</v>
      </c>
      <c r="E1515" t="s">
        <v>1300</v>
      </c>
      <c r="F1515" t="str">
        <f t="shared" si="120"/>
        <v>LYON33</v>
      </c>
      <c r="G1515" t="s">
        <v>247</v>
      </c>
      <c r="H1515" t="s">
        <v>248</v>
      </c>
      <c r="I1515" s="16">
        <v>203.74</v>
      </c>
      <c r="J1515" s="16">
        <v>83.23</v>
      </c>
      <c r="K1515" s="16">
        <v>3.28</v>
      </c>
      <c r="L1515" s="159">
        <f t="shared" si="121"/>
        <v>0.40851084715814273</v>
      </c>
      <c r="M1515" s="159">
        <f t="shared" si="121"/>
        <v>1.6098949641700205E-2</v>
      </c>
    </row>
    <row r="1516" spans="2:13">
      <c r="B1516" t="s">
        <v>183</v>
      </c>
      <c r="C1516">
        <f t="shared" si="123"/>
        <v>34</v>
      </c>
      <c r="D1516" t="str">
        <f t="shared" si="119"/>
        <v>LYON34</v>
      </c>
      <c r="E1516" t="s">
        <v>1300</v>
      </c>
      <c r="F1516" t="str">
        <f t="shared" si="120"/>
        <v>LYON34</v>
      </c>
      <c r="G1516" t="s">
        <v>223</v>
      </c>
      <c r="H1516" t="s">
        <v>916</v>
      </c>
      <c r="I1516" s="16">
        <v>202.15</v>
      </c>
      <c r="J1516" s="16">
        <v>112.87</v>
      </c>
      <c r="K1516" s="16">
        <v>10.08</v>
      </c>
      <c r="L1516" s="159">
        <f t="shared" si="121"/>
        <v>0.55834776156319565</v>
      </c>
      <c r="M1516" s="159">
        <f t="shared" si="121"/>
        <v>4.9863962404155332E-2</v>
      </c>
    </row>
    <row r="1517" spans="2:13">
      <c r="B1517" t="s">
        <v>183</v>
      </c>
      <c r="C1517">
        <f t="shared" si="123"/>
        <v>35</v>
      </c>
      <c r="D1517" t="str">
        <f t="shared" si="119"/>
        <v>LYON35</v>
      </c>
      <c r="E1517" t="s">
        <v>1300</v>
      </c>
      <c r="F1517" t="str">
        <f t="shared" si="120"/>
        <v>LYON35</v>
      </c>
      <c r="G1517" t="s">
        <v>341</v>
      </c>
      <c r="I1517" s="16">
        <v>198.63</v>
      </c>
      <c r="J1517" s="16">
        <v>97.39</v>
      </c>
      <c r="K1517" s="16">
        <v>0</v>
      </c>
      <c r="L1517" s="159">
        <f t="shared" si="121"/>
        <v>0.49030861400594072</v>
      </c>
      <c r="M1517" s="159">
        <f t="shared" si="121"/>
        <v>0</v>
      </c>
    </row>
    <row r="1518" spans="2:13">
      <c r="B1518" t="s">
        <v>183</v>
      </c>
      <c r="C1518">
        <f t="shared" si="123"/>
        <v>36</v>
      </c>
      <c r="D1518" t="str">
        <f t="shared" si="119"/>
        <v>LYON36</v>
      </c>
      <c r="E1518" t="s">
        <v>1300</v>
      </c>
      <c r="F1518" t="str">
        <f t="shared" si="120"/>
        <v>LYON36</v>
      </c>
      <c r="G1518" t="s">
        <v>287</v>
      </c>
      <c r="I1518" s="16">
        <v>196.83</v>
      </c>
      <c r="J1518" s="16">
        <v>47.08</v>
      </c>
      <c r="K1518" s="16">
        <v>12.73</v>
      </c>
      <c r="L1518" s="159">
        <f t="shared" si="121"/>
        <v>0.23919118020626934</v>
      </c>
      <c r="M1518" s="159">
        <f t="shared" si="121"/>
        <v>6.4675100340395267E-2</v>
      </c>
    </row>
    <row r="1519" spans="2:13">
      <c r="B1519" t="s">
        <v>183</v>
      </c>
      <c r="C1519">
        <f t="shared" si="123"/>
        <v>37</v>
      </c>
      <c r="D1519" t="str">
        <f t="shared" si="119"/>
        <v>LYON37</v>
      </c>
      <c r="E1519" t="s">
        <v>1300</v>
      </c>
      <c r="F1519" t="str">
        <f t="shared" si="120"/>
        <v>LYON37</v>
      </c>
      <c r="G1519" t="s">
        <v>253</v>
      </c>
      <c r="I1519" s="16">
        <v>192.05</v>
      </c>
      <c r="J1519" s="16">
        <v>165.59</v>
      </c>
      <c r="K1519" s="16">
        <v>26.46</v>
      </c>
      <c r="L1519" s="159">
        <f t="shared" si="121"/>
        <v>0.86222337932829984</v>
      </c>
      <c r="M1519" s="159">
        <f t="shared" si="121"/>
        <v>0.13777662067170007</v>
      </c>
    </row>
    <row r="1520" spans="2:13">
      <c r="B1520" t="s">
        <v>183</v>
      </c>
      <c r="C1520">
        <f t="shared" si="123"/>
        <v>38</v>
      </c>
      <c r="D1520" t="str">
        <f t="shared" si="119"/>
        <v>LYON38</v>
      </c>
      <c r="E1520" t="s">
        <v>1300</v>
      </c>
      <c r="F1520" t="str">
        <f t="shared" si="120"/>
        <v>LYON38</v>
      </c>
      <c r="G1520" t="s">
        <v>270</v>
      </c>
      <c r="I1520" s="16">
        <v>187.1</v>
      </c>
      <c r="J1520" s="16">
        <v>70.69</v>
      </c>
      <c r="K1520" s="16">
        <v>24.81</v>
      </c>
      <c r="L1520" s="159">
        <f t="shared" si="121"/>
        <v>0.37781934794227684</v>
      </c>
      <c r="M1520" s="159">
        <f t="shared" si="121"/>
        <v>0.13260288615713522</v>
      </c>
    </row>
    <row r="1521" spans="2:13">
      <c r="B1521" t="s">
        <v>183</v>
      </c>
      <c r="C1521">
        <f t="shared" si="123"/>
        <v>39</v>
      </c>
      <c r="D1521" t="str">
        <f t="shared" si="119"/>
        <v>LYON39</v>
      </c>
      <c r="E1521" t="s">
        <v>1300</v>
      </c>
      <c r="F1521" t="str">
        <f t="shared" si="120"/>
        <v>LYON39</v>
      </c>
      <c r="G1521" t="s">
        <v>240</v>
      </c>
      <c r="H1521" t="s">
        <v>926</v>
      </c>
      <c r="I1521" s="16">
        <v>180</v>
      </c>
      <c r="J1521" s="16">
        <v>180</v>
      </c>
      <c r="K1521" s="16">
        <v>0</v>
      </c>
      <c r="L1521" s="159">
        <f t="shared" si="121"/>
        <v>1</v>
      </c>
      <c r="M1521" s="159">
        <f t="shared" si="121"/>
        <v>0</v>
      </c>
    </row>
    <row r="1522" spans="2:13">
      <c r="B1522" t="s">
        <v>183</v>
      </c>
      <c r="C1522">
        <f t="shared" si="123"/>
        <v>40</v>
      </c>
      <c r="D1522" t="str">
        <f t="shared" si="119"/>
        <v>LYON40</v>
      </c>
      <c r="E1522" t="s">
        <v>1300</v>
      </c>
      <c r="F1522" t="str">
        <f t="shared" si="120"/>
        <v>LYON40</v>
      </c>
      <c r="G1522" t="s">
        <v>379</v>
      </c>
      <c r="H1522" t="s">
        <v>944</v>
      </c>
      <c r="I1522" s="16">
        <v>174.32</v>
      </c>
      <c r="J1522" s="16">
        <v>93.57</v>
      </c>
      <c r="K1522" s="16">
        <v>0</v>
      </c>
      <c r="L1522" s="159">
        <f t="shared" si="121"/>
        <v>0.53677145479577781</v>
      </c>
      <c r="M1522" s="159">
        <f t="shared" si="121"/>
        <v>0</v>
      </c>
    </row>
    <row r="1523" spans="2:13">
      <c r="B1523" t="s">
        <v>183</v>
      </c>
      <c r="C1523">
        <f t="shared" si="123"/>
        <v>41</v>
      </c>
      <c r="D1523" t="str">
        <f t="shared" si="119"/>
        <v>LYON41</v>
      </c>
      <c r="E1523" t="s">
        <v>1300</v>
      </c>
      <c r="F1523" t="str">
        <f t="shared" si="120"/>
        <v>LYON41</v>
      </c>
      <c r="G1523" t="s">
        <v>232</v>
      </c>
      <c r="H1523" t="s">
        <v>922</v>
      </c>
      <c r="I1523" s="16">
        <v>173.73</v>
      </c>
      <c r="J1523" s="16">
        <v>145.94</v>
      </c>
      <c r="K1523" s="16">
        <v>3.66</v>
      </c>
      <c r="L1523" s="159">
        <f t="shared" si="121"/>
        <v>0.8400391411961089</v>
      </c>
      <c r="M1523" s="159">
        <f t="shared" si="121"/>
        <v>2.1067173199792785E-2</v>
      </c>
    </row>
    <row r="1524" spans="2:13">
      <c r="B1524" t="s">
        <v>183</v>
      </c>
      <c r="C1524">
        <f t="shared" si="123"/>
        <v>42</v>
      </c>
      <c r="D1524" t="str">
        <f t="shared" si="119"/>
        <v>LYON42</v>
      </c>
      <c r="E1524" t="s">
        <v>1300</v>
      </c>
      <c r="F1524" t="str">
        <f t="shared" si="120"/>
        <v>LYON42</v>
      </c>
      <c r="G1524" t="s">
        <v>266</v>
      </c>
      <c r="H1524" t="s">
        <v>267</v>
      </c>
      <c r="I1524" s="16">
        <v>171.05</v>
      </c>
      <c r="J1524" s="16">
        <v>96.58</v>
      </c>
      <c r="K1524" s="16">
        <v>88.98</v>
      </c>
      <c r="L1524" s="159">
        <f t="shared" si="121"/>
        <v>0.56463022508038585</v>
      </c>
      <c r="M1524" s="159">
        <f t="shared" si="121"/>
        <v>0.5201987722888044</v>
      </c>
    </row>
    <row r="1525" spans="2:13">
      <c r="B1525" t="s">
        <v>183</v>
      </c>
      <c r="C1525">
        <f t="shared" si="123"/>
        <v>43</v>
      </c>
      <c r="D1525" t="str">
        <f t="shared" si="119"/>
        <v>LYON43</v>
      </c>
      <c r="E1525" t="s">
        <v>1300</v>
      </c>
      <c r="F1525" t="str">
        <f t="shared" si="120"/>
        <v>LYON43</v>
      </c>
      <c r="G1525" t="s">
        <v>312</v>
      </c>
      <c r="I1525" s="16">
        <v>165.05</v>
      </c>
      <c r="J1525" s="16">
        <v>86.4</v>
      </c>
      <c r="K1525" s="16">
        <v>4.8499999999999996</v>
      </c>
      <c r="L1525" s="159">
        <f t="shared" si="121"/>
        <v>0.52347773401999398</v>
      </c>
      <c r="M1525" s="159">
        <f t="shared" si="121"/>
        <v>2.9385034837927898E-2</v>
      </c>
    </row>
    <row r="1526" spans="2:13">
      <c r="B1526" t="s">
        <v>183</v>
      </c>
      <c r="C1526">
        <f t="shared" si="123"/>
        <v>44</v>
      </c>
      <c r="D1526" t="str">
        <f t="shared" si="119"/>
        <v>LYON44</v>
      </c>
      <c r="E1526" t="s">
        <v>1300</v>
      </c>
      <c r="F1526" t="str">
        <f t="shared" si="120"/>
        <v>LYON44</v>
      </c>
      <c r="G1526" t="s">
        <v>289</v>
      </c>
      <c r="H1526" t="s">
        <v>935</v>
      </c>
      <c r="I1526" s="16">
        <v>157.72999999999999</v>
      </c>
      <c r="J1526" s="16">
        <v>103.35</v>
      </c>
      <c r="K1526" s="16">
        <v>15.16</v>
      </c>
      <c r="L1526" s="159">
        <f t="shared" si="121"/>
        <v>0.65523362708425792</v>
      </c>
      <c r="M1526" s="159">
        <f t="shared" si="121"/>
        <v>9.6113611868382687E-2</v>
      </c>
    </row>
    <row r="1527" spans="2:13">
      <c r="B1527" t="s">
        <v>183</v>
      </c>
      <c r="C1527">
        <f t="shared" si="123"/>
        <v>45</v>
      </c>
      <c r="D1527" t="str">
        <f t="shared" si="119"/>
        <v>LYON45</v>
      </c>
      <c r="E1527" t="s">
        <v>1300</v>
      </c>
      <c r="F1527" t="str">
        <f t="shared" si="120"/>
        <v>LYON45</v>
      </c>
      <c r="G1527" t="s">
        <v>363</v>
      </c>
      <c r="I1527" s="16">
        <v>140.6</v>
      </c>
      <c r="J1527" s="16">
        <v>6.06</v>
      </c>
      <c r="K1527" s="16">
        <v>10.08</v>
      </c>
      <c r="L1527" s="159">
        <f t="shared" si="121"/>
        <v>4.3100995732574678E-2</v>
      </c>
      <c r="M1527" s="159">
        <f t="shared" si="121"/>
        <v>7.1692745376955913E-2</v>
      </c>
    </row>
    <row r="1528" spans="2:13">
      <c r="B1528" t="s">
        <v>183</v>
      </c>
      <c r="C1528">
        <f t="shared" si="123"/>
        <v>46</v>
      </c>
      <c r="D1528" t="str">
        <f t="shared" si="119"/>
        <v>LYON46</v>
      </c>
      <c r="E1528" t="s">
        <v>1300</v>
      </c>
      <c r="F1528" t="str">
        <f t="shared" si="120"/>
        <v>LYON46</v>
      </c>
      <c r="G1528" t="s">
        <v>252</v>
      </c>
      <c r="H1528" t="s">
        <v>930</v>
      </c>
      <c r="I1528" s="16">
        <v>133.71</v>
      </c>
      <c r="J1528" s="16">
        <v>82.79</v>
      </c>
      <c r="K1528" s="16">
        <v>0</v>
      </c>
      <c r="L1528" s="159">
        <f t="shared" si="121"/>
        <v>0.61917582828509465</v>
      </c>
      <c r="M1528" s="159">
        <f t="shared" si="121"/>
        <v>0</v>
      </c>
    </row>
    <row r="1529" spans="2:13">
      <c r="B1529" t="s">
        <v>183</v>
      </c>
      <c r="C1529">
        <f t="shared" si="123"/>
        <v>47</v>
      </c>
      <c r="D1529" t="str">
        <f t="shared" si="119"/>
        <v>LYON47</v>
      </c>
      <c r="E1529" t="s">
        <v>1300</v>
      </c>
      <c r="F1529" t="str">
        <f t="shared" si="120"/>
        <v>LYON47</v>
      </c>
      <c r="G1529" t="s">
        <v>209</v>
      </c>
      <c r="H1529" t="s">
        <v>210</v>
      </c>
      <c r="I1529" s="16">
        <v>127.24</v>
      </c>
      <c r="J1529" s="16">
        <v>25.77</v>
      </c>
      <c r="K1529" s="16">
        <v>40.4</v>
      </c>
      <c r="L1529" s="159">
        <f t="shared" si="121"/>
        <v>0.20253065073876139</v>
      </c>
      <c r="M1529" s="159">
        <f t="shared" si="121"/>
        <v>0.31751021691292047</v>
      </c>
    </row>
    <row r="1530" spans="2:13">
      <c r="B1530" t="s">
        <v>183</v>
      </c>
      <c r="C1530">
        <f t="shared" si="123"/>
        <v>48</v>
      </c>
      <c r="D1530" t="str">
        <f t="shared" si="119"/>
        <v>LYON48</v>
      </c>
      <c r="E1530" t="s">
        <v>1300</v>
      </c>
      <c r="F1530" t="str">
        <f t="shared" si="120"/>
        <v>LYON48</v>
      </c>
      <c r="G1530" t="s">
        <v>276</v>
      </c>
      <c r="H1530" t="s">
        <v>933</v>
      </c>
      <c r="I1530" s="16">
        <v>119.88</v>
      </c>
      <c r="J1530" s="16">
        <v>20.059999999999999</v>
      </c>
      <c r="K1530" s="16">
        <v>14.49</v>
      </c>
      <c r="L1530" s="159">
        <f t="shared" si="121"/>
        <v>0.167334000667334</v>
      </c>
      <c r="M1530" s="159">
        <f t="shared" si="121"/>
        <v>0.12087087087087088</v>
      </c>
    </row>
    <row r="1531" spans="2:13">
      <c r="B1531" t="s">
        <v>183</v>
      </c>
      <c r="C1531">
        <f t="shared" si="123"/>
        <v>49</v>
      </c>
      <c r="D1531" t="str">
        <f t="shared" si="119"/>
        <v>LYON49</v>
      </c>
      <c r="E1531" t="s">
        <v>1300</v>
      </c>
      <c r="F1531" t="str">
        <f t="shared" si="120"/>
        <v>LYON49</v>
      </c>
      <c r="G1531" t="s">
        <v>279</v>
      </c>
      <c r="I1531" s="16">
        <v>118.49</v>
      </c>
      <c r="J1531" s="16">
        <v>33.18</v>
      </c>
      <c r="K1531" s="16">
        <v>10</v>
      </c>
      <c r="L1531" s="159">
        <f t="shared" si="121"/>
        <v>0.28002363068613384</v>
      </c>
      <c r="M1531" s="159">
        <f t="shared" si="121"/>
        <v>8.4395307620896282E-2</v>
      </c>
    </row>
    <row r="1532" spans="2:13">
      <c r="B1532" t="s">
        <v>183</v>
      </c>
      <c r="C1532">
        <f t="shared" si="123"/>
        <v>50</v>
      </c>
      <c r="D1532" t="str">
        <f t="shared" si="119"/>
        <v>LYON50</v>
      </c>
      <c r="E1532" t="s">
        <v>1300</v>
      </c>
      <c r="F1532" t="str">
        <f t="shared" si="120"/>
        <v>LYON50</v>
      </c>
      <c r="G1532" t="s">
        <v>304</v>
      </c>
      <c r="I1532" s="16">
        <v>118.16</v>
      </c>
      <c r="J1532" s="16">
        <v>58.99</v>
      </c>
      <c r="K1532" s="16">
        <v>10.55</v>
      </c>
      <c r="L1532" s="159">
        <f t="shared" si="121"/>
        <v>0.49923832092078541</v>
      </c>
      <c r="M1532" s="159">
        <f t="shared" si="121"/>
        <v>8.9285714285714288E-2</v>
      </c>
    </row>
    <row r="1533" spans="2:13">
      <c r="B1533" t="s">
        <v>183</v>
      </c>
      <c r="C1533">
        <f t="shared" si="123"/>
        <v>51</v>
      </c>
      <c r="D1533" t="str">
        <f t="shared" si="119"/>
        <v>LYON51</v>
      </c>
      <c r="E1533" t="s">
        <v>1300</v>
      </c>
      <c r="F1533" t="str">
        <f t="shared" si="120"/>
        <v>LYON51</v>
      </c>
      <c r="G1533" t="s">
        <v>306</v>
      </c>
      <c r="H1533" t="s">
        <v>307</v>
      </c>
      <c r="I1533" s="16">
        <v>116.05</v>
      </c>
      <c r="J1533" s="16">
        <v>20.95</v>
      </c>
      <c r="K1533" s="16">
        <v>0</v>
      </c>
      <c r="L1533" s="159">
        <f t="shared" si="121"/>
        <v>0.18052563550193881</v>
      </c>
      <c r="M1533" s="159">
        <f t="shared" si="121"/>
        <v>0</v>
      </c>
    </row>
    <row r="1534" spans="2:13">
      <c r="B1534" t="s">
        <v>183</v>
      </c>
      <c r="C1534">
        <f t="shared" si="123"/>
        <v>52</v>
      </c>
      <c r="D1534" t="str">
        <f t="shared" si="119"/>
        <v>LYON52</v>
      </c>
      <c r="E1534" t="s">
        <v>1300</v>
      </c>
      <c r="F1534" t="str">
        <f t="shared" si="120"/>
        <v>LYON52</v>
      </c>
      <c r="G1534" t="s">
        <v>320</v>
      </c>
      <c r="I1534" s="16">
        <v>105.07</v>
      </c>
      <c r="J1534" s="16">
        <v>54.56</v>
      </c>
      <c r="K1534" s="16">
        <v>0</v>
      </c>
      <c r="L1534" s="159">
        <f t="shared" si="121"/>
        <v>0.51927286570857534</v>
      </c>
      <c r="M1534" s="159">
        <f t="shared" si="121"/>
        <v>0</v>
      </c>
    </row>
    <row r="1535" spans="2:13">
      <c r="B1535" t="s">
        <v>183</v>
      </c>
      <c r="C1535">
        <f t="shared" si="123"/>
        <v>53</v>
      </c>
      <c r="D1535" t="str">
        <f t="shared" si="119"/>
        <v>LYON53</v>
      </c>
      <c r="E1535" t="s">
        <v>1300</v>
      </c>
      <c r="F1535" t="str">
        <f t="shared" si="120"/>
        <v>LYON53</v>
      </c>
      <c r="G1535" t="s">
        <v>229</v>
      </c>
      <c r="H1535" t="s">
        <v>921</v>
      </c>
      <c r="I1535" s="16">
        <v>101.71</v>
      </c>
      <c r="J1535" s="16">
        <v>41.49</v>
      </c>
      <c r="K1535" s="16">
        <v>0</v>
      </c>
      <c r="L1535" s="159">
        <f t="shared" si="121"/>
        <v>0.40792449120047197</v>
      </c>
      <c r="M1535" s="159">
        <f t="shared" si="121"/>
        <v>0</v>
      </c>
    </row>
    <row r="1536" spans="2:13">
      <c r="B1536" t="s">
        <v>183</v>
      </c>
      <c r="C1536">
        <f t="shared" si="123"/>
        <v>54</v>
      </c>
      <c r="D1536" t="str">
        <f t="shared" si="119"/>
        <v>LYON54</v>
      </c>
      <c r="E1536" t="s">
        <v>1300</v>
      </c>
      <c r="F1536" t="str">
        <f t="shared" si="120"/>
        <v>LYON54</v>
      </c>
      <c r="G1536" t="s">
        <v>241</v>
      </c>
      <c r="H1536" t="s">
        <v>927</v>
      </c>
      <c r="I1536" s="16">
        <v>98.41</v>
      </c>
      <c r="J1536" s="16">
        <v>60.85</v>
      </c>
      <c r="K1536" s="16">
        <v>0</v>
      </c>
      <c r="L1536" s="159">
        <f t="shared" si="121"/>
        <v>0.61833147037902658</v>
      </c>
      <c r="M1536" s="159">
        <f t="shared" si="121"/>
        <v>0</v>
      </c>
    </row>
    <row r="1537" spans="2:13">
      <c r="B1537" t="s">
        <v>183</v>
      </c>
      <c r="C1537">
        <f t="shared" si="123"/>
        <v>55</v>
      </c>
      <c r="D1537" t="str">
        <f t="shared" si="119"/>
        <v>LYON55</v>
      </c>
      <c r="E1537" t="s">
        <v>1300</v>
      </c>
      <c r="F1537" t="str">
        <f t="shared" si="120"/>
        <v>LYON55</v>
      </c>
      <c r="G1537" t="s">
        <v>265</v>
      </c>
      <c r="I1537" s="16">
        <v>97.38</v>
      </c>
      <c r="J1537" s="16">
        <v>53.96</v>
      </c>
      <c r="K1537" s="16">
        <v>0</v>
      </c>
      <c r="L1537" s="159">
        <f t="shared" si="121"/>
        <v>0.55411788868350798</v>
      </c>
      <c r="M1537" s="159">
        <f t="shared" si="121"/>
        <v>0</v>
      </c>
    </row>
    <row r="1538" spans="2:13">
      <c r="B1538" t="s">
        <v>183</v>
      </c>
      <c r="C1538">
        <f t="shared" si="123"/>
        <v>56</v>
      </c>
      <c r="D1538" t="str">
        <f t="shared" ref="D1538:D1601" si="124">CONCATENATE(E1538,C1538)</f>
        <v>LYON56</v>
      </c>
      <c r="E1538" t="s">
        <v>1300</v>
      </c>
      <c r="F1538" t="str">
        <f t="shared" si="120"/>
        <v>LYON56</v>
      </c>
      <c r="G1538" t="s">
        <v>255</v>
      </c>
      <c r="H1538" t="s">
        <v>256</v>
      </c>
      <c r="I1538" s="16">
        <v>89.33</v>
      </c>
      <c r="J1538" s="16">
        <v>56.59</v>
      </c>
      <c r="K1538" s="16">
        <v>43.04</v>
      </c>
      <c r="L1538" s="159">
        <f t="shared" si="121"/>
        <v>0.63349378708160753</v>
      </c>
      <c r="M1538" s="159">
        <f t="shared" si="121"/>
        <v>0.48180902272472853</v>
      </c>
    </row>
    <row r="1539" spans="2:13">
      <c r="B1539" t="s">
        <v>183</v>
      </c>
      <c r="C1539">
        <f t="shared" si="123"/>
        <v>57</v>
      </c>
      <c r="D1539" t="str">
        <f t="shared" si="124"/>
        <v>LYON57</v>
      </c>
      <c r="E1539" t="s">
        <v>1300</v>
      </c>
      <c r="F1539" t="str">
        <f t="shared" ref="F1539:F1602" si="125">D1539</f>
        <v>LYON57</v>
      </c>
      <c r="G1539" t="s">
        <v>263</v>
      </c>
      <c r="I1539" s="16">
        <v>82.86</v>
      </c>
      <c r="J1539" s="16">
        <v>52.86</v>
      </c>
      <c r="K1539" s="16">
        <v>30</v>
      </c>
      <c r="L1539" s="159">
        <f t="shared" ref="L1539:M1602" si="126">J1539/$I1539</f>
        <v>0.6379435191889935</v>
      </c>
      <c r="M1539" s="159">
        <f t="shared" si="126"/>
        <v>0.3620564808110065</v>
      </c>
    </row>
    <row r="1540" spans="2:13">
      <c r="B1540" t="s">
        <v>183</v>
      </c>
      <c r="C1540">
        <f t="shared" si="123"/>
        <v>58</v>
      </c>
      <c r="D1540" t="str">
        <f t="shared" si="124"/>
        <v>LYON58</v>
      </c>
      <c r="E1540" t="s">
        <v>1300</v>
      </c>
      <c r="F1540" t="str">
        <f t="shared" si="125"/>
        <v>LYON58</v>
      </c>
      <c r="G1540" t="s">
        <v>389</v>
      </c>
      <c r="I1540" s="16">
        <v>80.36</v>
      </c>
      <c r="J1540" s="16">
        <v>55.9</v>
      </c>
      <c r="K1540" s="16">
        <v>0</v>
      </c>
      <c r="L1540" s="159">
        <f t="shared" si="126"/>
        <v>0.69561971129915379</v>
      </c>
      <c r="M1540" s="159">
        <f t="shared" si="126"/>
        <v>0</v>
      </c>
    </row>
    <row r="1541" spans="2:13">
      <c r="B1541" t="s">
        <v>183</v>
      </c>
      <c r="C1541">
        <f t="shared" si="123"/>
        <v>59</v>
      </c>
      <c r="D1541" t="str">
        <f t="shared" si="124"/>
        <v>LYON59</v>
      </c>
      <c r="E1541" t="s">
        <v>1300</v>
      </c>
      <c r="F1541" t="str">
        <f t="shared" si="125"/>
        <v>LYON59</v>
      </c>
      <c r="G1541" t="s">
        <v>274</v>
      </c>
      <c r="H1541" t="s">
        <v>275</v>
      </c>
      <c r="I1541" s="16">
        <v>75.459999999999994</v>
      </c>
      <c r="J1541" s="16">
        <v>0</v>
      </c>
      <c r="K1541" s="16">
        <v>75.459999999999994</v>
      </c>
      <c r="L1541" s="159">
        <f t="shared" si="126"/>
        <v>0</v>
      </c>
      <c r="M1541" s="159">
        <f t="shared" si="126"/>
        <v>1</v>
      </c>
    </row>
    <row r="1542" spans="2:13">
      <c r="B1542" t="s">
        <v>183</v>
      </c>
      <c r="C1542">
        <f t="shared" si="123"/>
        <v>60</v>
      </c>
      <c r="D1542" t="str">
        <f t="shared" si="124"/>
        <v>LYON60</v>
      </c>
      <c r="E1542" t="s">
        <v>1300</v>
      </c>
      <c r="F1542" t="str">
        <f t="shared" si="125"/>
        <v>LYON60</v>
      </c>
      <c r="G1542" t="s">
        <v>362</v>
      </c>
      <c r="H1542" t="s">
        <v>943</v>
      </c>
      <c r="I1542" s="16">
        <v>73.3</v>
      </c>
      <c r="J1542" s="16">
        <v>5.01</v>
      </c>
      <c r="K1542" s="16">
        <v>0</v>
      </c>
      <c r="L1542" s="159">
        <f t="shared" si="126"/>
        <v>6.8349249658935879E-2</v>
      </c>
      <c r="M1542" s="159">
        <f t="shared" si="126"/>
        <v>0</v>
      </c>
    </row>
    <row r="1543" spans="2:13">
      <c r="B1543" t="s">
        <v>183</v>
      </c>
      <c r="C1543">
        <f t="shared" si="123"/>
        <v>61</v>
      </c>
      <c r="D1543" t="str">
        <f t="shared" si="124"/>
        <v>LYON61</v>
      </c>
      <c r="E1543" t="s">
        <v>1300</v>
      </c>
      <c r="F1543" t="str">
        <f t="shared" si="125"/>
        <v>LYON61</v>
      </c>
      <c r="G1543" t="s">
        <v>345</v>
      </c>
      <c r="I1543" s="16">
        <v>72.59</v>
      </c>
      <c r="J1543" s="16">
        <v>28.89</v>
      </c>
      <c r="K1543" s="16">
        <v>0</v>
      </c>
      <c r="L1543" s="159">
        <f t="shared" si="126"/>
        <v>0.39798870367819256</v>
      </c>
      <c r="M1543" s="159">
        <f t="shared" si="126"/>
        <v>0</v>
      </c>
    </row>
    <row r="1544" spans="2:13">
      <c r="B1544" t="s">
        <v>183</v>
      </c>
      <c r="C1544">
        <f t="shared" si="123"/>
        <v>62</v>
      </c>
      <c r="D1544" t="str">
        <f t="shared" si="124"/>
        <v>LYON62</v>
      </c>
      <c r="E1544" t="s">
        <v>1300</v>
      </c>
      <c r="F1544" t="str">
        <f t="shared" si="125"/>
        <v>LYON62</v>
      </c>
      <c r="G1544" t="s">
        <v>326</v>
      </c>
      <c r="I1544" s="16">
        <v>71.84</v>
      </c>
      <c r="J1544" s="16">
        <v>25.64</v>
      </c>
      <c r="K1544" s="16">
        <v>12.32</v>
      </c>
      <c r="L1544" s="159">
        <f t="shared" si="126"/>
        <v>0.35690423162583518</v>
      </c>
      <c r="M1544" s="159">
        <f t="shared" si="126"/>
        <v>0.17149220489977729</v>
      </c>
    </row>
    <row r="1545" spans="2:13">
      <c r="B1545" t="s">
        <v>183</v>
      </c>
      <c r="C1545">
        <f t="shared" si="123"/>
        <v>63</v>
      </c>
      <c r="D1545" t="str">
        <f t="shared" si="124"/>
        <v>LYON63</v>
      </c>
      <c r="E1545" t="s">
        <v>1300</v>
      </c>
      <c r="F1545" t="str">
        <f t="shared" si="125"/>
        <v>LYON63</v>
      </c>
      <c r="G1545" t="s">
        <v>239</v>
      </c>
      <c r="H1545" t="s">
        <v>925</v>
      </c>
      <c r="I1545" s="16">
        <v>70.97</v>
      </c>
      <c r="J1545" s="16">
        <v>7.55</v>
      </c>
      <c r="K1545" s="16">
        <v>25.73</v>
      </c>
      <c r="L1545" s="159">
        <f t="shared" si="126"/>
        <v>0.10638297872340426</v>
      </c>
      <c r="M1545" s="159">
        <f t="shared" si="126"/>
        <v>0.3625475553050585</v>
      </c>
    </row>
    <row r="1546" spans="2:13">
      <c r="B1546" t="s">
        <v>183</v>
      </c>
      <c r="C1546">
        <f t="shared" si="123"/>
        <v>64</v>
      </c>
      <c r="D1546" t="str">
        <f t="shared" si="124"/>
        <v>LYON64</v>
      </c>
      <c r="E1546" t="s">
        <v>1300</v>
      </c>
      <c r="F1546" t="str">
        <f t="shared" si="125"/>
        <v>LYON64</v>
      </c>
      <c r="G1546" t="s">
        <v>398</v>
      </c>
      <c r="I1546" s="16">
        <v>70.819999999999993</v>
      </c>
      <c r="J1546" s="16">
        <v>16.11</v>
      </c>
      <c r="K1546" s="16">
        <v>0</v>
      </c>
      <c r="L1546" s="159">
        <f t="shared" si="126"/>
        <v>0.2274781135272522</v>
      </c>
      <c r="M1546" s="159">
        <f t="shared" si="126"/>
        <v>0</v>
      </c>
    </row>
    <row r="1547" spans="2:13">
      <c r="B1547" t="s">
        <v>183</v>
      </c>
      <c r="C1547">
        <f t="shared" ref="C1547:C1578" si="127">RANK(I1547,$I$1482:$I$1637,0)</f>
        <v>65</v>
      </c>
      <c r="D1547" t="str">
        <f t="shared" si="124"/>
        <v>LYON65</v>
      </c>
      <c r="E1547" t="s">
        <v>1300</v>
      </c>
      <c r="F1547" t="str">
        <f t="shared" si="125"/>
        <v>LYON65</v>
      </c>
      <c r="G1547" t="s">
        <v>429</v>
      </c>
      <c r="I1547" s="16">
        <v>70.17</v>
      </c>
      <c r="J1547" s="16">
        <v>0</v>
      </c>
      <c r="K1547" s="16">
        <v>0</v>
      </c>
      <c r="L1547" s="159">
        <f t="shared" si="126"/>
        <v>0</v>
      </c>
      <c r="M1547" s="159">
        <f t="shared" si="126"/>
        <v>0</v>
      </c>
    </row>
    <row r="1548" spans="2:13">
      <c r="B1548" t="s">
        <v>183</v>
      </c>
      <c r="C1548">
        <f t="shared" si="127"/>
        <v>66</v>
      </c>
      <c r="D1548" t="str">
        <f t="shared" si="124"/>
        <v>LYON66</v>
      </c>
      <c r="E1548" t="s">
        <v>1300</v>
      </c>
      <c r="F1548" t="str">
        <f t="shared" si="125"/>
        <v>LYON66</v>
      </c>
      <c r="G1548" t="s">
        <v>318</v>
      </c>
      <c r="I1548" s="16">
        <v>69.78</v>
      </c>
      <c r="J1548" s="16">
        <v>37.479999999999997</v>
      </c>
      <c r="K1548" s="16">
        <v>0</v>
      </c>
      <c r="L1548" s="159">
        <f t="shared" si="126"/>
        <v>0.53711665233591277</v>
      </c>
      <c r="M1548" s="159">
        <f t="shared" si="126"/>
        <v>0</v>
      </c>
    </row>
    <row r="1549" spans="2:13">
      <c r="B1549" t="s">
        <v>183</v>
      </c>
      <c r="C1549">
        <f t="shared" si="127"/>
        <v>67</v>
      </c>
      <c r="D1549" t="str">
        <f t="shared" si="124"/>
        <v>LYON67</v>
      </c>
      <c r="E1549" t="s">
        <v>1300</v>
      </c>
      <c r="F1549" t="str">
        <f t="shared" si="125"/>
        <v>LYON67</v>
      </c>
      <c r="G1549" t="s">
        <v>366</v>
      </c>
      <c r="I1549" s="16">
        <v>66.66</v>
      </c>
      <c r="J1549" s="16">
        <v>32.450000000000003</v>
      </c>
      <c r="K1549" s="16">
        <v>0</v>
      </c>
      <c r="L1549" s="159">
        <f t="shared" si="126"/>
        <v>0.48679867986798686</v>
      </c>
      <c r="M1549" s="159">
        <f t="shared" si="126"/>
        <v>0</v>
      </c>
    </row>
    <row r="1550" spans="2:13">
      <c r="B1550" t="s">
        <v>183</v>
      </c>
      <c r="C1550">
        <f t="shared" si="127"/>
        <v>68</v>
      </c>
      <c r="D1550" t="str">
        <f t="shared" si="124"/>
        <v>LYON68</v>
      </c>
      <c r="E1550" t="s">
        <v>1300</v>
      </c>
      <c r="F1550" t="str">
        <f t="shared" si="125"/>
        <v>LYON68</v>
      </c>
      <c r="G1550" t="s">
        <v>432</v>
      </c>
      <c r="I1550" s="16">
        <v>64.7</v>
      </c>
      <c r="J1550" s="16">
        <v>7.7</v>
      </c>
      <c r="K1550" s="16">
        <v>0</v>
      </c>
      <c r="L1550" s="159">
        <f t="shared" si="126"/>
        <v>0.11901081916537867</v>
      </c>
      <c r="M1550" s="159">
        <f t="shared" si="126"/>
        <v>0</v>
      </c>
    </row>
    <row r="1551" spans="2:13">
      <c r="B1551" t="s">
        <v>183</v>
      </c>
      <c r="C1551">
        <f t="shared" si="127"/>
        <v>69</v>
      </c>
      <c r="D1551" t="str">
        <f t="shared" si="124"/>
        <v>LYON69</v>
      </c>
      <c r="E1551" t="s">
        <v>1300</v>
      </c>
      <c r="F1551" t="str">
        <f t="shared" si="125"/>
        <v>LYON69</v>
      </c>
      <c r="G1551" t="s">
        <v>393</v>
      </c>
      <c r="I1551" s="16">
        <v>63.76</v>
      </c>
      <c r="J1551" s="16">
        <v>14.88</v>
      </c>
      <c r="K1551" s="16">
        <v>0</v>
      </c>
      <c r="L1551" s="159">
        <f t="shared" si="126"/>
        <v>0.23337515683814306</v>
      </c>
      <c r="M1551" s="159">
        <f t="shared" si="126"/>
        <v>0</v>
      </c>
    </row>
    <row r="1552" spans="2:13">
      <c r="B1552" t="s">
        <v>183</v>
      </c>
      <c r="C1552">
        <f t="shared" si="127"/>
        <v>70</v>
      </c>
      <c r="D1552" t="str">
        <f t="shared" si="124"/>
        <v>LYON70</v>
      </c>
      <c r="E1552" t="s">
        <v>1300</v>
      </c>
      <c r="F1552" t="str">
        <f t="shared" si="125"/>
        <v>LYON70</v>
      </c>
      <c r="G1552" t="s">
        <v>349</v>
      </c>
      <c r="I1552" s="16">
        <v>63.2</v>
      </c>
      <c r="J1552" s="16">
        <v>27.63</v>
      </c>
      <c r="K1552" s="16">
        <v>0</v>
      </c>
      <c r="L1552" s="159">
        <f t="shared" si="126"/>
        <v>0.43718354430379741</v>
      </c>
      <c r="M1552" s="159">
        <f t="shared" si="126"/>
        <v>0</v>
      </c>
    </row>
    <row r="1553" spans="2:13">
      <c r="B1553" t="s">
        <v>183</v>
      </c>
      <c r="C1553">
        <f t="shared" si="127"/>
        <v>71</v>
      </c>
      <c r="D1553" t="str">
        <f t="shared" si="124"/>
        <v>LYON71</v>
      </c>
      <c r="E1553" t="s">
        <v>1300</v>
      </c>
      <c r="F1553" t="str">
        <f t="shared" si="125"/>
        <v>LYON71</v>
      </c>
      <c r="G1553" t="s">
        <v>328</v>
      </c>
      <c r="H1553" t="s">
        <v>939</v>
      </c>
      <c r="I1553" s="16">
        <v>62.12</v>
      </c>
      <c r="J1553" s="16">
        <v>20.02</v>
      </c>
      <c r="K1553" s="16">
        <v>7.55</v>
      </c>
      <c r="L1553" s="159">
        <f t="shared" si="126"/>
        <v>0.32227945911139733</v>
      </c>
      <c r="M1553" s="159">
        <f t="shared" si="126"/>
        <v>0.12153895685769478</v>
      </c>
    </row>
    <row r="1554" spans="2:13">
      <c r="B1554" t="s">
        <v>183</v>
      </c>
      <c r="C1554">
        <f t="shared" si="127"/>
        <v>72</v>
      </c>
      <c r="D1554" t="str">
        <f t="shared" si="124"/>
        <v>LYON72</v>
      </c>
      <c r="E1554" t="s">
        <v>1300</v>
      </c>
      <c r="F1554" t="str">
        <f t="shared" si="125"/>
        <v>LYON72</v>
      </c>
      <c r="G1554" t="s">
        <v>357</v>
      </c>
      <c r="I1554" s="16">
        <v>56.51</v>
      </c>
      <c r="J1554" s="16">
        <v>17.54</v>
      </c>
      <c r="K1554" s="16">
        <v>0</v>
      </c>
      <c r="L1554" s="159">
        <f t="shared" si="126"/>
        <v>0.31038754202795965</v>
      </c>
      <c r="M1554" s="159">
        <f t="shared" si="126"/>
        <v>0</v>
      </c>
    </row>
    <row r="1555" spans="2:13">
      <c r="B1555" t="s">
        <v>183</v>
      </c>
      <c r="C1555">
        <f t="shared" si="127"/>
        <v>73</v>
      </c>
      <c r="D1555" t="str">
        <f t="shared" si="124"/>
        <v>LYON73</v>
      </c>
      <c r="E1555" t="s">
        <v>1300</v>
      </c>
      <c r="F1555" t="str">
        <f t="shared" si="125"/>
        <v>LYON73</v>
      </c>
      <c r="G1555" t="s">
        <v>230</v>
      </c>
      <c r="H1555" t="s">
        <v>231</v>
      </c>
      <c r="I1555" s="16">
        <v>54.64</v>
      </c>
      <c r="J1555" s="16">
        <v>48.56</v>
      </c>
      <c r="K1555" s="16">
        <v>0</v>
      </c>
      <c r="L1555" s="159">
        <f t="shared" si="126"/>
        <v>0.88872620790629575</v>
      </c>
      <c r="M1555" s="159">
        <f t="shared" si="126"/>
        <v>0</v>
      </c>
    </row>
    <row r="1556" spans="2:13">
      <c r="B1556" t="s">
        <v>183</v>
      </c>
      <c r="C1556">
        <f t="shared" si="127"/>
        <v>74</v>
      </c>
      <c r="D1556" t="str">
        <f t="shared" si="124"/>
        <v>LYON74</v>
      </c>
      <c r="E1556" t="s">
        <v>1300</v>
      </c>
      <c r="F1556" t="str">
        <f t="shared" si="125"/>
        <v>LYON74</v>
      </c>
      <c r="G1556" t="s">
        <v>257</v>
      </c>
      <c r="I1556" s="16">
        <v>50.04</v>
      </c>
      <c r="J1556" s="16">
        <v>10.08</v>
      </c>
      <c r="K1556" s="16">
        <v>0</v>
      </c>
      <c r="L1556" s="159">
        <f t="shared" si="126"/>
        <v>0.20143884892086331</v>
      </c>
      <c r="M1556" s="159">
        <f t="shared" si="126"/>
        <v>0</v>
      </c>
    </row>
    <row r="1557" spans="2:13">
      <c r="B1557" t="s">
        <v>183</v>
      </c>
      <c r="C1557">
        <f t="shared" si="127"/>
        <v>75</v>
      </c>
      <c r="D1557" t="str">
        <f t="shared" si="124"/>
        <v>LYON75</v>
      </c>
      <c r="E1557" t="s">
        <v>1300</v>
      </c>
      <c r="F1557" t="str">
        <f t="shared" si="125"/>
        <v>LYON75</v>
      </c>
      <c r="G1557" t="s">
        <v>415</v>
      </c>
      <c r="I1557" s="16">
        <v>49.19</v>
      </c>
      <c r="J1557" s="16">
        <v>13.14</v>
      </c>
      <c r="K1557" s="16">
        <v>4.62</v>
      </c>
      <c r="L1557" s="159">
        <f t="shared" si="126"/>
        <v>0.26712746493189676</v>
      </c>
      <c r="M1557" s="159">
        <f t="shared" si="126"/>
        <v>9.3921528766009357E-2</v>
      </c>
    </row>
    <row r="1558" spans="2:13">
      <c r="B1558" t="s">
        <v>183</v>
      </c>
      <c r="C1558">
        <f t="shared" si="127"/>
        <v>76</v>
      </c>
      <c r="D1558" t="str">
        <f t="shared" si="124"/>
        <v>LYON76</v>
      </c>
      <c r="E1558" t="s">
        <v>1300</v>
      </c>
      <c r="F1558" t="str">
        <f t="shared" si="125"/>
        <v>LYON76</v>
      </c>
      <c r="G1558" t="s">
        <v>409</v>
      </c>
      <c r="I1558" s="16">
        <v>49</v>
      </c>
      <c r="J1558" s="16">
        <v>0</v>
      </c>
      <c r="K1558" s="16">
        <v>0</v>
      </c>
      <c r="L1558" s="159">
        <f t="shared" si="126"/>
        <v>0</v>
      </c>
      <c r="M1558" s="159">
        <f t="shared" si="126"/>
        <v>0</v>
      </c>
    </row>
    <row r="1559" spans="2:13">
      <c r="B1559" t="s">
        <v>183</v>
      </c>
      <c r="C1559">
        <f t="shared" si="127"/>
        <v>77</v>
      </c>
      <c r="D1559" t="str">
        <f t="shared" si="124"/>
        <v>LYON77</v>
      </c>
      <c r="E1559" t="s">
        <v>1300</v>
      </c>
      <c r="F1559" t="str">
        <f t="shared" si="125"/>
        <v>LYON77</v>
      </c>
      <c r="G1559" t="s">
        <v>418</v>
      </c>
      <c r="I1559" s="16">
        <v>47.31</v>
      </c>
      <c r="J1559" s="16">
        <v>9.61</v>
      </c>
      <c r="K1559" s="16">
        <v>0</v>
      </c>
      <c r="L1559" s="159">
        <f t="shared" si="126"/>
        <v>0.20312830268442186</v>
      </c>
      <c r="M1559" s="159">
        <f t="shared" si="126"/>
        <v>0</v>
      </c>
    </row>
    <row r="1560" spans="2:13">
      <c r="B1560" t="s">
        <v>183</v>
      </c>
      <c r="C1560">
        <f t="shared" si="127"/>
        <v>78</v>
      </c>
      <c r="D1560" t="str">
        <f t="shared" si="124"/>
        <v>LYON78</v>
      </c>
      <c r="E1560" t="s">
        <v>1300</v>
      </c>
      <c r="F1560" t="str">
        <f t="shared" si="125"/>
        <v>LYON78</v>
      </c>
      <c r="G1560" t="s">
        <v>233</v>
      </c>
      <c r="I1560" s="16">
        <v>45.57</v>
      </c>
      <c r="J1560" s="16">
        <v>14.2</v>
      </c>
      <c r="K1560" s="16">
        <v>0</v>
      </c>
      <c r="L1560" s="159">
        <f t="shared" si="126"/>
        <v>0.3116085143734913</v>
      </c>
      <c r="M1560" s="159">
        <f t="shared" si="126"/>
        <v>0</v>
      </c>
    </row>
    <row r="1561" spans="2:13">
      <c r="B1561" t="s">
        <v>183</v>
      </c>
      <c r="C1561">
        <f t="shared" si="127"/>
        <v>79</v>
      </c>
      <c r="D1561" t="str">
        <f t="shared" si="124"/>
        <v>LYON79</v>
      </c>
      <c r="E1561" t="s">
        <v>1300</v>
      </c>
      <c r="F1561" t="str">
        <f t="shared" si="125"/>
        <v>LYON79</v>
      </c>
      <c r="G1561" t="s">
        <v>260</v>
      </c>
      <c r="H1561" t="s">
        <v>932</v>
      </c>
      <c r="I1561" s="16">
        <v>43.56</v>
      </c>
      <c r="J1561" s="16">
        <v>0</v>
      </c>
      <c r="K1561" s="16">
        <v>0</v>
      </c>
      <c r="L1561" s="159">
        <f t="shared" si="126"/>
        <v>0</v>
      </c>
      <c r="M1561" s="159">
        <f t="shared" si="126"/>
        <v>0</v>
      </c>
    </row>
    <row r="1562" spans="2:13">
      <c r="B1562" t="s">
        <v>183</v>
      </c>
      <c r="C1562">
        <f t="shared" si="127"/>
        <v>80</v>
      </c>
      <c r="D1562" t="str">
        <f t="shared" si="124"/>
        <v>LYON80</v>
      </c>
      <c r="E1562" t="s">
        <v>1300</v>
      </c>
      <c r="F1562" t="str">
        <f t="shared" si="125"/>
        <v>LYON80</v>
      </c>
      <c r="G1562" t="s">
        <v>292</v>
      </c>
      <c r="I1562" s="16">
        <v>43.55</v>
      </c>
      <c r="J1562" s="16">
        <v>9.4600000000000009</v>
      </c>
      <c r="K1562" s="16">
        <v>0</v>
      </c>
      <c r="L1562" s="159">
        <f t="shared" si="126"/>
        <v>0.21722158438576353</v>
      </c>
      <c r="M1562" s="159">
        <f t="shared" si="126"/>
        <v>0</v>
      </c>
    </row>
    <row r="1563" spans="2:13">
      <c r="B1563" t="s">
        <v>183</v>
      </c>
      <c r="C1563">
        <f t="shared" si="127"/>
        <v>81</v>
      </c>
      <c r="D1563" t="str">
        <f t="shared" si="124"/>
        <v>LYON81</v>
      </c>
      <c r="E1563" t="s">
        <v>1300</v>
      </c>
      <c r="F1563" t="str">
        <f t="shared" si="125"/>
        <v>LYON81</v>
      </c>
      <c r="G1563" t="s">
        <v>416</v>
      </c>
      <c r="I1563" s="16">
        <v>42.97</v>
      </c>
      <c r="J1563" s="16">
        <v>7.32</v>
      </c>
      <c r="K1563" s="16">
        <v>0</v>
      </c>
      <c r="L1563" s="159">
        <f t="shared" si="126"/>
        <v>0.17035140795904119</v>
      </c>
      <c r="M1563" s="159">
        <f t="shared" si="126"/>
        <v>0</v>
      </c>
    </row>
    <row r="1564" spans="2:13">
      <c r="B1564" t="s">
        <v>183</v>
      </c>
      <c r="C1564">
        <f t="shared" si="127"/>
        <v>82</v>
      </c>
      <c r="D1564" t="str">
        <f t="shared" si="124"/>
        <v>LYON82</v>
      </c>
      <c r="E1564" t="s">
        <v>1300</v>
      </c>
      <c r="F1564" t="str">
        <f t="shared" si="125"/>
        <v>LYON82</v>
      </c>
      <c r="G1564" t="s">
        <v>310</v>
      </c>
      <c r="I1564" s="16">
        <v>41.52</v>
      </c>
      <c r="J1564" s="16">
        <v>41.52</v>
      </c>
      <c r="K1564" s="16">
        <v>0</v>
      </c>
      <c r="L1564" s="159">
        <f t="shared" si="126"/>
        <v>1</v>
      </c>
      <c r="M1564" s="159">
        <f t="shared" si="126"/>
        <v>0</v>
      </c>
    </row>
    <row r="1565" spans="2:13">
      <c r="B1565" t="s">
        <v>183</v>
      </c>
      <c r="C1565">
        <f t="shared" si="127"/>
        <v>83</v>
      </c>
      <c r="D1565" t="str">
        <f t="shared" si="124"/>
        <v>LYON83</v>
      </c>
      <c r="E1565" t="s">
        <v>1300</v>
      </c>
      <c r="F1565" t="str">
        <f t="shared" si="125"/>
        <v>LYON83</v>
      </c>
      <c r="G1565" t="s">
        <v>244</v>
      </c>
      <c r="I1565" s="16">
        <v>40.1</v>
      </c>
      <c r="J1565" s="16">
        <v>6.09</v>
      </c>
      <c r="K1565" s="16">
        <v>0</v>
      </c>
      <c r="L1565" s="159">
        <f t="shared" si="126"/>
        <v>0.15187032418952617</v>
      </c>
      <c r="M1565" s="159">
        <f t="shared" si="126"/>
        <v>0</v>
      </c>
    </row>
    <row r="1566" spans="2:13">
      <c r="B1566" t="s">
        <v>183</v>
      </c>
      <c r="C1566">
        <f t="shared" si="127"/>
        <v>84</v>
      </c>
      <c r="D1566" t="str">
        <f t="shared" si="124"/>
        <v>LYON84</v>
      </c>
      <c r="E1566" t="s">
        <v>1300</v>
      </c>
      <c r="F1566" t="str">
        <f t="shared" si="125"/>
        <v>LYON84</v>
      </c>
      <c r="G1566" t="s">
        <v>388</v>
      </c>
      <c r="I1566" s="16">
        <v>39.880000000000003</v>
      </c>
      <c r="J1566" s="16">
        <v>0</v>
      </c>
      <c r="K1566" s="16">
        <v>0</v>
      </c>
      <c r="L1566" s="159">
        <f t="shared" si="126"/>
        <v>0</v>
      </c>
      <c r="M1566" s="159">
        <f t="shared" si="126"/>
        <v>0</v>
      </c>
    </row>
    <row r="1567" spans="2:13">
      <c r="B1567" t="s">
        <v>183</v>
      </c>
      <c r="C1567">
        <f t="shared" si="127"/>
        <v>85</v>
      </c>
      <c r="D1567" t="str">
        <f t="shared" si="124"/>
        <v>LYON85</v>
      </c>
      <c r="E1567" t="s">
        <v>1300</v>
      </c>
      <c r="F1567" t="str">
        <f t="shared" si="125"/>
        <v>LYON85</v>
      </c>
      <c r="G1567" t="s">
        <v>372</v>
      </c>
      <c r="I1567" s="16">
        <v>39.25</v>
      </c>
      <c r="J1567" s="16">
        <v>0</v>
      </c>
      <c r="K1567" s="16">
        <v>0</v>
      </c>
      <c r="L1567" s="159">
        <f t="shared" si="126"/>
        <v>0</v>
      </c>
      <c r="M1567" s="159">
        <f t="shared" si="126"/>
        <v>0</v>
      </c>
    </row>
    <row r="1568" spans="2:13">
      <c r="B1568" t="s">
        <v>183</v>
      </c>
      <c r="C1568">
        <f t="shared" si="127"/>
        <v>86</v>
      </c>
      <c r="D1568" t="str">
        <f t="shared" si="124"/>
        <v>LYON86</v>
      </c>
      <c r="E1568" t="s">
        <v>1300</v>
      </c>
      <c r="F1568" t="str">
        <f t="shared" si="125"/>
        <v>LYON86</v>
      </c>
      <c r="G1568" t="s">
        <v>352</v>
      </c>
      <c r="I1568" s="16">
        <v>37.6</v>
      </c>
      <c r="J1568" s="16">
        <v>26.21</v>
      </c>
      <c r="K1568" s="16">
        <v>0</v>
      </c>
      <c r="L1568" s="159">
        <f t="shared" si="126"/>
        <v>0.69707446808510642</v>
      </c>
      <c r="M1568" s="159">
        <f t="shared" si="126"/>
        <v>0</v>
      </c>
    </row>
    <row r="1569" spans="2:13">
      <c r="B1569" t="s">
        <v>183</v>
      </c>
      <c r="C1569">
        <f t="shared" si="127"/>
        <v>87</v>
      </c>
      <c r="D1569" t="str">
        <f t="shared" si="124"/>
        <v>LYON87</v>
      </c>
      <c r="E1569" t="s">
        <v>1300</v>
      </c>
      <c r="F1569" t="str">
        <f t="shared" si="125"/>
        <v>LYON87</v>
      </c>
      <c r="G1569" t="s">
        <v>321</v>
      </c>
      <c r="I1569" s="16">
        <v>37.53</v>
      </c>
      <c r="J1569" s="16">
        <v>5.52</v>
      </c>
      <c r="K1569" s="16">
        <v>5.61</v>
      </c>
      <c r="L1569" s="159">
        <f t="shared" si="126"/>
        <v>0.14708233413269384</v>
      </c>
      <c r="M1569" s="159">
        <f t="shared" si="126"/>
        <v>0.14948041566746603</v>
      </c>
    </row>
    <row r="1570" spans="2:13">
      <c r="B1570" t="s">
        <v>183</v>
      </c>
      <c r="C1570">
        <f t="shared" si="127"/>
        <v>88</v>
      </c>
      <c r="D1570" t="str">
        <f t="shared" si="124"/>
        <v>LYON88</v>
      </c>
      <c r="E1570" t="s">
        <v>1300</v>
      </c>
      <c r="F1570" t="str">
        <f t="shared" si="125"/>
        <v>LYON88</v>
      </c>
      <c r="G1570" t="s">
        <v>251</v>
      </c>
      <c r="H1570" t="s">
        <v>929</v>
      </c>
      <c r="I1570" s="16">
        <v>37.020000000000003</v>
      </c>
      <c r="J1570" s="16">
        <v>9.91</v>
      </c>
      <c r="K1570" s="16">
        <v>3.97</v>
      </c>
      <c r="L1570" s="159">
        <f t="shared" si="126"/>
        <v>0.26769313884386814</v>
      </c>
      <c r="M1570" s="159">
        <f t="shared" si="126"/>
        <v>0.10723933009184225</v>
      </c>
    </row>
    <row r="1571" spans="2:13">
      <c r="B1571" t="s">
        <v>183</v>
      </c>
      <c r="C1571">
        <f t="shared" si="127"/>
        <v>89</v>
      </c>
      <c r="D1571" t="str">
        <f t="shared" si="124"/>
        <v>LYON89</v>
      </c>
      <c r="E1571" t="s">
        <v>1300</v>
      </c>
      <c r="F1571" t="str">
        <f t="shared" si="125"/>
        <v>LYON89</v>
      </c>
      <c r="G1571" t="s">
        <v>443</v>
      </c>
      <c r="I1571" s="16">
        <v>36.83</v>
      </c>
      <c r="J1571" s="16">
        <v>0</v>
      </c>
      <c r="K1571" s="16">
        <v>0</v>
      </c>
      <c r="L1571" s="159">
        <f t="shared" si="126"/>
        <v>0</v>
      </c>
      <c r="M1571" s="159">
        <f t="shared" si="126"/>
        <v>0</v>
      </c>
    </row>
    <row r="1572" spans="2:13">
      <c r="B1572" t="s">
        <v>183</v>
      </c>
      <c r="C1572">
        <f t="shared" si="127"/>
        <v>90</v>
      </c>
      <c r="D1572" t="str">
        <f t="shared" si="124"/>
        <v>LYON90</v>
      </c>
      <c r="E1572" t="s">
        <v>1300</v>
      </c>
      <c r="F1572" t="str">
        <f t="shared" si="125"/>
        <v>LYON90</v>
      </c>
      <c r="G1572" t="s">
        <v>245</v>
      </c>
      <c r="I1572" s="16">
        <v>36.46</v>
      </c>
      <c r="J1572" s="16">
        <v>21.53</v>
      </c>
      <c r="K1572" s="16">
        <v>5.61</v>
      </c>
      <c r="L1572" s="159">
        <f t="shared" si="126"/>
        <v>0.59051014810751512</v>
      </c>
      <c r="M1572" s="159">
        <f t="shared" si="126"/>
        <v>0.15386725178277566</v>
      </c>
    </row>
    <row r="1573" spans="2:13">
      <c r="B1573" t="s">
        <v>183</v>
      </c>
      <c r="C1573">
        <f t="shared" si="127"/>
        <v>91</v>
      </c>
      <c r="D1573" t="str">
        <f t="shared" si="124"/>
        <v>LYON91</v>
      </c>
      <c r="E1573" t="s">
        <v>1300</v>
      </c>
      <c r="F1573" t="str">
        <f t="shared" si="125"/>
        <v>LYON91</v>
      </c>
      <c r="G1573" t="s">
        <v>378</v>
      </c>
      <c r="I1573" s="16">
        <v>35.979999999999997</v>
      </c>
      <c r="J1573" s="16">
        <v>20</v>
      </c>
      <c r="K1573" s="16">
        <v>0</v>
      </c>
      <c r="L1573" s="159">
        <f t="shared" si="126"/>
        <v>0.5558643690939411</v>
      </c>
      <c r="M1573" s="159">
        <f t="shared" si="126"/>
        <v>0</v>
      </c>
    </row>
    <row r="1574" spans="2:13">
      <c r="B1574" t="s">
        <v>183</v>
      </c>
      <c r="C1574">
        <f t="shared" si="127"/>
        <v>92</v>
      </c>
      <c r="D1574" t="str">
        <f t="shared" si="124"/>
        <v>LYON92</v>
      </c>
      <c r="E1574" t="s">
        <v>1300</v>
      </c>
      <c r="F1574" t="str">
        <f t="shared" si="125"/>
        <v>LYON92</v>
      </c>
      <c r="G1574" t="s">
        <v>375</v>
      </c>
      <c r="I1574" s="16">
        <v>35.86</v>
      </c>
      <c r="J1574" s="16">
        <v>12</v>
      </c>
      <c r="K1574" s="16">
        <v>3.66</v>
      </c>
      <c r="L1574" s="159">
        <f t="shared" si="126"/>
        <v>0.33463469046291133</v>
      </c>
      <c r="M1574" s="159">
        <f t="shared" si="126"/>
        <v>0.10206358059118796</v>
      </c>
    </row>
    <row r="1575" spans="2:13">
      <c r="B1575" t="s">
        <v>183</v>
      </c>
      <c r="C1575">
        <f t="shared" si="127"/>
        <v>93</v>
      </c>
      <c r="D1575" t="str">
        <f t="shared" si="124"/>
        <v>LYON93</v>
      </c>
      <c r="E1575" t="s">
        <v>1300</v>
      </c>
      <c r="F1575" t="str">
        <f t="shared" si="125"/>
        <v>LYON93</v>
      </c>
      <c r="G1575" t="s">
        <v>329</v>
      </c>
      <c r="I1575" s="16">
        <v>34.799999999999997</v>
      </c>
      <c r="J1575" s="16">
        <v>0</v>
      </c>
      <c r="K1575" s="16">
        <v>0</v>
      </c>
      <c r="L1575" s="159">
        <f t="shared" si="126"/>
        <v>0</v>
      </c>
      <c r="M1575" s="159">
        <f t="shared" si="126"/>
        <v>0</v>
      </c>
    </row>
    <row r="1576" spans="2:13">
      <c r="B1576" t="s">
        <v>183</v>
      </c>
      <c r="C1576">
        <f t="shared" si="127"/>
        <v>94</v>
      </c>
      <c r="D1576" t="str">
        <f t="shared" si="124"/>
        <v>LYON94</v>
      </c>
      <c r="E1576" t="s">
        <v>1300</v>
      </c>
      <c r="F1576" t="str">
        <f t="shared" si="125"/>
        <v>LYON94</v>
      </c>
      <c r="G1576" t="s">
        <v>297</v>
      </c>
      <c r="I1576" s="16">
        <v>34.79</v>
      </c>
      <c r="J1576" s="16">
        <v>3.43</v>
      </c>
      <c r="K1576" s="16">
        <v>0</v>
      </c>
      <c r="L1576" s="159">
        <f t="shared" si="126"/>
        <v>9.8591549295774655E-2</v>
      </c>
      <c r="M1576" s="159">
        <f t="shared" si="126"/>
        <v>0</v>
      </c>
    </row>
    <row r="1577" spans="2:13">
      <c r="B1577" t="s">
        <v>183</v>
      </c>
      <c r="C1577">
        <f t="shared" si="127"/>
        <v>95</v>
      </c>
      <c r="D1577" t="str">
        <f t="shared" si="124"/>
        <v>LYON95</v>
      </c>
      <c r="E1577" t="s">
        <v>1300</v>
      </c>
      <c r="F1577" t="str">
        <f t="shared" si="125"/>
        <v>LYON95</v>
      </c>
      <c r="G1577" t="s">
        <v>391</v>
      </c>
      <c r="I1577" s="16">
        <v>34.76</v>
      </c>
      <c r="J1577" s="16">
        <v>19.739999999999998</v>
      </c>
      <c r="K1577" s="16">
        <v>0</v>
      </c>
      <c r="L1577" s="159">
        <f t="shared" si="126"/>
        <v>0.56789413118527043</v>
      </c>
      <c r="M1577" s="159">
        <f t="shared" si="126"/>
        <v>0</v>
      </c>
    </row>
    <row r="1578" spans="2:13">
      <c r="B1578" t="s">
        <v>183</v>
      </c>
      <c r="C1578">
        <f t="shared" si="127"/>
        <v>96</v>
      </c>
      <c r="D1578" t="str">
        <f t="shared" si="124"/>
        <v>LYON96</v>
      </c>
      <c r="E1578" t="s">
        <v>1300</v>
      </c>
      <c r="F1578" t="str">
        <f t="shared" si="125"/>
        <v>LYON96</v>
      </c>
      <c r="G1578" t="s">
        <v>261</v>
      </c>
      <c r="I1578" s="16">
        <v>34.49</v>
      </c>
      <c r="J1578" s="16">
        <v>0</v>
      </c>
      <c r="K1578" s="16">
        <v>34.49</v>
      </c>
      <c r="L1578" s="159">
        <f t="shared" si="126"/>
        <v>0</v>
      </c>
      <c r="M1578" s="159">
        <f t="shared" si="126"/>
        <v>1</v>
      </c>
    </row>
    <row r="1579" spans="2:13">
      <c r="B1579" t="s">
        <v>183</v>
      </c>
      <c r="C1579">
        <f t="shared" ref="C1579:C1610" si="128">RANK(I1579,$I$1482:$I$1637,0)</f>
        <v>97</v>
      </c>
      <c r="D1579" t="str">
        <f t="shared" si="124"/>
        <v>LYON97</v>
      </c>
      <c r="E1579" t="s">
        <v>1300</v>
      </c>
      <c r="F1579" t="str">
        <f t="shared" si="125"/>
        <v>LYON97</v>
      </c>
      <c r="G1579" t="s">
        <v>314</v>
      </c>
      <c r="I1579" s="16">
        <v>32.97</v>
      </c>
      <c r="J1579" s="16">
        <v>8.18</v>
      </c>
      <c r="K1579" s="16">
        <v>0</v>
      </c>
      <c r="L1579" s="159">
        <f t="shared" si="126"/>
        <v>0.24810433727631179</v>
      </c>
      <c r="M1579" s="159">
        <f t="shared" si="126"/>
        <v>0</v>
      </c>
    </row>
    <row r="1580" spans="2:13">
      <c r="B1580" t="s">
        <v>183</v>
      </c>
      <c r="C1580">
        <f t="shared" si="128"/>
        <v>98</v>
      </c>
      <c r="D1580" t="str">
        <f t="shared" si="124"/>
        <v>LYON98</v>
      </c>
      <c r="E1580" t="s">
        <v>1300</v>
      </c>
      <c r="F1580" t="str">
        <f t="shared" si="125"/>
        <v>LYON98</v>
      </c>
      <c r="G1580" t="s">
        <v>305</v>
      </c>
      <c r="H1580" t="s">
        <v>937</v>
      </c>
      <c r="I1580" s="16">
        <v>32.07</v>
      </c>
      <c r="J1580" s="16">
        <v>27.86</v>
      </c>
      <c r="K1580" s="16">
        <v>0</v>
      </c>
      <c r="L1580" s="159">
        <f t="shared" si="126"/>
        <v>0.86872466479575927</v>
      </c>
      <c r="M1580" s="159">
        <f t="shared" si="126"/>
        <v>0</v>
      </c>
    </row>
    <row r="1581" spans="2:13">
      <c r="B1581" t="s">
        <v>183</v>
      </c>
      <c r="C1581">
        <f t="shared" si="128"/>
        <v>99</v>
      </c>
      <c r="D1581" t="str">
        <f t="shared" si="124"/>
        <v>LYON99</v>
      </c>
      <c r="E1581" t="s">
        <v>1300</v>
      </c>
      <c r="F1581" t="str">
        <f t="shared" si="125"/>
        <v>LYON99</v>
      </c>
      <c r="G1581" t="s">
        <v>277</v>
      </c>
      <c r="I1581" s="16">
        <v>30.48</v>
      </c>
      <c r="J1581" s="16">
        <v>3.15</v>
      </c>
      <c r="K1581" s="16">
        <v>12.18</v>
      </c>
      <c r="L1581" s="159">
        <f t="shared" si="126"/>
        <v>0.10334645669291338</v>
      </c>
      <c r="M1581" s="159">
        <f t="shared" si="126"/>
        <v>0.39960629921259844</v>
      </c>
    </row>
    <row r="1582" spans="2:13">
      <c r="B1582" t="s">
        <v>183</v>
      </c>
      <c r="C1582">
        <f t="shared" si="128"/>
        <v>100</v>
      </c>
      <c r="D1582" t="str">
        <f t="shared" si="124"/>
        <v>LYON100</v>
      </c>
      <c r="E1582" t="s">
        <v>1300</v>
      </c>
      <c r="F1582" t="str">
        <f t="shared" si="125"/>
        <v>LYON100</v>
      </c>
      <c r="G1582" t="s">
        <v>280</v>
      </c>
      <c r="I1582" s="16">
        <v>30.22</v>
      </c>
      <c r="J1582" s="16">
        <v>7.79</v>
      </c>
      <c r="K1582" s="16">
        <v>10.74</v>
      </c>
      <c r="L1582" s="159">
        <f t="shared" si="126"/>
        <v>0.25777630708140303</v>
      </c>
      <c r="M1582" s="159">
        <f t="shared" si="126"/>
        <v>0.35539377895433488</v>
      </c>
    </row>
    <row r="1583" spans="2:13">
      <c r="B1583" t="s">
        <v>183</v>
      </c>
      <c r="C1583">
        <f t="shared" si="128"/>
        <v>101</v>
      </c>
      <c r="D1583" t="str">
        <f t="shared" si="124"/>
        <v>LYON101</v>
      </c>
      <c r="E1583" t="s">
        <v>1300</v>
      </c>
      <c r="F1583" t="str">
        <f t="shared" si="125"/>
        <v>LYON101</v>
      </c>
      <c r="G1583" t="s">
        <v>374</v>
      </c>
      <c r="I1583" s="16">
        <v>29.16</v>
      </c>
      <c r="J1583" s="16">
        <v>29.16</v>
      </c>
      <c r="K1583" s="16">
        <v>0</v>
      </c>
      <c r="L1583" s="159">
        <f t="shared" si="126"/>
        <v>1</v>
      </c>
      <c r="M1583" s="159">
        <f t="shared" si="126"/>
        <v>0</v>
      </c>
    </row>
    <row r="1584" spans="2:13">
      <c r="B1584" t="s">
        <v>183</v>
      </c>
      <c r="C1584">
        <f t="shared" si="128"/>
        <v>102</v>
      </c>
      <c r="D1584" t="str">
        <f t="shared" si="124"/>
        <v>LYON102</v>
      </c>
      <c r="E1584" t="s">
        <v>1300</v>
      </c>
      <c r="F1584" t="str">
        <f t="shared" si="125"/>
        <v>LYON102</v>
      </c>
      <c r="G1584" t="s">
        <v>315</v>
      </c>
      <c r="I1584" s="16">
        <v>29.13</v>
      </c>
      <c r="J1584" s="16">
        <v>29.13</v>
      </c>
      <c r="K1584" s="16">
        <v>19.420000000000002</v>
      </c>
      <c r="L1584" s="159">
        <f t="shared" si="126"/>
        <v>1</v>
      </c>
      <c r="M1584" s="159">
        <f t="shared" si="126"/>
        <v>0.66666666666666674</v>
      </c>
    </row>
    <row r="1585" spans="2:13">
      <c r="B1585" t="s">
        <v>183</v>
      </c>
      <c r="C1585">
        <f t="shared" si="128"/>
        <v>103</v>
      </c>
      <c r="D1585" t="str">
        <f t="shared" si="124"/>
        <v>LYON103</v>
      </c>
      <c r="E1585" t="s">
        <v>1300</v>
      </c>
      <c r="F1585" t="str">
        <f t="shared" si="125"/>
        <v>LYON103</v>
      </c>
      <c r="G1585" t="s">
        <v>427</v>
      </c>
      <c r="H1585" t="s">
        <v>1797</v>
      </c>
      <c r="I1585" s="16">
        <v>26.88</v>
      </c>
      <c r="J1585" s="16">
        <v>6.68</v>
      </c>
      <c r="K1585" s="16">
        <v>0</v>
      </c>
      <c r="L1585" s="159">
        <f t="shared" si="126"/>
        <v>0.24851190476190477</v>
      </c>
      <c r="M1585" s="159">
        <f t="shared" si="126"/>
        <v>0</v>
      </c>
    </row>
    <row r="1586" spans="2:13">
      <c r="B1586" t="s">
        <v>183</v>
      </c>
      <c r="C1586">
        <f t="shared" si="128"/>
        <v>104</v>
      </c>
      <c r="D1586" t="str">
        <f t="shared" si="124"/>
        <v>LYON104</v>
      </c>
      <c r="E1586" t="s">
        <v>1300</v>
      </c>
      <c r="F1586" t="str">
        <f t="shared" si="125"/>
        <v>LYON104</v>
      </c>
      <c r="G1586" t="s">
        <v>259</v>
      </c>
      <c r="I1586" s="16">
        <v>26.83</v>
      </c>
      <c r="J1586" s="16">
        <v>17.37</v>
      </c>
      <c r="K1586" s="16">
        <v>9.4600000000000009</v>
      </c>
      <c r="L1586" s="159">
        <f t="shared" si="126"/>
        <v>0.64740961610137915</v>
      </c>
      <c r="M1586" s="159">
        <f t="shared" si="126"/>
        <v>0.35259038389862102</v>
      </c>
    </row>
    <row r="1587" spans="2:13">
      <c r="B1587" t="s">
        <v>183</v>
      </c>
      <c r="C1587">
        <f t="shared" si="128"/>
        <v>105</v>
      </c>
      <c r="D1587" t="str">
        <f t="shared" si="124"/>
        <v>LYON105</v>
      </c>
      <c r="E1587" t="s">
        <v>1300</v>
      </c>
      <c r="F1587" t="str">
        <f t="shared" si="125"/>
        <v>LYON105</v>
      </c>
      <c r="G1587" t="s">
        <v>353</v>
      </c>
      <c r="I1587" s="16">
        <v>26.51</v>
      </c>
      <c r="J1587" s="16">
        <v>0</v>
      </c>
      <c r="K1587" s="16">
        <v>0</v>
      </c>
      <c r="L1587" s="159">
        <f t="shared" si="126"/>
        <v>0</v>
      </c>
      <c r="M1587" s="159">
        <f t="shared" si="126"/>
        <v>0</v>
      </c>
    </row>
    <row r="1588" spans="2:13">
      <c r="B1588" t="s">
        <v>183</v>
      </c>
      <c r="C1588">
        <f t="shared" si="128"/>
        <v>106</v>
      </c>
      <c r="D1588" t="str">
        <f t="shared" si="124"/>
        <v>LYON106</v>
      </c>
      <c r="E1588" t="s">
        <v>1300</v>
      </c>
      <c r="F1588" t="str">
        <f t="shared" si="125"/>
        <v>LYON106</v>
      </c>
      <c r="G1588" t="s">
        <v>355</v>
      </c>
      <c r="I1588" s="16">
        <v>26.46</v>
      </c>
      <c r="J1588" s="16">
        <v>0</v>
      </c>
      <c r="K1588" s="16">
        <v>0</v>
      </c>
      <c r="L1588" s="159">
        <f t="shared" si="126"/>
        <v>0</v>
      </c>
      <c r="M1588" s="159">
        <f t="shared" si="126"/>
        <v>0</v>
      </c>
    </row>
    <row r="1589" spans="2:13">
      <c r="B1589" t="s">
        <v>183</v>
      </c>
      <c r="C1589">
        <f t="shared" si="128"/>
        <v>107</v>
      </c>
      <c r="D1589" t="str">
        <f t="shared" si="124"/>
        <v>LYON107</v>
      </c>
      <c r="E1589" t="s">
        <v>1300</v>
      </c>
      <c r="F1589" t="str">
        <f t="shared" si="125"/>
        <v>LYON107</v>
      </c>
      <c r="G1589" t="s">
        <v>368</v>
      </c>
      <c r="I1589" s="16">
        <v>26.21</v>
      </c>
      <c r="J1589" s="16">
        <v>18.23</v>
      </c>
      <c r="K1589" s="16">
        <v>0</v>
      </c>
      <c r="L1589" s="159">
        <f t="shared" si="126"/>
        <v>0.69553605494086224</v>
      </c>
      <c r="M1589" s="159">
        <f t="shared" si="126"/>
        <v>0</v>
      </c>
    </row>
    <row r="1590" spans="2:13">
      <c r="B1590" t="s">
        <v>183</v>
      </c>
      <c r="C1590">
        <f t="shared" si="128"/>
        <v>108</v>
      </c>
      <c r="D1590" t="str">
        <f t="shared" si="124"/>
        <v>LYON108</v>
      </c>
      <c r="E1590" t="s">
        <v>1300</v>
      </c>
      <c r="F1590" t="str">
        <f t="shared" si="125"/>
        <v>LYON108</v>
      </c>
      <c r="G1590" t="s">
        <v>422</v>
      </c>
      <c r="I1590" s="16">
        <v>25.23</v>
      </c>
      <c r="J1590" s="16">
        <v>6.09</v>
      </c>
      <c r="K1590" s="16">
        <v>0</v>
      </c>
      <c r="L1590" s="159">
        <f t="shared" si="126"/>
        <v>0.24137931034482757</v>
      </c>
      <c r="M1590" s="159">
        <f t="shared" si="126"/>
        <v>0</v>
      </c>
    </row>
    <row r="1591" spans="2:13">
      <c r="B1591" t="s">
        <v>183</v>
      </c>
      <c r="C1591">
        <f t="shared" si="128"/>
        <v>109</v>
      </c>
      <c r="D1591" t="str">
        <f t="shared" si="124"/>
        <v>LYON109</v>
      </c>
      <c r="E1591" t="s">
        <v>1300</v>
      </c>
      <c r="F1591" t="str">
        <f t="shared" si="125"/>
        <v>LYON109</v>
      </c>
      <c r="G1591" t="s">
        <v>323</v>
      </c>
      <c r="I1591" s="16">
        <v>24.98</v>
      </c>
      <c r="J1591" s="16">
        <v>1.1100000000000001</v>
      </c>
      <c r="K1591" s="16">
        <v>4.0599999999999996</v>
      </c>
      <c r="L1591" s="159">
        <f t="shared" si="126"/>
        <v>4.4435548438751006E-2</v>
      </c>
      <c r="M1591" s="159">
        <f t="shared" si="126"/>
        <v>0.16253002401921535</v>
      </c>
    </row>
    <row r="1592" spans="2:13">
      <c r="B1592" t="s">
        <v>183</v>
      </c>
      <c r="C1592">
        <f t="shared" si="128"/>
        <v>110</v>
      </c>
      <c r="D1592" t="str">
        <f t="shared" si="124"/>
        <v>LYON110</v>
      </c>
      <c r="E1592" t="s">
        <v>1300</v>
      </c>
      <c r="F1592" t="str">
        <f t="shared" si="125"/>
        <v>LYON110</v>
      </c>
      <c r="G1592" t="s">
        <v>370</v>
      </c>
      <c r="I1592" s="16">
        <v>24.85</v>
      </c>
      <c r="J1592" s="16">
        <v>16.96</v>
      </c>
      <c r="K1592" s="16">
        <v>0</v>
      </c>
      <c r="L1592" s="159">
        <f t="shared" si="126"/>
        <v>0.68249496981891344</v>
      </c>
      <c r="M1592" s="159">
        <f t="shared" si="126"/>
        <v>0</v>
      </c>
    </row>
    <row r="1593" spans="2:13">
      <c r="B1593" t="s">
        <v>183</v>
      </c>
      <c r="C1593">
        <f t="shared" si="128"/>
        <v>111</v>
      </c>
      <c r="D1593" t="str">
        <f t="shared" si="124"/>
        <v>LYON111</v>
      </c>
      <c r="E1593" t="s">
        <v>1300</v>
      </c>
      <c r="F1593" t="str">
        <f t="shared" si="125"/>
        <v>LYON111</v>
      </c>
      <c r="G1593" t="s">
        <v>301</v>
      </c>
      <c r="H1593" t="s">
        <v>918</v>
      </c>
      <c r="I1593" s="16">
        <v>24.69</v>
      </c>
      <c r="J1593" s="16">
        <v>0</v>
      </c>
      <c r="K1593" s="16">
        <v>0</v>
      </c>
      <c r="L1593" s="159">
        <f t="shared" si="126"/>
        <v>0</v>
      </c>
      <c r="M1593" s="159">
        <f t="shared" si="126"/>
        <v>0</v>
      </c>
    </row>
    <row r="1594" spans="2:13">
      <c r="B1594" t="s">
        <v>183</v>
      </c>
      <c r="C1594">
        <f t="shared" si="128"/>
        <v>112</v>
      </c>
      <c r="D1594" t="str">
        <f t="shared" si="124"/>
        <v>LYON112</v>
      </c>
      <c r="E1594" t="s">
        <v>1300</v>
      </c>
      <c r="F1594" t="str">
        <f t="shared" si="125"/>
        <v>LYON112</v>
      </c>
      <c r="G1594" t="s">
        <v>421</v>
      </c>
      <c r="I1594" s="16">
        <v>24.09</v>
      </c>
      <c r="J1594" s="16">
        <v>24.09</v>
      </c>
      <c r="K1594" s="16">
        <v>13.36</v>
      </c>
      <c r="L1594" s="159">
        <f t="shared" si="126"/>
        <v>1</v>
      </c>
      <c r="M1594" s="159">
        <f t="shared" si="126"/>
        <v>0.55458696554586961</v>
      </c>
    </row>
    <row r="1595" spans="2:13">
      <c r="B1595" t="s">
        <v>183</v>
      </c>
      <c r="C1595">
        <f t="shared" si="128"/>
        <v>113</v>
      </c>
      <c r="D1595" t="str">
        <f t="shared" si="124"/>
        <v>LYON113</v>
      </c>
      <c r="E1595" t="s">
        <v>1300</v>
      </c>
      <c r="F1595" t="str">
        <f t="shared" si="125"/>
        <v>LYON113</v>
      </c>
      <c r="G1595" t="s">
        <v>337</v>
      </c>
      <c r="I1595" s="16">
        <v>23.78</v>
      </c>
      <c r="J1595" s="16">
        <v>7.55</v>
      </c>
      <c r="K1595" s="16">
        <v>12.17</v>
      </c>
      <c r="L1595" s="159">
        <f t="shared" si="126"/>
        <v>0.31749369217830109</v>
      </c>
      <c r="M1595" s="159">
        <f t="shared" si="126"/>
        <v>0.51177460050462575</v>
      </c>
    </row>
    <row r="1596" spans="2:13">
      <c r="B1596" t="s">
        <v>183</v>
      </c>
      <c r="C1596">
        <f t="shared" si="128"/>
        <v>114</v>
      </c>
      <c r="D1596" t="str">
        <f t="shared" si="124"/>
        <v>LYON114</v>
      </c>
      <c r="E1596" t="s">
        <v>1300</v>
      </c>
      <c r="F1596" t="str">
        <f t="shared" si="125"/>
        <v>LYON114</v>
      </c>
      <c r="G1596" t="s">
        <v>330</v>
      </c>
      <c r="I1596" s="16">
        <v>22.81</v>
      </c>
      <c r="J1596" s="16">
        <v>15.16</v>
      </c>
      <c r="K1596" s="16">
        <v>0</v>
      </c>
      <c r="L1596" s="159">
        <f t="shared" si="126"/>
        <v>0.66462078035949146</v>
      </c>
      <c r="M1596" s="159">
        <f t="shared" si="126"/>
        <v>0</v>
      </c>
    </row>
    <row r="1597" spans="2:13">
      <c r="B1597" t="s">
        <v>183</v>
      </c>
      <c r="C1597">
        <f t="shared" si="128"/>
        <v>115</v>
      </c>
      <c r="D1597" t="str">
        <f t="shared" si="124"/>
        <v>LYON115</v>
      </c>
      <c r="E1597" t="s">
        <v>1300</v>
      </c>
      <c r="F1597" t="str">
        <f t="shared" si="125"/>
        <v>LYON115</v>
      </c>
      <c r="G1597" t="s">
        <v>313</v>
      </c>
      <c r="I1597" s="16">
        <v>20.98</v>
      </c>
      <c r="J1597" s="16">
        <v>0</v>
      </c>
      <c r="K1597" s="16">
        <v>0</v>
      </c>
      <c r="L1597" s="159">
        <f t="shared" si="126"/>
        <v>0</v>
      </c>
      <c r="M1597" s="159">
        <f t="shared" si="126"/>
        <v>0</v>
      </c>
    </row>
    <row r="1598" spans="2:13">
      <c r="B1598" t="s">
        <v>183</v>
      </c>
      <c r="C1598">
        <f t="shared" si="128"/>
        <v>116</v>
      </c>
      <c r="D1598" t="str">
        <f t="shared" si="124"/>
        <v>LYON116</v>
      </c>
      <c r="E1598" t="s">
        <v>1300</v>
      </c>
      <c r="F1598" t="str">
        <f t="shared" si="125"/>
        <v>LYON116</v>
      </c>
      <c r="G1598" t="s">
        <v>411</v>
      </c>
      <c r="I1598" s="16">
        <v>20.96</v>
      </c>
      <c r="J1598" s="16">
        <v>4.0599999999999996</v>
      </c>
      <c r="K1598" s="16">
        <v>0</v>
      </c>
      <c r="L1598" s="159">
        <f t="shared" si="126"/>
        <v>0.19370229007633585</v>
      </c>
      <c r="M1598" s="159">
        <f t="shared" si="126"/>
        <v>0</v>
      </c>
    </row>
    <row r="1599" spans="2:13">
      <c r="B1599" t="s">
        <v>183</v>
      </c>
      <c r="C1599">
        <f t="shared" si="128"/>
        <v>117</v>
      </c>
      <c r="D1599" t="str">
        <f t="shared" si="124"/>
        <v>LYON117</v>
      </c>
      <c r="E1599" t="s">
        <v>1300</v>
      </c>
      <c r="F1599" t="str">
        <f t="shared" si="125"/>
        <v>LYON117</v>
      </c>
      <c r="G1599" t="s">
        <v>302</v>
      </c>
      <c r="I1599" s="16">
        <v>20.010000000000002</v>
      </c>
      <c r="J1599" s="16">
        <v>7.7</v>
      </c>
      <c r="K1599" s="16">
        <v>20.010000000000002</v>
      </c>
      <c r="L1599" s="159">
        <f t="shared" si="126"/>
        <v>0.38480759620189903</v>
      </c>
      <c r="M1599" s="159">
        <f t="shared" si="126"/>
        <v>1</v>
      </c>
    </row>
    <row r="1600" spans="2:13">
      <c r="B1600" t="s">
        <v>183</v>
      </c>
      <c r="C1600">
        <f t="shared" si="128"/>
        <v>118</v>
      </c>
      <c r="D1600" t="str">
        <f t="shared" si="124"/>
        <v>LYON118</v>
      </c>
      <c r="E1600" t="s">
        <v>1300</v>
      </c>
      <c r="F1600" t="str">
        <f t="shared" si="125"/>
        <v>LYON118</v>
      </c>
      <c r="G1600" t="s">
        <v>401</v>
      </c>
      <c r="I1600" s="16">
        <v>19.39</v>
      </c>
      <c r="J1600" s="16">
        <v>0</v>
      </c>
      <c r="K1600" s="16">
        <v>0</v>
      </c>
      <c r="L1600" s="159">
        <f t="shared" si="126"/>
        <v>0</v>
      </c>
      <c r="M1600" s="159">
        <f t="shared" si="126"/>
        <v>0</v>
      </c>
    </row>
    <row r="1601" spans="2:13">
      <c r="B1601" t="s">
        <v>183</v>
      </c>
      <c r="C1601">
        <f t="shared" si="128"/>
        <v>119</v>
      </c>
      <c r="D1601" t="str">
        <f t="shared" si="124"/>
        <v>LYON119</v>
      </c>
      <c r="E1601" t="s">
        <v>1300</v>
      </c>
      <c r="F1601" t="str">
        <f t="shared" si="125"/>
        <v>LYON119</v>
      </c>
      <c r="G1601" t="s">
        <v>381</v>
      </c>
      <c r="I1601" s="16">
        <v>19.100000000000001</v>
      </c>
      <c r="J1601" s="16">
        <v>12</v>
      </c>
      <c r="K1601" s="16">
        <v>0</v>
      </c>
      <c r="L1601" s="159">
        <f t="shared" si="126"/>
        <v>0.62827225130890052</v>
      </c>
      <c r="M1601" s="159">
        <f t="shared" si="126"/>
        <v>0</v>
      </c>
    </row>
    <row r="1602" spans="2:13">
      <c r="B1602" t="s">
        <v>183</v>
      </c>
      <c r="C1602">
        <f t="shared" si="128"/>
        <v>120</v>
      </c>
      <c r="D1602" t="str">
        <f t="shared" ref="D1602:D1665" si="129">CONCATENATE(E1602,C1602)</f>
        <v>LYON120</v>
      </c>
      <c r="E1602" t="s">
        <v>1300</v>
      </c>
      <c r="F1602" t="str">
        <f t="shared" si="125"/>
        <v>LYON120</v>
      </c>
      <c r="G1602" t="s">
        <v>430</v>
      </c>
      <c r="I1602" s="16">
        <v>19</v>
      </c>
      <c r="J1602" s="16">
        <v>0</v>
      </c>
      <c r="K1602" s="16">
        <v>0</v>
      </c>
      <c r="L1602" s="159">
        <f t="shared" si="126"/>
        <v>0</v>
      </c>
      <c r="M1602" s="159">
        <f t="shared" si="126"/>
        <v>0</v>
      </c>
    </row>
    <row r="1603" spans="2:13">
      <c r="B1603" t="s">
        <v>183</v>
      </c>
      <c r="C1603">
        <f t="shared" si="128"/>
        <v>121</v>
      </c>
      <c r="D1603" t="str">
        <f t="shared" si="129"/>
        <v>LYON121</v>
      </c>
      <c r="E1603" t="s">
        <v>1300</v>
      </c>
      <c r="F1603" t="str">
        <f t="shared" ref="F1603:F1666" si="130">D1603</f>
        <v>LYON121</v>
      </c>
      <c r="G1603" t="s">
        <v>295</v>
      </c>
      <c r="I1603" s="16">
        <v>18.25</v>
      </c>
      <c r="J1603" s="16">
        <v>6.16</v>
      </c>
      <c r="K1603" s="16">
        <v>8.82</v>
      </c>
      <c r="L1603" s="159">
        <f t="shared" ref="L1603:M1666" si="131">J1603/$I1603</f>
        <v>0.33753424657534248</v>
      </c>
      <c r="M1603" s="159">
        <f t="shared" si="131"/>
        <v>0.48328767123287675</v>
      </c>
    </row>
    <row r="1604" spans="2:13">
      <c r="B1604" t="s">
        <v>183</v>
      </c>
      <c r="C1604">
        <f t="shared" si="128"/>
        <v>122</v>
      </c>
      <c r="D1604" t="str">
        <f t="shared" si="129"/>
        <v>LYON122</v>
      </c>
      <c r="E1604" t="s">
        <v>1300</v>
      </c>
      <c r="F1604" t="str">
        <f t="shared" si="130"/>
        <v>LYON122</v>
      </c>
      <c r="G1604" t="s">
        <v>412</v>
      </c>
      <c r="I1604" s="16">
        <v>17.829999999999998</v>
      </c>
      <c r="J1604" s="16">
        <v>13.78</v>
      </c>
      <c r="K1604" s="16">
        <v>0</v>
      </c>
      <c r="L1604" s="159">
        <f t="shared" si="131"/>
        <v>0.77285473920358949</v>
      </c>
      <c r="M1604" s="159">
        <f t="shared" si="131"/>
        <v>0</v>
      </c>
    </row>
    <row r="1605" spans="2:13">
      <c r="B1605" t="s">
        <v>183</v>
      </c>
      <c r="C1605">
        <f t="shared" si="128"/>
        <v>123</v>
      </c>
      <c r="D1605" t="str">
        <f t="shared" si="129"/>
        <v>LYON123</v>
      </c>
      <c r="E1605" t="s">
        <v>1300</v>
      </c>
      <c r="F1605" t="str">
        <f t="shared" si="130"/>
        <v>LYON123</v>
      </c>
      <c r="G1605" t="s">
        <v>407</v>
      </c>
      <c r="I1605" s="16">
        <v>17.7</v>
      </c>
      <c r="J1605" s="16">
        <v>3.94</v>
      </c>
      <c r="K1605" s="16">
        <v>0</v>
      </c>
      <c r="L1605" s="159">
        <f t="shared" si="131"/>
        <v>0.22259887005649717</v>
      </c>
      <c r="M1605" s="159">
        <f t="shared" si="131"/>
        <v>0</v>
      </c>
    </row>
    <row r="1606" spans="2:13">
      <c r="B1606" t="s">
        <v>183</v>
      </c>
      <c r="C1606">
        <f t="shared" si="128"/>
        <v>124</v>
      </c>
      <c r="D1606" t="str">
        <f t="shared" si="129"/>
        <v>LYON124</v>
      </c>
      <c r="E1606" t="s">
        <v>1300</v>
      </c>
      <c r="F1606" t="str">
        <f t="shared" si="130"/>
        <v>LYON124</v>
      </c>
      <c r="G1606" t="s">
        <v>254</v>
      </c>
      <c r="H1606" t="s">
        <v>931</v>
      </c>
      <c r="I1606" s="16">
        <v>16.78</v>
      </c>
      <c r="J1606" s="16">
        <v>11.58</v>
      </c>
      <c r="K1606" s="16">
        <v>0</v>
      </c>
      <c r="L1606" s="159">
        <f t="shared" si="131"/>
        <v>0.69010727056019061</v>
      </c>
      <c r="M1606" s="159">
        <f t="shared" si="131"/>
        <v>0</v>
      </c>
    </row>
    <row r="1607" spans="2:13">
      <c r="B1607" t="s">
        <v>183</v>
      </c>
      <c r="C1607">
        <f t="shared" si="128"/>
        <v>125</v>
      </c>
      <c r="D1607" t="str">
        <f t="shared" si="129"/>
        <v>LYON125</v>
      </c>
      <c r="E1607" t="s">
        <v>1300</v>
      </c>
      <c r="F1607" t="str">
        <f t="shared" si="130"/>
        <v>LYON125</v>
      </c>
      <c r="G1607" t="s">
        <v>293</v>
      </c>
      <c r="I1607" s="16">
        <v>16.37</v>
      </c>
      <c r="J1607" s="16">
        <v>9.74</v>
      </c>
      <c r="K1607" s="16">
        <v>0</v>
      </c>
      <c r="L1607" s="159">
        <f t="shared" si="131"/>
        <v>0.59499083689676235</v>
      </c>
      <c r="M1607" s="159">
        <f t="shared" si="131"/>
        <v>0</v>
      </c>
    </row>
    <row r="1608" spans="2:13">
      <c r="B1608" t="s">
        <v>183</v>
      </c>
      <c r="C1608">
        <f t="shared" si="128"/>
        <v>126</v>
      </c>
      <c r="D1608" t="str">
        <f t="shared" si="129"/>
        <v>LYON126</v>
      </c>
      <c r="E1608" t="s">
        <v>1300</v>
      </c>
      <c r="F1608" t="str">
        <f t="shared" si="130"/>
        <v>LYON126</v>
      </c>
      <c r="G1608" t="s">
        <v>445</v>
      </c>
      <c r="I1608" s="16">
        <v>15.83</v>
      </c>
      <c r="J1608" s="16">
        <v>2.42</v>
      </c>
      <c r="K1608" s="16">
        <v>0</v>
      </c>
      <c r="L1608" s="159">
        <f t="shared" si="131"/>
        <v>0.15287428932406821</v>
      </c>
      <c r="M1608" s="159">
        <f t="shared" si="131"/>
        <v>0</v>
      </c>
    </row>
    <row r="1609" spans="2:13">
      <c r="B1609" t="s">
        <v>183</v>
      </c>
      <c r="C1609">
        <f t="shared" si="128"/>
        <v>127</v>
      </c>
      <c r="D1609" t="str">
        <f t="shared" si="129"/>
        <v>LYON127</v>
      </c>
      <c r="E1609" t="s">
        <v>1300</v>
      </c>
      <c r="F1609" t="str">
        <f t="shared" si="130"/>
        <v>LYON127</v>
      </c>
      <c r="G1609" t="s">
        <v>414</v>
      </c>
      <c r="I1609" s="16">
        <v>15.82</v>
      </c>
      <c r="J1609" s="16">
        <v>8.5</v>
      </c>
      <c r="K1609" s="16">
        <v>0</v>
      </c>
      <c r="L1609" s="159">
        <f t="shared" si="131"/>
        <v>0.53729456384323637</v>
      </c>
      <c r="M1609" s="159">
        <f t="shared" si="131"/>
        <v>0</v>
      </c>
    </row>
    <row r="1610" spans="2:13">
      <c r="B1610" t="s">
        <v>183</v>
      </c>
      <c r="C1610">
        <f t="shared" si="128"/>
        <v>128</v>
      </c>
      <c r="D1610" t="str">
        <f t="shared" si="129"/>
        <v>LYON128</v>
      </c>
      <c r="E1610" t="s">
        <v>1300</v>
      </c>
      <c r="F1610" t="str">
        <f t="shared" si="130"/>
        <v>LYON128</v>
      </c>
      <c r="G1610" t="s">
        <v>417</v>
      </c>
      <c r="I1610" s="16">
        <v>15.77</v>
      </c>
      <c r="J1610" s="16">
        <v>13.73</v>
      </c>
      <c r="K1610" s="16">
        <v>0</v>
      </c>
      <c r="L1610" s="159">
        <f t="shared" si="131"/>
        <v>0.87064045656309452</v>
      </c>
      <c r="M1610" s="159">
        <f t="shared" si="131"/>
        <v>0</v>
      </c>
    </row>
    <row r="1611" spans="2:13">
      <c r="B1611" t="s">
        <v>183</v>
      </c>
      <c r="C1611">
        <f t="shared" ref="C1611:C1637" si="132">RANK(I1611,$I$1482:$I$1637,0)</f>
        <v>129</v>
      </c>
      <c r="D1611" t="str">
        <f t="shared" si="129"/>
        <v>LYON129</v>
      </c>
      <c r="E1611" t="s">
        <v>1300</v>
      </c>
      <c r="F1611" t="str">
        <f t="shared" si="130"/>
        <v>LYON129</v>
      </c>
      <c r="G1611" t="s">
        <v>217</v>
      </c>
      <c r="I1611" s="16">
        <v>15</v>
      </c>
      <c r="J1611" s="16">
        <v>0</v>
      </c>
      <c r="K1611" s="16">
        <v>10</v>
      </c>
      <c r="L1611" s="159">
        <f t="shared" si="131"/>
        <v>0</v>
      </c>
      <c r="M1611" s="159">
        <f t="shared" si="131"/>
        <v>0.66666666666666663</v>
      </c>
    </row>
    <row r="1612" spans="2:13">
      <c r="B1612" t="s">
        <v>183</v>
      </c>
      <c r="C1612">
        <f t="shared" si="132"/>
        <v>130</v>
      </c>
      <c r="D1612" t="str">
        <f t="shared" si="129"/>
        <v>LYON130</v>
      </c>
      <c r="E1612" t="s">
        <v>1300</v>
      </c>
      <c r="F1612" t="str">
        <f t="shared" si="130"/>
        <v>LYON130</v>
      </c>
      <c r="G1612" t="s">
        <v>444</v>
      </c>
      <c r="I1612" s="16">
        <v>14.84</v>
      </c>
      <c r="J1612" s="16">
        <v>0</v>
      </c>
      <c r="K1612" s="16">
        <v>0</v>
      </c>
      <c r="L1612" s="159">
        <f t="shared" si="131"/>
        <v>0</v>
      </c>
      <c r="M1612" s="159">
        <f t="shared" si="131"/>
        <v>0</v>
      </c>
    </row>
    <row r="1613" spans="2:13">
      <c r="B1613" t="s">
        <v>183</v>
      </c>
      <c r="C1613">
        <f t="shared" si="132"/>
        <v>131</v>
      </c>
      <c r="D1613" t="str">
        <f t="shared" si="129"/>
        <v>LYON131</v>
      </c>
      <c r="E1613" t="s">
        <v>1300</v>
      </c>
      <c r="F1613" t="str">
        <f t="shared" si="130"/>
        <v>LYON131</v>
      </c>
      <c r="G1613" t="s">
        <v>396</v>
      </c>
      <c r="I1613" s="16">
        <v>14.68</v>
      </c>
      <c r="J1613" s="16">
        <v>0</v>
      </c>
      <c r="K1613" s="16">
        <v>0</v>
      </c>
      <c r="L1613" s="159">
        <f t="shared" si="131"/>
        <v>0</v>
      </c>
      <c r="M1613" s="159">
        <f t="shared" si="131"/>
        <v>0</v>
      </c>
    </row>
    <row r="1614" spans="2:13">
      <c r="B1614" t="s">
        <v>183</v>
      </c>
      <c r="C1614">
        <f t="shared" si="132"/>
        <v>132</v>
      </c>
      <c r="D1614" t="str">
        <f t="shared" si="129"/>
        <v>LYON132</v>
      </c>
      <c r="E1614" t="s">
        <v>1300</v>
      </c>
      <c r="F1614" t="str">
        <f t="shared" si="130"/>
        <v>LYON132</v>
      </c>
      <c r="G1614" t="s">
        <v>343</v>
      </c>
      <c r="I1614" s="16">
        <v>13.44</v>
      </c>
      <c r="J1614" s="16">
        <v>0</v>
      </c>
      <c r="K1614" s="16">
        <v>0</v>
      </c>
      <c r="L1614" s="159">
        <f t="shared" si="131"/>
        <v>0</v>
      </c>
      <c r="M1614" s="159">
        <f t="shared" si="131"/>
        <v>0</v>
      </c>
    </row>
    <row r="1615" spans="2:13">
      <c r="B1615" t="s">
        <v>183</v>
      </c>
      <c r="C1615">
        <f t="shared" si="132"/>
        <v>133</v>
      </c>
      <c r="D1615" t="str">
        <f t="shared" si="129"/>
        <v>LYON133</v>
      </c>
      <c r="E1615" t="s">
        <v>1300</v>
      </c>
      <c r="F1615" t="str">
        <f t="shared" si="130"/>
        <v>LYON133</v>
      </c>
      <c r="G1615" t="s">
        <v>284</v>
      </c>
      <c r="I1615" s="16">
        <v>13.36</v>
      </c>
      <c r="J1615" s="16">
        <v>0</v>
      </c>
      <c r="K1615" s="16">
        <v>0</v>
      </c>
      <c r="L1615" s="159">
        <f t="shared" si="131"/>
        <v>0</v>
      </c>
      <c r="M1615" s="159">
        <f t="shared" si="131"/>
        <v>0</v>
      </c>
    </row>
    <row r="1616" spans="2:13">
      <c r="B1616" t="s">
        <v>183</v>
      </c>
      <c r="C1616">
        <f t="shared" si="132"/>
        <v>134</v>
      </c>
      <c r="D1616" t="str">
        <f t="shared" si="129"/>
        <v>LYON134</v>
      </c>
      <c r="E1616" t="s">
        <v>1300</v>
      </c>
      <c r="F1616" t="str">
        <f t="shared" si="130"/>
        <v>LYON134</v>
      </c>
      <c r="G1616" t="s">
        <v>403</v>
      </c>
      <c r="I1616" s="16">
        <v>10.17</v>
      </c>
      <c r="J1616" s="16">
        <v>8.18</v>
      </c>
      <c r="K1616" s="16">
        <v>0</v>
      </c>
      <c r="L1616" s="159">
        <f t="shared" si="131"/>
        <v>0.8043264503441494</v>
      </c>
      <c r="M1616" s="159">
        <f t="shared" si="131"/>
        <v>0</v>
      </c>
    </row>
    <row r="1617" spans="2:13">
      <c r="B1617" t="s">
        <v>183</v>
      </c>
      <c r="C1617">
        <f t="shared" si="132"/>
        <v>135</v>
      </c>
      <c r="D1617" t="str">
        <f t="shared" si="129"/>
        <v>LYON135</v>
      </c>
      <c r="E1617" t="s">
        <v>1300</v>
      </c>
      <c r="F1617" t="str">
        <f t="shared" si="130"/>
        <v>LYON135</v>
      </c>
      <c r="G1617" t="s">
        <v>272</v>
      </c>
      <c r="I1617" s="16">
        <v>10.09</v>
      </c>
      <c r="J1617" s="16">
        <v>6.09</v>
      </c>
      <c r="K1617" s="16">
        <v>0</v>
      </c>
      <c r="L1617" s="159">
        <f t="shared" si="131"/>
        <v>0.60356788899900893</v>
      </c>
      <c r="M1617" s="159">
        <f t="shared" si="131"/>
        <v>0</v>
      </c>
    </row>
    <row r="1618" spans="2:13">
      <c r="B1618" t="s">
        <v>183</v>
      </c>
      <c r="C1618">
        <f t="shared" si="132"/>
        <v>135</v>
      </c>
      <c r="D1618" t="str">
        <f t="shared" si="129"/>
        <v>LYON135</v>
      </c>
      <c r="E1618" t="s">
        <v>1300</v>
      </c>
      <c r="F1618" t="str">
        <f t="shared" si="130"/>
        <v>LYON135</v>
      </c>
      <c r="G1618" t="s">
        <v>332</v>
      </c>
      <c r="H1618" t="s">
        <v>940</v>
      </c>
      <c r="I1618" s="16">
        <v>10.09</v>
      </c>
      <c r="J1618" s="16">
        <v>0</v>
      </c>
      <c r="K1618" s="16">
        <v>4</v>
      </c>
      <c r="L1618" s="159">
        <f t="shared" si="131"/>
        <v>0</v>
      </c>
      <c r="M1618" s="159">
        <f t="shared" si="131"/>
        <v>0.39643211100099107</v>
      </c>
    </row>
    <row r="1619" spans="2:13">
      <c r="B1619" t="s">
        <v>183</v>
      </c>
      <c r="C1619">
        <f t="shared" si="132"/>
        <v>137</v>
      </c>
      <c r="D1619" t="str">
        <f t="shared" si="129"/>
        <v>LYON137</v>
      </c>
      <c r="E1619" t="s">
        <v>1300</v>
      </c>
      <c r="F1619" t="str">
        <f t="shared" si="130"/>
        <v>LYON137</v>
      </c>
      <c r="G1619" t="s">
        <v>367</v>
      </c>
      <c r="I1619" s="16">
        <v>10.029999999999999</v>
      </c>
      <c r="J1619" s="16">
        <v>10.029999999999999</v>
      </c>
      <c r="K1619" s="16">
        <v>0</v>
      </c>
      <c r="L1619" s="159">
        <f t="shared" si="131"/>
        <v>1</v>
      </c>
      <c r="M1619" s="159">
        <f t="shared" si="131"/>
        <v>0</v>
      </c>
    </row>
    <row r="1620" spans="2:13">
      <c r="B1620" t="s">
        <v>183</v>
      </c>
      <c r="C1620">
        <f t="shared" si="132"/>
        <v>138</v>
      </c>
      <c r="D1620" t="str">
        <f t="shared" si="129"/>
        <v>LYON138</v>
      </c>
      <c r="E1620" t="s">
        <v>1300</v>
      </c>
      <c r="F1620" t="str">
        <f t="shared" si="130"/>
        <v>LYON138</v>
      </c>
      <c r="G1620" t="s">
        <v>347</v>
      </c>
      <c r="I1620" s="16">
        <v>9.73</v>
      </c>
      <c r="J1620" s="16">
        <v>9.73</v>
      </c>
      <c r="K1620" s="16">
        <v>0</v>
      </c>
      <c r="L1620" s="159">
        <f t="shared" si="131"/>
        <v>1</v>
      </c>
      <c r="M1620" s="159">
        <f t="shared" si="131"/>
        <v>0</v>
      </c>
    </row>
    <row r="1621" spans="2:13">
      <c r="B1621" t="s">
        <v>183</v>
      </c>
      <c r="C1621">
        <f t="shared" si="132"/>
        <v>139</v>
      </c>
      <c r="D1621" t="str">
        <f t="shared" si="129"/>
        <v>LYON139</v>
      </c>
      <c r="E1621" t="s">
        <v>1300</v>
      </c>
      <c r="F1621" t="str">
        <f t="shared" si="130"/>
        <v>LYON139</v>
      </c>
      <c r="G1621" t="s">
        <v>448</v>
      </c>
      <c r="I1621" s="16">
        <v>9.7100000000000009</v>
      </c>
      <c r="J1621" s="16">
        <v>0</v>
      </c>
      <c r="K1621" s="16">
        <v>0</v>
      </c>
      <c r="L1621" s="159">
        <f t="shared" si="131"/>
        <v>0</v>
      </c>
      <c r="M1621" s="159">
        <f t="shared" si="131"/>
        <v>0</v>
      </c>
    </row>
    <row r="1622" spans="2:13">
      <c r="B1622" t="s">
        <v>183</v>
      </c>
      <c r="C1622">
        <f t="shared" si="132"/>
        <v>140</v>
      </c>
      <c r="D1622" t="str">
        <f t="shared" si="129"/>
        <v>LYON140</v>
      </c>
      <c r="E1622" t="s">
        <v>1300</v>
      </c>
      <c r="F1622" t="str">
        <f t="shared" si="130"/>
        <v>LYON140</v>
      </c>
      <c r="G1622" t="s">
        <v>373</v>
      </c>
      <c r="I1622" s="16">
        <v>9.56</v>
      </c>
      <c r="J1622" s="16">
        <v>9.56</v>
      </c>
      <c r="K1622" s="16">
        <v>0</v>
      </c>
      <c r="L1622" s="159">
        <f t="shared" si="131"/>
        <v>1</v>
      </c>
      <c r="M1622" s="159">
        <f t="shared" si="131"/>
        <v>0</v>
      </c>
    </row>
    <row r="1623" spans="2:13">
      <c r="B1623" t="s">
        <v>183</v>
      </c>
      <c r="C1623">
        <f t="shared" si="132"/>
        <v>140</v>
      </c>
      <c r="D1623" t="str">
        <f t="shared" si="129"/>
        <v>LYON140</v>
      </c>
      <c r="E1623" t="s">
        <v>1300</v>
      </c>
      <c r="F1623" t="str">
        <f t="shared" si="130"/>
        <v>LYON140</v>
      </c>
      <c r="G1623" t="s">
        <v>386</v>
      </c>
      <c r="I1623" s="16">
        <v>9.56</v>
      </c>
      <c r="J1623" s="16">
        <v>9.56</v>
      </c>
      <c r="K1623" s="16">
        <v>0</v>
      </c>
      <c r="L1623" s="159">
        <f t="shared" si="131"/>
        <v>1</v>
      </c>
      <c r="M1623" s="159">
        <f t="shared" si="131"/>
        <v>0</v>
      </c>
    </row>
    <row r="1624" spans="2:13">
      <c r="B1624" t="s">
        <v>183</v>
      </c>
      <c r="C1624">
        <f t="shared" si="132"/>
        <v>142</v>
      </c>
      <c r="D1624" t="str">
        <f t="shared" si="129"/>
        <v>LYON142</v>
      </c>
      <c r="E1624" t="s">
        <v>1300</v>
      </c>
      <c r="F1624" t="str">
        <f t="shared" si="130"/>
        <v>LYON142</v>
      </c>
      <c r="G1624" t="s">
        <v>371</v>
      </c>
      <c r="I1624" s="16">
        <v>9.32</v>
      </c>
      <c r="J1624" s="16">
        <v>0</v>
      </c>
      <c r="K1624" s="16">
        <v>0</v>
      </c>
      <c r="L1624" s="159">
        <f t="shared" si="131"/>
        <v>0</v>
      </c>
      <c r="M1624" s="159">
        <f t="shared" si="131"/>
        <v>0</v>
      </c>
    </row>
    <row r="1625" spans="2:13">
      <c r="B1625" t="s">
        <v>183</v>
      </c>
      <c r="C1625">
        <f t="shared" si="132"/>
        <v>143</v>
      </c>
      <c r="D1625" t="str">
        <f t="shared" si="129"/>
        <v>LYON143</v>
      </c>
      <c r="E1625" t="s">
        <v>1300</v>
      </c>
      <c r="F1625" t="str">
        <f t="shared" si="130"/>
        <v>LYON143</v>
      </c>
      <c r="G1625" t="s">
        <v>392</v>
      </c>
      <c r="I1625" s="16">
        <v>9.08</v>
      </c>
      <c r="J1625" s="16">
        <v>9.08</v>
      </c>
      <c r="K1625" s="16">
        <v>0</v>
      </c>
      <c r="L1625" s="159">
        <f t="shared" si="131"/>
        <v>1</v>
      </c>
      <c r="M1625" s="159">
        <f t="shared" si="131"/>
        <v>0</v>
      </c>
    </row>
    <row r="1626" spans="2:13">
      <c r="B1626" t="s">
        <v>183</v>
      </c>
      <c r="C1626">
        <f t="shared" si="132"/>
        <v>143</v>
      </c>
      <c r="D1626" t="str">
        <f t="shared" si="129"/>
        <v>LYON143</v>
      </c>
      <c r="E1626" t="s">
        <v>1300</v>
      </c>
      <c r="F1626" t="str">
        <f t="shared" si="130"/>
        <v>LYON143</v>
      </c>
      <c r="G1626" t="s">
        <v>431</v>
      </c>
      <c r="I1626" s="16">
        <v>9.08</v>
      </c>
      <c r="J1626" s="16">
        <v>9.08</v>
      </c>
      <c r="K1626" s="16">
        <v>0</v>
      </c>
      <c r="L1626" s="159">
        <f t="shared" si="131"/>
        <v>1</v>
      </c>
      <c r="M1626" s="159">
        <f t="shared" si="131"/>
        <v>0</v>
      </c>
    </row>
    <row r="1627" spans="2:13">
      <c r="B1627" t="s">
        <v>183</v>
      </c>
      <c r="C1627">
        <f t="shared" si="132"/>
        <v>145</v>
      </c>
      <c r="D1627" t="str">
        <f t="shared" si="129"/>
        <v>LYON145</v>
      </c>
      <c r="E1627" t="s">
        <v>1300</v>
      </c>
      <c r="F1627" t="str">
        <f t="shared" si="130"/>
        <v>LYON145</v>
      </c>
      <c r="G1627" t="s">
        <v>436</v>
      </c>
      <c r="I1627" s="16">
        <v>8.82</v>
      </c>
      <c r="J1627" s="16">
        <v>0</v>
      </c>
      <c r="K1627" s="16">
        <v>8.82</v>
      </c>
      <c r="L1627" s="159">
        <f t="shared" si="131"/>
        <v>0</v>
      </c>
      <c r="M1627" s="159">
        <f t="shared" si="131"/>
        <v>1</v>
      </c>
    </row>
    <row r="1628" spans="2:13">
      <c r="B1628" t="s">
        <v>183</v>
      </c>
      <c r="C1628">
        <f t="shared" si="132"/>
        <v>146</v>
      </c>
      <c r="D1628" t="str">
        <f t="shared" si="129"/>
        <v>LYON146</v>
      </c>
      <c r="E1628" t="s">
        <v>1300</v>
      </c>
      <c r="F1628" t="str">
        <f t="shared" si="130"/>
        <v>LYON146</v>
      </c>
      <c r="G1628" t="s">
        <v>339</v>
      </c>
      <c r="I1628" s="16">
        <v>8.11</v>
      </c>
      <c r="J1628" s="16">
        <v>8.11</v>
      </c>
      <c r="K1628" s="16">
        <v>0</v>
      </c>
      <c r="L1628" s="159">
        <f t="shared" si="131"/>
        <v>1</v>
      </c>
      <c r="M1628" s="159">
        <f t="shared" si="131"/>
        <v>0</v>
      </c>
    </row>
    <row r="1629" spans="2:13">
      <c r="B1629" t="s">
        <v>183</v>
      </c>
      <c r="C1629">
        <f t="shared" si="132"/>
        <v>147</v>
      </c>
      <c r="D1629" t="str">
        <f t="shared" si="129"/>
        <v>LYON147</v>
      </c>
      <c r="E1629" t="s">
        <v>1300</v>
      </c>
      <c r="F1629" t="str">
        <f t="shared" si="130"/>
        <v>LYON147</v>
      </c>
      <c r="G1629" t="s">
        <v>268</v>
      </c>
      <c r="H1629" t="s">
        <v>269</v>
      </c>
      <c r="I1629" s="16">
        <v>7.51</v>
      </c>
      <c r="J1629" s="16">
        <v>0</v>
      </c>
      <c r="K1629" s="16">
        <v>0</v>
      </c>
      <c r="L1629" s="159">
        <f t="shared" si="131"/>
        <v>0</v>
      </c>
      <c r="M1629" s="159">
        <f t="shared" si="131"/>
        <v>0</v>
      </c>
    </row>
    <row r="1630" spans="2:13">
      <c r="B1630" t="s">
        <v>183</v>
      </c>
      <c r="C1630">
        <f t="shared" si="132"/>
        <v>148</v>
      </c>
      <c r="D1630" t="str">
        <f t="shared" si="129"/>
        <v>LYON148</v>
      </c>
      <c r="E1630" t="s">
        <v>1300</v>
      </c>
      <c r="F1630" t="str">
        <f t="shared" si="130"/>
        <v>LYON148</v>
      </c>
      <c r="G1630" t="s">
        <v>327</v>
      </c>
      <c r="H1630" t="s">
        <v>1799</v>
      </c>
      <c r="I1630" s="16">
        <v>6.09</v>
      </c>
      <c r="J1630" s="16">
        <v>0</v>
      </c>
      <c r="K1630" s="16">
        <v>0</v>
      </c>
      <c r="L1630" s="159">
        <f t="shared" si="131"/>
        <v>0</v>
      </c>
      <c r="M1630" s="159">
        <f t="shared" si="131"/>
        <v>0</v>
      </c>
    </row>
    <row r="1631" spans="2:13">
      <c r="B1631" t="s">
        <v>183</v>
      </c>
      <c r="C1631">
        <f t="shared" si="132"/>
        <v>149</v>
      </c>
      <c r="D1631" t="str">
        <f t="shared" si="129"/>
        <v>LYON149</v>
      </c>
      <c r="E1631" t="s">
        <v>1300</v>
      </c>
      <c r="F1631" t="str">
        <f t="shared" si="130"/>
        <v>LYON149</v>
      </c>
      <c r="G1631" t="s">
        <v>383</v>
      </c>
      <c r="I1631" s="16">
        <v>5.57</v>
      </c>
      <c r="J1631" s="16">
        <v>0</v>
      </c>
      <c r="K1631" s="16">
        <v>5.57</v>
      </c>
      <c r="L1631" s="159">
        <f t="shared" si="131"/>
        <v>0</v>
      </c>
      <c r="M1631" s="159">
        <f t="shared" si="131"/>
        <v>1</v>
      </c>
    </row>
    <row r="1632" spans="2:13">
      <c r="B1632" t="s">
        <v>183</v>
      </c>
      <c r="C1632">
        <f t="shared" si="132"/>
        <v>150</v>
      </c>
      <c r="D1632" t="str">
        <f t="shared" si="129"/>
        <v>LYON150</v>
      </c>
      <c r="E1632" t="s">
        <v>1300</v>
      </c>
      <c r="F1632" t="str">
        <f t="shared" si="130"/>
        <v>LYON150</v>
      </c>
      <c r="G1632" t="s">
        <v>397</v>
      </c>
      <c r="I1632" s="16">
        <v>5.45</v>
      </c>
      <c r="J1632" s="16">
        <v>1.98</v>
      </c>
      <c r="K1632" s="16">
        <v>1.98</v>
      </c>
      <c r="L1632" s="159">
        <f t="shared" si="131"/>
        <v>0.36330275229357795</v>
      </c>
      <c r="M1632" s="159">
        <f t="shared" si="131"/>
        <v>0.36330275229357795</v>
      </c>
    </row>
    <row r="1633" spans="2:13">
      <c r="B1633" t="s">
        <v>183</v>
      </c>
      <c r="C1633">
        <f t="shared" si="132"/>
        <v>151</v>
      </c>
      <c r="D1633" t="str">
        <f t="shared" si="129"/>
        <v>LYON151</v>
      </c>
      <c r="E1633" t="s">
        <v>1300</v>
      </c>
      <c r="F1633" t="str">
        <f t="shared" si="130"/>
        <v>LYON151</v>
      </c>
      <c r="G1633" t="s">
        <v>433</v>
      </c>
      <c r="I1633" s="16">
        <v>4.45</v>
      </c>
      <c r="J1633" s="16">
        <v>0</v>
      </c>
      <c r="K1633" s="16">
        <v>0</v>
      </c>
      <c r="L1633" s="159">
        <f t="shared" si="131"/>
        <v>0</v>
      </c>
      <c r="M1633" s="159">
        <f t="shared" si="131"/>
        <v>0</v>
      </c>
    </row>
    <row r="1634" spans="2:13">
      <c r="B1634" t="s">
        <v>183</v>
      </c>
      <c r="C1634">
        <f t="shared" si="132"/>
        <v>152</v>
      </c>
      <c r="D1634" t="str">
        <f t="shared" si="129"/>
        <v>LYON152</v>
      </c>
      <c r="E1634" t="s">
        <v>1300</v>
      </c>
      <c r="F1634" t="str">
        <f t="shared" si="130"/>
        <v>LYON152</v>
      </c>
      <c r="G1634" t="s">
        <v>435</v>
      </c>
      <c r="I1634" s="16">
        <v>3.79</v>
      </c>
      <c r="J1634" s="16">
        <v>0</v>
      </c>
      <c r="K1634" s="16">
        <v>0</v>
      </c>
      <c r="L1634" s="159">
        <f t="shared" si="131"/>
        <v>0</v>
      </c>
      <c r="M1634" s="159">
        <f t="shared" si="131"/>
        <v>0</v>
      </c>
    </row>
    <row r="1635" spans="2:13">
      <c r="B1635" t="s">
        <v>183</v>
      </c>
      <c r="C1635">
        <f t="shared" si="132"/>
        <v>153</v>
      </c>
      <c r="D1635" t="str">
        <f t="shared" si="129"/>
        <v>LYON153</v>
      </c>
      <c r="E1635" t="s">
        <v>1300</v>
      </c>
      <c r="F1635" t="str">
        <f t="shared" si="130"/>
        <v>LYON153</v>
      </c>
      <c r="G1635" t="s">
        <v>424</v>
      </c>
      <c r="I1635" s="16">
        <v>2.42</v>
      </c>
      <c r="J1635" s="16">
        <v>2.42</v>
      </c>
      <c r="K1635" s="16">
        <v>0</v>
      </c>
      <c r="L1635" s="159">
        <f t="shared" si="131"/>
        <v>1</v>
      </c>
      <c r="M1635" s="159">
        <f t="shared" si="131"/>
        <v>0</v>
      </c>
    </row>
    <row r="1636" spans="2:13">
      <c r="B1636" t="s">
        <v>183</v>
      </c>
      <c r="C1636">
        <f t="shared" si="132"/>
        <v>154</v>
      </c>
      <c r="D1636" t="str">
        <f t="shared" si="129"/>
        <v>LYON154</v>
      </c>
      <c r="E1636" t="s">
        <v>1300</v>
      </c>
      <c r="F1636" t="str">
        <f t="shared" si="130"/>
        <v>LYON154</v>
      </c>
      <c r="G1636" t="s">
        <v>439</v>
      </c>
      <c r="H1636" t="s">
        <v>440</v>
      </c>
      <c r="I1636" s="16">
        <v>2.0499999999999998</v>
      </c>
      <c r="J1636" s="16">
        <v>2.0499999999999998</v>
      </c>
      <c r="K1636" s="16">
        <v>0</v>
      </c>
      <c r="L1636" s="159">
        <f t="shared" si="131"/>
        <v>1</v>
      </c>
      <c r="M1636" s="159">
        <f t="shared" si="131"/>
        <v>0</v>
      </c>
    </row>
    <row r="1637" spans="2:13">
      <c r="B1637" t="s">
        <v>183</v>
      </c>
      <c r="C1637">
        <f t="shared" si="132"/>
        <v>155</v>
      </c>
      <c r="D1637" t="str">
        <f t="shared" si="129"/>
        <v>LYON155</v>
      </c>
      <c r="E1637" t="s">
        <v>1300</v>
      </c>
      <c r="F1637" t="str">
        <f t="shared" si="130"/>
        <v>LYON155</v>
      </c>
      <c r="G1637" t="s">
        <v>423</v>
      </c>
      <c r="I1637" s="16">
        <v>2.04</v>
      </c>
      <c r="J1637" s="16">
        <v>0</v>
      </c>
      <c r="K1637" s="16">
        <v>0</v>
      </c>
      <c r="L1637" s="159">
        <f t="shared" si="131"/>
        <v>0</v>
      </c>
      <c r="M1637" s="159">
        <f t="shared" si="131"/>
        <v>0</v>
      </c>
    </row>
    <row r="1638" spans="2:13">
      <c r="B1638" t="s">
        <v>185</v>
      </c>
      <c r="C1638">
        <f t="shared" ref="C1638:C1669" si="133">RANK(I1638,$I$1637:$I$1796,0)</f>
        <v>1</v>
      </c>
      <c r="D1638" t="str">
        <f t="shared" si="129"/>
        <v>MONTPELLIER1</v>
      </c>
      <c r="E1638" t="s">
        <v>186</v>
      </c>
      <c r="F1638" t="str">
        <f t="shared" si="130"/>
        <v>MONTPELLIER1</v>
      </c>
      <c r="G1638" t="s">
        <v>216</v>
      </c>
      <c r="H1638" t="s">
        <v>910</v>
      </c>
      <c r="I1638" s="16">
        <v>1011.87</v>
      </c>
      <c r="J1638" s="16">
        <v>706.78</v>
      </c>
      <c r="K1638" s="16">
        <v>153.16999999999999</v>
      </c>
      <c r="L1638" s="159">
        <f t="shared" si="131"/>
        <v>0.69848893632581255</v>
      </c>
      <c r="M1638" s="159">
        <f t="shared" si="131"/>
        <v>0.15137320011463923</v>
      </c>
    </row>
    <row r="1639" spans="2:13">
      <c r="B1639" t="s">
        <v>185</v>
      </c>
      <c r="C1639">
        <f t="shared" si="133"/>
        <v>2</v>
      </c>
      <c r="D1639" t="str">
        <f t="shared" si="129"/>
        <v>MONTPELLIER2</v>
      </c>
      <c r="E1639" t="s">
        <v>186</v>
      </c>
      <c r="F1639" t="str">
        <f t="shared" si="130"/>
        <v>MONTPELLIER2</v>
      </c>
      <c r="G1639" t="s">
        <v>207</v>
      </c>
      <c r="H1639" t="s">
        <v>906</v>
      </c>
      <c r="I1639" s="16">
        <v>831.75</v>
      </c>
      <c r="J1639" s="16">
        <v>320.08</v>
      </c>
      <c r="K1639" s="16">
        <v>536.25</v>
      </c>
      <c r="L1639" s="159">
        <f t="shared" si="131"/>
        <v>0.38482717162608954</v>
      </c>
      <c r="M1639" s="159">
        <f t="shared" si="131"/>
        <v>0.64472497745716861</v>
      </c>
    </row>
    <row r="1640" spans="2:13">
      <c r="B1640" t="s">
        <v>185</v>
      </c>
      <c r="C1640">
        <f t="shared" si="133"/>
        <v>3</v>
      </c>
      <c r="D1640" t="str">
        <f t="shared" si="129"/>
        <v>MONTPELLIER3</v>
      </c>
      <c r="E1640" t="s">
        <v>186</v>
      </c>
      <c r="F1640" t="str">
        <f t="shared" si="130"/>
        <v>MONTPELLIER3</v>
      </c>
      <c r="G1640" t="s">
        <v>225</v>
      </c>
      <c r="H1640" t="s">
        <v>1779</v>
      </c>
      <c r="I1640" s="16">
        <v>811.45</v>
      </c>
      <c r="J1640" s="16">
        <v>93.14</v>
      </c>
      <c r="K1640" s="16">
        <v>162.18</v>
      </c>
      <c r="L1640" s="159">
        <f t="shared" si="131"/>
        <v>0.11478218004806211</v>
      </c>
      <c r="M1640" s="159">
        <f t="shared" si="131"/>
        <v>0.19986444019964261</v>
      </c>
    </row>
    <row r="1641" spans="2:13">
      <c r="B1641" t="s">
        <v>185</v>
      </c>
      <c r="C1641">
        <f t="shared" si="133"/>
        <v>4</v>
      </c>
      <c r="D1641" t="str">
        <f t="shared" si="129"/>
        <v>MONTPELLIER4</v>
      </c>
      <c r="E1641" t="s">
        <v>186</v>
      </c>
      <c r="F1641" t="str">
        <f t="shared" si="130"/>
        <v>MONTPELLIER4</v>
      </c>
      <c r="G1641" t="s">
        <v>208</v>
      </c>
      <c r="H1641" t="s">
        <v>907</v>
      </c>
      <c r="I1641" s="16">
        <v>717.28</v>
      </c>
      <c r="J1641" s="16">
        <v>157.16999999999999</v>
      </c>
      <c r="K1641" s="16">
        <v>299.57</v>
      </c>
      <c r="L1641" s="159">
        <f t="shared" si="131"/>
        <v>0.21911945126031673</v>
      </c>
      <c r="M1641" s="159">
        <f t="shared" si="131"/>
        <v>0.41764722284184697</v>
      </c>
    </row>
    <row r="1642" spans="2:13">
      <c r="B1642" t="s">
        <v>185</v>
      </c>
      <c r="C1642">
        <f t="shared" si="133"/>
        <v>5</v>
      </c>
      <c r="D1642" t="str">
        <f t="shared" si="129"/>
        <v>MONTPELLIER5</v>
      </c>
      <c r="E1642" t="s">
        <v>186</v>
      </c>
      <c r="F1642" t="str">
        <f t="shared" si="130"/>
        <v>MONTPELLIER5</v>
      </c>
      <c r="G1642" t="s">
        <v>212</v>
      </c>
      <c r="H1642" t="s">
        <v>909</v>
      </c>
      <c r="I1642" s="16">
        <v>685.85</v>
      </c>
      <c r="J1642" s="16">
        <v>41.27</v>
      </c>
      <c r="K1642" s="16">
        <v>143.07</v>
      </c>
      <c r="L1642" s="159">
        <f t="shared" si="131"/>
        <v>6.0173507326674931E-2</v>
      </c>
      <c r="M1642" s="159">
        <f t="shared" si="131"/>
        <v>0.20860246409564773</v>
      </c>
    </row>
    <row r="1643" spans="2:13">
      <c r="B1643" t="s">
        <v>185</v>
      </c>
      <c r="C1643">
        <f t="shared" si="133"/>
        <v>6</v>
      </c>
      <c r="D1643" t="str">
        <f t="shared" si="129"/>
        <v>MONTPELLIER6</v>
      </c>
      <c r="E1643" t="s">
        <v>186</v>
      </c>
      <c r="F1643" t="str">
        <f t="shared" si="130"/>
        <v>MONTPELLIER6</v>
      </c>
      <c r="G1643" t="s">
        <v>266</v>
      </c>
      <c r="H1643" t="s">
        <v>267</v>
      </c>
      <c r="I1643" s="16">
        <v>524.16999999999996</v>
      </c>
      <c r="J1643" s="16">
        <v>6.96</v>
      </c>
      <c r="K1643" s="16">
        <v>16.27</v>
      </c>
      <c r="L1643" s="159">
        <f t="shared" si="131"/>
        <v>1.3278134956216495E-2</v>
      </c>
      <c r="M1643" s="159">
        <f t="shared" si="131"/>
        <v>3.1039548238167007E-2</v>
      </c>
    </row>
    <row r="1644" spans="2:13">
      <c r="B1644" t="s">
        <v>185</v>
      </c>
      <c r="C1644">
        <f t="shared" si="133"/>
        <v>7</v>
      </c>
      <c r="D1644" t="str">
        <f t="shared" si="129"/>
        <v>MONTPELLIER7</v>
      </c>
      <c r="E1644" t="s">
        <v>186</v>
      </c>
      <c r="F1644" t="str">
        <f t="shared" si="130"/>
        <v>MONTPELLIER7</v>
      </c>
      <c r="G1644" t="s">
        <v>223</v>
      </c>
      <c r="H1644" t="s">
        <v>916</v>
      </c>
      <c r="I1644" s="16">
        <v>510.27</v>
      </c>
      <c r="J1644" s="16">
        <v>27.56</v>
      </c>
      <c r="K1644" s="16">
        <v>326.54000000000002</v>
      </c>
      <c r="L1644" s="159">
        <f t="shared" si="131"/>
        <v>5.4010621827659866E-2</v>
      </c>
      <c r="M1644" s="159">
        <f t="shared" si="131"/>
        <v>0.63993572030493662</v>
      </c>
    </row>
    <row r="1645" spans="2:13">
      <c r="B1645" t="s">
        <v>185</v>
      </c>
      <c r="C1645">
        <f t="shared" si="133"/>
        <v>8</v>
      </c>
      <c r="D1645" t="str">
        <f t="shared" si="129"/>
        <v>MONTPELLIER8</v>
      </c>
      <c r="E1645" t="s">
        <v>186</v>
      </c>
      <c r="F1645" t="str">
        <f t="shared" si="130"/>
        <v>MONTPELLIER8</v>
      </c>
      <c r="G1645" t="s">
        <v>218</v>
      </c>
      <c r="H1645" t="s">
        <v>911</v>
      </c>
      <c r="I1645" s="16">
        <v>454.55</v>
      </c>
      <c r="J1645" s="16">
        <v>66.599999999999994</v>
      </c>
      <c r="K1645" s="16">
        <v>169.12</v>
      </c>
      <c r="L1645" s="159">
        <f t="shared" si="131"/>
        <v>0.14651853481465182</v>
      </c>
      <c r="M1645" s="159">
        <f t="shared" si="131"/>
        <v>0.37206027939720604</v>
      </c>
    </row>
    <row r="1646" spans="2:13">
      <c r="B1646" t="s">
        <v>185</v>
      </c>
      <c r="C1646">
        <f t="shared" si="133"/>
        <v>9</v>
      </c>
      <c r="D1646" t="str">
        <f t="shared" si="129"/>
        <v>MONTPELLIER9</v>
      </c>
      <c r="E1646" t="s">
        <v>186</v>
      </c>
      <c r="F1646" t="str">
        <f t="shared" si="130"/>
        <v>MONTPELLIER9</v>
      </c>
      <c r="G1646" t="s">
        <v>209</v>
      </c>
      <c r="H1646" t="s">
        <v>210</v>
      </c>
      <c r="I1646" s="16">
        <v>450.46</v>
      </c>
      <c r="J1646" s="16">
        <v>98.29</v>
      </c>
      <c r="K1646" s="16">
        <v>344.78</v>
      </c>
      <c r="L1646" s="159">
        <f t="shared" si="131"/>
        <v>0.21819917417750745</v>
      </c>
      <c r="M1646" s="159">
        <f t="shared" si="131"/>
        <v>0.7653953736180793</v>
      </c>
    </row>
    <row r="1647" spans="2:13">
      <c r="B1647" t="s">
        <v>185</v>
      </c>
      <c r="C1647">
        <f t="shared" si="133"/>
        <v>10</v>
      </c>
      <c r="D1647" t="str">
        <f t="shared" si="129"/>
        <v>MONTPELLIER10</v>
      </c>
      <c r="E1647" t="s">
        <v>186</v>
      </c>
      <c r="F1647" t="str">
        <f t="shared" si="130"/>
        <v>MONTPELLIER10</v>
      </c>
      <c r="G1647" t="s">
        <v>221</v>
      </c>
      <c r="H1647" t="s">
        <v>914</v>
      </c>
      <c r="I1647" s="16">
        <v>438.66</v>
      </c>
      <c r="J1647" s="16">
        <v>24.32</v>
      </c>
      <c r="K1647" s="16">
        <v>167.93</v>
      </c>
      <c r="L1647" s="159">
        <f t="shared" si="131"/>
        <v>5.5441572060365658E-2</v>
      </c>
      <c r="M1647" s="159">
        <f t="shared" si="131"/>
        <v>0.3828249669447864</v>
      </c>
    </row>
    <row r="1648" spans="2:13">
      <c r="B1648" t="s">
        <v>185</v>
      </c>
      <c r="C1648">
        <f t="shared" si="133"/>
        <v>11</v>
      </c>
      <c r="D1648" t="str">
        <f t="shared" si="129"/>
        <v>MONTPELLIER11</v>
      </c>
      <c r="E1648" t="s">
        <v>186</v>
      </c>
      <c r="F1648" t="str">
        <f t="shared" si="130"/>
        <v>MONTPELLIER11</v>
      </c>
      <c r="G1648" t="s">
        <v>234</v>
      </c>
      <c r="H1648" t="s">
        <v>923</v>
      </c>
      <c r="I1648" s="16">
        <v>420.96</v>
      </c>
      <c r="J1648" s="16">
        <v>115.24</v>
      </c>
      <c r="K1648" s="16">
        <v>9.43</v>
      </c>
      <c r="L1648" s="159">
        <f t="shared" si="131"/>
        <v>0.27375522614975295</v>
      </c>
      <c r="M1648" s="159">
        <f t="shared" si="131"/>
        <v>2.2401178259217027E-2</v>
      </c>
    </row>
    <row r="1649" spans="2:13">
      <c r="B1649" t="s">
        <v>185</v>
      </c>
      <c r="C1649">
        <f t="shared" si="133"/>
        <v>12</v>
      </c>
      <c r="D1649" t="str">
        <f t="shared" si="129"/>
        <v>MONTPELLIER12</v>
      </c>
      <c r="E1649" t="s">
        <v>186</v>
      </c>
      <c r="F1649" t="str">
        <f t="shared" si="130"/>
        <v>MONTPELLIER12</v>
      </c>
      <c r="G1649" t="s">
        <v>232</v>
      </c>
      <c r="H1649" t="s">
        <v>922</v>
      </c>
      <c r="I1649" s="16">
        <v>405.61</v>
      </c>
      <c r="J1649" s="16">
        <v>242.89</v>
      </c>
      <c r="K1649" s="16">
        <v>21.87</v>
      </c>
      <c r="L1649" s="159">
        <f t="shared" si="131"/>
        <v>0.59882645891373476</v>
      </c>
      <c r="M1649" s="159">
        <f t="shared" si="131"/>
        <v>5.3918788984492497E-2</v>
      </c>
    </row>
    <row r="1650" spans="2:13">
      <c r="B1650" t="s">
        <v>185</v>
      </c>
      <c r="C1650">
        <f t="shared" si="133"/>
        <v>13</v>
      </c>
      <c r="D1650" t="str">
        <f t="shared" si="129"/>
        <v>MONTPELLIER13</v>
      </c>
      <c r="E1650" t="s">
        <v>186</v>
      </c>
      <c r="F1650" t="str">
        <f t="shared" si="130"/>
        <v>MONTPELLIER13</v>
      </c>
      <c r="G1650" t="s">
        <v>213</v>
      </c>
      <c r="H1650" t="s">
        <v>919</v>
      </c>
      <c r="I1650" s="16">
        <v>395.39</v>
      </c>
      <c r="J1650" s="16">
        <v>115.54</v>
      </c>
      <c r="K1650" s="16">
        <v>175.01</v>
      </c>
      <c r="L1650" s="159">
        <f t="shared" si="131"/>
        <v>0.29221781026328436</v>
      </c>
      <c r="M1650" s="159">
        <f t="shared" si="131"/>
        <v>0.44262626773565339</v>
      </c>
    </row>
    <row r="1651" spans="2:13">
      <c r="B1651" t="s">
        <v>185</v>
      </c>
      <c r="C1651">
        <f t="shared" si="133"/>
        <v>14</v>
      </c>
      <c r="D1651" t="str">
        <f t="shared" si="129"/>
        <v>MONTPELLIER14</v>
      </c>
      <c r="E1651" t="s">
        <v>186</v>
      </c>
      <c r="F1651" t="str">
        <f t="shared" si="130"/>
        <v>MONTPELLIER14</v>
      </c>
      <c r="G1651" t="s">
        <v>214</v>
      </c>
      <c r="H1651" t="s">
        <v>215</v>
      </c>
      <c r="I1651" s="16">
        <v>371.83</v>
      </c>
      <c r="J1651" s="16">
        <v>255.73</v>
      </c>
      <c r="K1651" s="16">
        <v>171.85</v>
      </c>
      <c r="L1651" s="159">
        <f t="shared" si="131"/>
        <v>0.68776053572869322</v>
      </c>
      <c r="M1651" s="159">
        <f t="shared" si="131"/>
        <v>0.46217357394508246</v>
      </c>
    </row>
    <row r="1652" spans="2:13">
      <c r="B1652" t="s">
        <v>185</v>
      </c>
      <c r="C1652">
        <f t="shared" si="133"/>
        <v>15</v>
      </c>
      <c r="D1652" t="str">
        <f t="shared" si="129"/>
        <v>MONTPELLIER15</v>
      </c>
      <c r="E1652" t="s">
        <v>186</v>
      </c>
      <c r="F1652" t="str">
        <f t="shared" si="130"/>
        <v>MONTPELLIER15</v>
      </c>
      <c r="G1652" t="s">
        <v>354</v>
      </c>
      <c r="H1652" t="s">
        <v>942</v>
      </c>
      <c r="I1652" s="16">
        <v>343</v>
      </c>
      <c r="J1652" s="16">
        <v>187.44</v>
      </c>
      <c r="K1652" s="16">
        <v>1</v>
      </c>
      <c r="L1652" s="159">
        <f t="shared" si="131"/>
        <v>0.54647230320699702</v>
      </c>
      <c r="M1652" s="159">
        <f t="shared" si="131"/>
        <v>2.9154518950437317E-3</v>
      </c>
    </row>
    <row r="1653" spans="2:13">
      <c r="B1653" t="s">
        <v>185</v>
      </c>
      <c r="C1653">
        <f t="shared" si="133"/>
        <v>16</v>
      </c>
      <c r="D1653" t="str">
        <f t="shared" si="129"/>
        <v>MONTPELLIER16</v>
      </c>
      <c r="E1653" t="s">
        <v>186</v>
      </c>
      <c r="F1653" t="str">
        <f t="shared" si="130"/>
        <v>MONTPELLIER16</v>
      </c>
      <c r="G1653" t="s">
        <v>211</v>
      </c>
      <c r="H1653" t="s">
        <v>908</v>
      </c>
      <c r="I1653" s="16">
        <v>338.14</v>
      </c>
      <c r="J1653" s="16">
        <v>180.04</v>
      </c>
      <c r="K1653" s="16">
        <v>123.62</v>
      </c>
      <c r="L1653" s="159">
        <f t="shared" si="131"/>
        <v>0.53244218371088903</v>
      </c>
      <c r="M1653" s="159">
        <f t="shared" si="131"/>
        <v>0.36558821789791213</v>
      </c>
    </row>
    <row r="1654" spans="2:13">
      <c r="B1654" t="s">
        <v>185</v>
      </c>
      <c r="C1654">
        <f t="shared" si="133"/>
        <v>17</v>
      </c>
      <c r="D1654" t="str">
        <f t="shared" si="129"/>
        <v>MONTPELLIER17</v>
      </c>
      <c r="E1654" t="s">
        <v>186</v>
      </c>
      <c r="F1654" t="str">
        <f t="shared" si="130"/>
        <v>MONTPELLIER17</v>
      </c>
      <c r="G1654" t="s">
        <v>226</v>
      </c>
      <c r="H1654" t="s">
        <v>227</v>
      </c>
      <c r="I1654" s="16">
        <v>334.29</v>
      </c>
      <c r="J1654" s="16">
        <v>106.3</v>
      </c>
      <c r="K1654" s="16">
        <v>216.68</v>
      </c>
      <c r="L1654" s="159">
        <f t="shared" si="131"/>
        <v>0.31798737623021922</v>
      </c>
      <c r="M1654" s="159">
        <f t="shared" si="131"/>
        <v>0.64817972419157022</v>
      </c>
    </row>
    <row r="1655" spans="2:13">
      <c r="B1655" t="s">
        <v>185</v>
      </c>
      <c r="C1655">
        <f t="shared" si="133"/>
        <v>18</v>
      </c>
      <c r="D1655" t="str">
        <f t="shared" si="129"/>
        <v>MONTPELLIER18</v>
      </c>
      <c r="E1655" t="s">
        <v>186</v>
      </c>
      <c r="F1655" t="str">
        <f t="shared" si="130"/>
        <v>MONTPELLIER18</v>
      </c>
      <c r="G1655" t="s">
        <v>222</v>
      </c>
      <c r="H1655" t="s">
        <v>915</v>
      </c>
      <c r="I1655" s="16">
        <v>332.24</v>
      </c>
      <c r="J1655" s="16">
        <v>29.13</v>
      </c>
      <c r="K1655" s="16">
        <v>194.64</v>
      </c>
      <c r="L1655" s="159">
        <f t="shared" si="131"/>
        <v>8.7677582470503251E-2</v>
      </c>
      <c r="M1655" s="159">
        <f t="shared" si="131"/>
        <v>0.58584156031784251</v>
      </c>
    </row>
    <row r="1656" spans="2:13">
      <c r="B1656" t="s">
        <v>185</v>
      </c>
      <c r="C1656">
        <f t="shared" si="133"/>
        <v>19</v>
      </c>
      <c r="D1656" t="str">
        <f t="shared" si="129"/>
        <v>MONTPELLIER19</v>
      </c>
      <c r="E1656" t="s">
        <v>186</v>
      </c>
      <c r="F1656" t="str">
        <f t="shared" si="130"/>
        <v>MONTPELLIER19</v>
      </c>
      <c r="G1656" t="s">
        <v>229</v>
      </c>
      <c r="H1656" t="s">
        <v>921</v>
      </c>
      <c r="I1656" s="16">
        <v>331.43</v>
      </c>
      <c r="J1656" s="16">
        <v>51.71</v>
      </c>
      <c r="K1656" s="16">
        <v>164.7</v>
      </c>
      <c r="L1656" s="159">
        <f t="shared" si="131"/>
        <v>0.15602087922034819</v>
      </c>
      <c r="M1656" s="159">
        <f t="shared" si="131"/>
        <v>0.4969375132003741</v>
      </c>
    </row>
    <row r="1657" spans="2:13">
      <c r="B1657" t="s">
        <v>185</v>
      </c>
      <c r="C1657">
        <f t="shared" si="133"/>
        <v>20</v>
      </c>
      <c r="D1657" t="str">
        <f t="shared" si="129"/>
        <v>MONTPELLIER20</v>
      </c>
      <c r="E1657" t="s">
        <v>186</v>
      </c>
      <c r="F1657" t="str">
        <f t="shared" si="130"/>
        <v>MONTPELLIER20</v>
      </c>
      <c r="G1657" t="s">
        <v>220</v>
      </c>
      <c r="H1657" t="s">
        <v>913</v>
      </c>
      <c r="I1657" s="16">
        <v>300.39</v>
      </c>
      <c r="J1657" s="16">
        <v>45.15</v>
      </c>
      <c r="K1657" s="16">
        <v>38.479999999999997</v>
      </c>
      <c r="L1657" s="159">
        <f t="shared" si="131"/>
        <v>0.1503046040147808</v>
      </c>
      <c r="M1657" s="159">
        <f t="shared" si="131"/>
        <v>0.12810013648923066</v>
      </c>
    </row>
    <row r="1658" spans="2:13">
      <c r="B1658" t="s">
        <v>185</v>
      </c>
      <c r="C1658">
        <f t="shared" si="133"/>
        <v>21</v>
      </c>
      <c r="D1658" t="str">
        <f t="shared" si="129"/>
        <v>MONTPELLIER21</v>
      </c>
      <c r="E1658" t="s">
        <v>186</v>
      </c>
      <c r="F1658" t="str">
        <f t="shared" si="130"/>
        <v>MONTPELLIER21</v>
      </c>
      <c r="G1658" t="s">
        <v>274</v>
      </c>
      <c r="H1658" t="s">
        <v>275</v>
      </c>
      <c r="I1658" s="16">
        <v>300.38</v>
      </c>
      <c r="J1658" s="16">
        <v>127.99</v>
      </c>
      <c r="K1658" s="16">
        <v>261.31</v>
      </c>
      <c r="L1658" s="159">
        <f t="shared" si="131"/>
        <v>0.42609361475464413</v>
      </c>
      <c r="M1658" s="159">
        <f t="shared" si="131"/>
        <v>0.86993142020107861</v>
      </c>
    </row>
    <row r="1659" spans="2:13">
      <c r="B1659" t="s">
        <v>185</v>
      </c>
      <c r="C1659">
        <f t="shared" si="133"/>
        <v>22</v>
      </c>
      <c r="D1659" t="str">
        <f t="shared" si="129"/>
        <v>MONTPELLIER22</v>
      </c>
      <c r="E1659" t="s">
        <v>186</v>
      </c>
      <c r="F1659" t="str">
        <f t="shared" si="130"/>
        <v>MONTPELLIER22</v>
      </c>
      <c r="G1659" t="s">
        <v>228</v>
      </c>
      <c r="I1659" s="16">
        <v>296.26</v>
      </c>
      <c r="J1659" s="16">
        <v>93.95</v>
      </c>
      <c r="K1659" s="16">
        <v>54.05</v>
      </c>
      <c r="L1659" s="159">
        <f t="shared" si="131"/>
        <v>0.31712009721190848</v>
      </c>
      <c r="M1659" s="159">
        <f t="shared" si="131"/>
        <v>0.18244109903463174</v>
      </c>
    </row>
    <row r="1660" spans="2:13">
      <c r="B1660" t="s">
        <v>185</v>
      </c>
      <c r="C1660">
        <f t="shared" si="133"/>
        <v>23</v>
      </c>
      <c r="D1660" t="str">
        <f t="shared" si="129"/>
        <v>MONTPELLIER23</v>
      </c>
      <c r="E1660" t="s">
        <v>186</v>
      </c>
      <c r="F1660" t="str">
        <f t="shared" si="130"/>
        <v>MONTPELLIER23</v>
      </c>
      <c r="G1660" t="s">
        <v>246</v>
      </c>
      <c r="H1660" t="s">
        <v>928</v>
      </c>
      <c r="I1660" s="16">
        <v>294.7</v>
      </c>
      <c r="J1660" s="16">
        <v>32.03</v>
      </c>
      <c r="K1660" s="16">
        <v>12.93</v>
      </c>
      <c r="L1660" s="159">
        <f t="shared" si="131"/>
        <v>0.10868680013573126</v>
      </c>
      <c r="M1660" s="159">
        <f t="shared" si="131"/>
        <v>4.3875127248048866E-2</v>
      </c>
    </row>
    <row r="1661" spans="2:13">
      <c r="B1661" t="s">
        <v>185</v>
      </c>
      <c r="C1661">
        <f t="shared" si="133"/>
        <v>24</v>
      </c>
      <c r="D1661" t="str">
        <f t="shared" si="129"/>
        <v>MONTPELLIER24</v>
      </c>
      <c r="E1661" t="s">
        <v>186</v>
      </c>
      <c r="F1661" t="str">
        <f t="shared" si="130"/>
        <v>MONTPELLIER24</v>
      </c>
      <c r="G1661" t="s">
        <v>235</v>
      </c>
      <c r="H1661" t="s">
        <v>236</v>
      </c>
      <c r="I1661" s="16">
        <v>275.57</v>
      </c>
      <c r="J1661" s="16">
        <v>23.65</v>
      </c>
      <c r="K1661" s="16">
        <v>101.09</v>
      </c>
      <c r="L1661" s="159">
        <f t="shared" si="131"/>
        <v>8.5822114163370461E-2</v>
      </c>
      <c r="M1661" s="159">
        <f t="shared" si="131"/>
        <v>0.36683964147040682</v>
      </c>
    </row>
    <row r="1662" spans="2:13">
      <c r="B1662" t="s">
        <v>185</v>
      </c>
      <c r="C1662">
        <f t="shared" si="133"/>
        <v>25</v>
      </c>
      <c r="D1662" t="str">
        <f t="shared" si="129"/>
        <v>MONTPELLIER25</v>
      </c>
      <c r="E1662" t="s">
        <v>186</v>
      </c>
      <c r="F1662" t="str">
        <f t="shared" si="130"/>
        <v>MONTPELLIER25</v>
      </c>
      <c r="G1662" t="s">
        <v>224</v>
      </c>
      <c r="H1662" t="s">
        <v>917</v>
      </c>
      <c r="I1662" s="16">
        <v>259.07</v>
      </c>
      <c r="J1662" s="16">
        <v>75.69</v>
      </c>
      <c r="K1662" s="16">
        <v>35.94</v>
      </c>
      <c r="L1662" s="159">
        <f t="shared" si="131"/>
        <v>0.29216041996371639</v>
      </c>
      <c r="M1662" s="159">
        <f t="shared" si="131"/>
        <v>0.13872698498475314</v>
      </c>
    </row>
    <row r="1663" spans="2:13">
      <c r="B1663" t="s">
        <v>185</v>
      </c>
      <c r="C1663">
        <f t="shared" si="133"/>
        <v>26</v>
      </c>
      <c r="D1663" t="str">
        <f t="shared" si="129"/>
        <v>MONTPELLIER26</v>
      </c>
      <c r="E1663" t="s">
        <v>186</v>
      </c>
      <c r="F1663" t="str">
        <f t="shared" si="130"/>
        <v>MONTPELLIER26</v>
      </c>
      <c r="G1663" t="s">
        <v>290</v>
      </c>
      <c r="H1663" t="s">
        <v>291</v>
      </c>
      <c r="I1663" s="16">
        <v>251.77</v>
      </c>
      <c r="J1663" s="16">
        <v>91.7</v>
      </c>
      <c r="K1663" s="16">
        <v>0</v>
      </c>
      <c r="L1663" s="159">
        <f t="shared" si="131"/>
        <v>0.36422131310322914</v>
      </c>
      <c r="M1663" s="159">
        <f t="shared" si="131"/>
        <v>0</v>
      </c>
    </row>
    <row r="1664" spans="2:13">
      <c r="B1664" t="s">
        <v>185</v>
      </c>
      <c r="C1664">
        <f t="shared" si="133"/>
        <v>27</v>
      </c>
      <c r="D1664" t="str">
        <f t="shared" si="129"/>
        <v>MONTPELLIER27</v>
      </c>
      <c r="E1664" t="s">
        <v>186</v>
      </c>
      <c r="F1664" t="str">
        <f t="shared" si="130"/>
        <v>MONTPELLIER27</v>
      </c>
      <c r="G1664" t="s">
        <v>334</v>
      </c>
      <c r="H1664" t="s">
        <v>946</v>
      </c>
      <c r="I1664" s="16">
        <v>241.56</v>
      </c>
      <c r="J1664" s="16">
        <v>27.57</v>
      </c>
      <c r="K1664" s="16">
        <v>226.28</v>
      </c>
      <c r="L1664" s="159">
        <f t="shared" si="131"/>
        <v>0.1141331346249379</v>
      </c>
      <c r="M1664" s="159">
        <f t="shared" si="131"/>
        <v>0.93674449412154326</v>
      </c>
    </row>
    <row r="1665" spans="2:13">
      <c r="B1665" t="s">
        <v>185</v>
      </c>
      <c r="C1665">
        <f t="shared" si="133"/>
        <v>28</v>
      </c>
      <c r="D1665" t="str">
        <f t="shared" si="129"/>
        <v>MONTPELLIER28</v>
      </c>
      <c r="E1665" t="s">
        <v>186</v>
      </c>
      <c r="F1665" t="str">
        <f t="shared" si="130"/>
        <v>MONTPELLIER28</v>
      </c>
      <c r="G1665" t="s">
        <v>230</v>
      </c>
      <c r="H1665" t="s">
        <v>231</v>
      </c>
      <c r="I1665" s="16">
        <v>233.99</v>
      </c>
      <c r="J1665" s="16">
        <v>94.51</v>
      </c>
      <c r="K1665" s="16">
        <v>148.52000000000001</v>
      </c>
      <c r="L1665" s="159">
        <f t="shared" si="131"/>
        <v>0.40390614983546308</v>
      </c>
      <c r="M1665" s="159">
        <f t="shared" si="131"/>
        <v>0.63472797982819784</v>
      </c>
    </row>
    <row r="1666" spans="2:13">
      <c r="B1666" t="s">
        <v>185</v>
      </c>
      <c r="C1666">
        <f t="shared" si="133"/>
        <v>29</v>
      </c>
      <c r="D1666" t="str">
        <f t="shared" ref="D1666:D1729" si="134">CONCATENATE(E1666,C1666)</f>
        <v>MONTPELLIER29</v>
      </c>
      <c r="E1666" t="s">
        <v>186</v>
      </c>
      <c r="F1666" t="str">
        <f t="shared" si="130"/>
        <v>MONTPELLIER29</v>
      </c>
      <c r="G1666" t="s">
        <v>260</v>
      </c>
      <c r="H1666" t="s">
        <v>932</v>
      </c>
      <c r="I1666" s="16">
        <v>229.09</v>
      </c>
      <c r="J1666" s="16">
        <v>61.33</v>
      </c>
      <c r="K1666" s="16">
        <v>45.64</v>
      </c>
      <c r="L1666" s="159">
        <f t="shared" si="131"/>
        <v>0.26771137980706272</v>
      </c>
      <c r="M1666" s="159">
        <f t="shared" si="131"/>
        <v>0.19922301278973328</v>
      </c>
    </row>
    <row r="1667" spans="2:13">
      <c r="B1667" t="s">
        <v>185</v>
      </c>
      <c r="C1667">
        <f t="shared" si="133"/>
        <v>30</v>
      </c>
      <c r="D1667" t="str">
        <f t="shared" si="134"/>
        <v>MONTPELLIER30</v>
      </c>
      <c r="E1667" t="s">
        <v>186</v>
      </c>
      <c r="F1667" t="str">
        <f t="shared" ref="F1667:F1730" si="135">D1667</f>
        <v>MONTPELLIER30</v>
      </c>
      <c r="G1667" t="s">
        <v>262</v>
      </c>
      <c r="I1667" s="16">
        <v>220.43</v>
      </c>
      <c r="J1667" s="16">
        <v>0</v>
      </c>
      <c r="K1667" s="16">
        <v>5.64</v>
      </c>
      <c r="L1667" s="159">
        <f t="shared" ref="L1667:M1730" si="136">J1667/$I1667</f>
        <v>0</v>
      </c>
      <c r="M1667" s="159">
        <f t="shared" si="136"/>
        <v>2.5586353944562896E-2</v>
      </c>
    </row>
    <row r="1668" spans="2:13">
      <c r="B1668" t="s">
        <v>185</v>
      </c>
      <c r="C1668">
        <f t="shared" si="133"/>
        <v>31</v>
      </c>
      <c r="D1668" t="str">
        <f t="shared" si="134"/>
        <v>MONTPELLIER31</v>
      </c>
      <c r="E1668" t="s">
        <v>186</v>
      </c>
      <c r="F1668" t="str">
        <f t="shared" si="135"/>
        <v>MONTPELLIER31</v>
      </c>
      <c r="G1668" t="s">
        <v>337</v>
      </c>
      <c r="I1668" s="16">
        <v>215.53</v>
      </c>
      <c r="J1668" s="16">
        <v>9</v>
      </c>
      <c r="K1668" s="16">
        <v>0</v>
      </c>
      <c r="L1668" s="159">
        <f t="shared" si="136"/>
        <v>4.1757527954345106E-2</v>
      </c>
      <c r="M1668" s="159">
        <f t="shared" si="136"/>
        <v>0</v>
      </c>
    </row>
    <row r="1669" spans="2:13">
      <c r="B1669" t="s">
        <v>185</v>
      </c>
      <c r="C1669">
        <f t="shared" si="133"/>
        <v>32</v>
      </c>
      <c r="D1669" t="str">
        <f t="shared" si="134"/>
        <v>MONTPELLIER32</v>
      </c>
      <c r="E1669" t="s">
        <v>186</v>
      </c>
      <c r="F1669" t="str">
        <f t="shared" si="135"/>
        <v>MONTPELLIER32</v>
      </c>
      <c r="G1669" t="s">
        <v>242</v>
      </c>
      <c r="H1669" t="s">
        <v>243</v>
      </c>
      <c r="I1669" s="16">
        <v>211.45</v>
      </c>
      <c r="J1669" s="16">
        <v>128.85</v>
      </c>
      <c r="K1669" s="16">
        <v>0</v>
      </c>
      <c r="L1669" s="159">
        <f t="shared" si="136"/>
        <v>0.60936391581934268</v>
      </c>
      <c r="M1669" s="159">
        <f t="shared" si="136"/>
        <v>0</v>
      </c>
    </row>
    <row r="1670" spans="2:13">
      <c r="B1670" t="s">
        <v>185</v>
      </c>
      <c r="C1670">
        <f t="shared" ref="C1670:C1701" si="137">RANK(I1670,$I$1637:$I$1796,0)</f>
        <v>33</v>
      </c>
      <c r="D1670" t="str">
        <f t="shared" si="134"/>
        <v>MONTPELLIER33</v>
      </c>
      <c r="E1670" t="s">
        <v>186</v>
      </c>
      <c r="F1670" t="str">
        <f t="shared" si="135"/>
        <v>MONTPELLIER33</v>
      </c>
      <c r="G1670" t="s">
        <v>303</v>
      </c>
      <c r="H1670" t="s">
        <v>936</v>
      </c>
      <c r="I1670" s="16">
        <v>175.85</v>
      </c>
      <c r="J1670" s="16">
        <v>47.5</v>
      </c>
      <c r="K1670" s="16">
        <v>5.86</v>
      </c>
      <c r="L1670" s="159">
        <f t="shared" si="136"/>
        <v>0.2701165766278078</v>
      </c>
      <c r="M1670" s="159">
        <f t="shared" si="136"/>
        <v>3.3323855558714817E-2</v>
      </c>
    </row>
    <row r="1671" spans="2:13">
      <c r="B1671" t="s">
        <v>185</v>
      </c>
      <c r="C1671">
        <f t="shared" si="137"/>
        <v>34</v>
      </c>
      <c r="D1671" t="str">
        <f t="shared" si="134"/>
        <v>MONTPELLIER34</v>
      </c>
      <c r="E1671" t="s">
        <v>186</v>
      </c>
      <c r="F1671" t="str">
        <f t="shared" si="135"/>
        <v>MONTPELLIER34</v>
      </c>
      <c r="G1671" t="s">
        <v>289</v>
      </c>
      <c r="H1671" t="s">
        <v>935</v>
      </c>
      <c r="I1671" s="16">
        <v>155.24</v>
      </c>
      <c r="J1671" s="16">
        <v>83.67</v>
      </c>
      <c r="K1671" s="16">
        <v>11.04</v>
      </c>
      <c r="L1671" s="159">
        <f t="shared" si="136"/>
        <v>0.53897191445503734</v>
      </c>
      <c r="M1671" s="159">
        <f t="shared" si="136"/>
        <v>7.1115691832002045E-2</v>
      </c>
    </row>
    <row r="1672" spans="2:13">
      <c r="B1672" t="s">
        <v>185</v>
      </c>
      <c r="C1672">
        <f t="shared" si="137"/>
        <v>35</v>
      </c>
      <c r="D1672" t="str">
        <f t="shared" si="134"/>
        <v>MONTPELLIER35</v>
      </c>
      <c r="E1672" t="s">
        <v>186</v>
      </c>
      <c r="F1672" t="str">
        <f t="shared" si="135"/>
        <v>MONTPELLIER35</v>
      </c>
      <c r="G1672" t="s">
        <v>402</v>
      </c>
      <c r="H1672" t="s">
        <v>1790</v>
      </c>
      <c r="I1672" s="16">
        <v>153.36000000000001</v>
      </c>
      <c r="J1672" s="16">
        <v>78.56</v>
      </c>
      <c r="K1672" s="16">
        <v>11</v>
      </c>
      <c r="L1672" s="159">
        <f t="shared" si="136"/>
        <v>0.51225873761085028</v>
      </c>
      <c r="M1672" s="159">
        <f t="shared" si="136"/>
        <v>7.1726656233698477E-2</v>
      </c>
    </row>
    <row r="1673" spans="2:13">
      <c r="B1673" t="s">
        <v>185</v>
      </c>
      <c r="C1673">
        <f t="shared" si="137"/>
        <v>36</v>
      </c>
      <c r="D1673" t="str">
        <f t="shared" si="134"/>
        <v>MONTPELLIER36</v>
      </c>
      <c r="E1673" t="s">
        <v>186</v>
      </c>
      <c r="F1673" t="str">
        <f t="shared" si="135"/>
        <v>MONTPELLIER36</v>
      </c>
      <c r="G1673" t="s">
        <v>249</v>
      </c>
      <c r="I1673" s="16">
        <v>149.15</v>
      </c>
      <c r="J1673" s="16">
        <v>0</v>
      </c>
      <c r="K1673" s="16">
        <v>25.12</v>
      </c>
      <c r="L1673" s="159">
        <f t="shared" si="136"/>
        <v>0</v>
      </c>
      <c r="M1673" s="159">
        <f t="shared" si="136"/>
        <v>0.16842105263157894</v>
      </c>
    </row>
    <row r="1674" spans="2:13">
      <c r="B1674" t="s">
        <v>185</v>
      </c>
      <c r="C1674">
        <f t="shared" si="137"/>
        <v>37</v>
      </c>
      <c r="D1674" t="str">
        <f t="shared" si="134"/>
        <v>MONTPELLIER37</v>
      </c>
      <c r="E1674" t="s">
        <v>186</v>
      </c>
      <c r="F1674" t="str">
        <f t="shared" si="135"/>
        <v>MONTPELLIER37</v>
      </c>
      <c r="G1674" t="s">
        <v>219</v>
      </c>
      <c r="H1674" t="s">
        <v>912</v>
      </c>
      <c r="I1674" s="16">
        <v>141.74</v>
      </c>
      <c r="J1674" s="16">
        <v>24.97</v>
      </c>
      <c r="K1674" s="16">
        <v>107.2</v>
      </c>
      <c r="L1674" s="159">
        <f t="shared" si="136"/>
        <v>0.17616763087343021</v>
      </c>
      <c r="M1674" s="159">
        <f t="shared" si="136"/>
        <v>0.75631437843939608</v>
      </c>
    </row>
    <row r="1675" spans="2:13">
      <c r="B1675" t="s">
        <v>185</v>
      </c>
      <c r="C1675">
        <f t="shared" si="137"/>
        <v>38</v>
      </c>
      <c r="D1675" t="str">
        <f t="shared" si="134"/>
        <v>MONTPELLIER38</v>
      </c>
      <c r="E1675" t="s">
        <v>186</v>
      </c>
      <c r="F1675" t="str">
        <f t="shared" si="135"/>
        <v>MONTPELLIER38</v>
      </c>
      <c r="G1675" t="s">
        <v>247</v>
      </c>
      <c r="H1675" t="s">
        <v>248</v>
      </c>
      <c r="I1675" s="16">
        <v>139.13</v>
      </c>
      <c r="J1675" s="16">
        <v>68.83</v>
      </c>
      <c r="K1675" s="16">
        <v>13.85</v>
      </c>
      <c r="L1675" s="159">
        <f t="shared" si="136"/>
        <v>0.49471717099115936</v>
      </c>
      <c r="M1675" s="159">
        <f t="shared" si="136"/>
        <v>9.954718608495651E-2</v>
      </c>
    </row>
    <row r="1676" spans="2:13">
      <c r="B1676" t="s">
        <v>185</v>
      </c>
      <c r="C1676">
        <f t="shared" si="137"/>
        <v>39</v>
      </c>
      <c r="D1676" t="str">
        <f t="shared" si="134"/>
        <v>MONTPELLIER39</v>
      </c>
      <c r="E1676" t="s">
        <v>186</v>
      </c>
      <c r="F1676" t="str">
        <f t="shared" si="135"/>
        <v>MONTPELLIER39</v>
      </c>
      <c r="G1676" t="s">
        <v>238</v>
      </c>
      <c r="H1676" t="s">
        <v>924</v>
      </c>
      <c r="I1676" s="16">
        <v>134.15</v>
      </c>
      <c r="J1676" s="16">
        <v>24</v>
      </c>
      <c r="K1676" s="16">
        <v>17.850000000000001</v>
      </c>
      <c r="L1676" s="159">
        <f t="shared" si="136"/>
        <v>0.17890421170331716</v>
      </c>
      <c r="M1676" s="159">
        <f t="shared" si="136"/>
        <v>0.13306000745434216</v>
      </c>
    </row>
    <row r="1677" spans="2:13">
      <c r="B1677" t="s">
        <v>185</v>
      </c>
      <c r="C1677">
        <f t="shared" si="137"/>
        <v>40</v>
      </c>
      <c r="D1677" t="str">
        <f t="shared" si="134"/>
        <v>MONTPELLIER40</v>
      </c>
      <c r="E1677" t="s">
        <v>186</v>
      </c>
      <c r="F1677" t="str">
        <f t="shared" si="135"/>
        <v>MONTPELLIER40</v>
      </c>
      <c r="G1677" t="s">
        <v>259</v>
      </c>
      <c r="I1677" s="16">
        <v>125.21</v>
      </c>
      <c r="J1677" s="16">
        <v>6.57</v>
      </c>
      <c r="K1677" s="16">
        <v>61.28</v>
      </c>
      <c r="L1677" s="159">
        <f t="shared" si="136"/>
        <v>5.2471847296541814E-2</v>
      </c>
      <c r="M1677" s="159">
        <f t="shared" si="136"/>
        <v>0.48941777813273701</v>
      </c>
    </row>
    <row r="1678" spans="2:13">
      <c r="B1678" t="s">
        <v>185</v>
      </c>
      <c r="C1678">
        <f t="shared" si="137"/>
        <v>41</v>
      </c>
      <c r="D1678" t="str">
        <f t="shared" si="134"/>
        <v>MONTPELLIER41</v>
      </c>
      <c r="E1678" t="s">
        <v>186</v>
      </c>
      <c r="F1678" t="str">
        <f t="shared" si="135"/>
        <v>MONTPELLIER41</v>
      </c>
      <c r="G1678" t="s">
        <v>265</v>
      </c>
      <c r="I1678" s="16">
        <v>122.37</v>
      </c>
      <c r="J1678" s="16">
        <v>45.19</v>
      </c>
      <c r="K1678" s="16">
        <v>29.1</v>
      </c>
      <c r="L1678" s="159">
        <f t="shared" si="136"/>
        <v>0.36928985862548008</v>
      </c>
      <c r="M1678" s="159">
        <f t="shared" si="136"/>
        <v>0.23780338318215249</v>
      </c>
    </row>
    <row r="1679" spans="2:13">
      <c r="B1679" t="s">
        <v>185</v>
      </c>
      <c r="C1679">
        <f t="shared" si="137"/>
        <v>42</v>
      </c>
      <c r="D1679" t="str">
        <f t="shared" si="134"/>
        <v>MONTPELLIER42</v>
      </c>
      <c r="E1679" t="s">
        <v>186</v>
      </c>
      <c r="F1679" t="str">
        <f t="shared" si="135"/>
        <v>MONTPELLIER42</v>
      </c>
      <c r="G1679" t="s">
        <v>340</v>
      </c>
      <c r="H1679" t="s">
        <v>945</v>
      </c>
      <c r="I1679" s="16">
        <v>118.71</v>
      </c>
      <c r="J1679" s="16">
        <v>67.569999999999993</v>
      </c>
      <c r="K1679" s="16">
        <v>35</v>
      </c>
      <c r="L1679" s="159">
        <f t="shared" si="136"/>
        <v>0.56920225760256082</v>
      </c>
      <c r="M1679" s="159">
        <f t="shared" si="136"/>
        <v>0.2948361553365344</v>
      </c>
    </row>
    <row r="1680" spans="2:13">
      <c r="B1680" t="s">
        <v>185</v>
      </c>
      <c r="C1680">
        <f t="shared" si="137"/>
        <v>43</v>
      </c>
      <c r="D1680" t="str">
        <f t="shared" si="134"/>
        <v>MONTPELLIER43</v>
      </c>
      <c r="E1680" t="s">
        <v>186</v>
      </c>
      <c r="F1680" t="str">
        <f t="shared" si="135"/>
        <v>MONTPELLIER43</v>
      </c>
      <c r="G1680" t="s">
        <v>268</v>
      </c>
      <c r="H1680" t="s">
        <v>269</v>
      </c>
      <c r="I1680" s="16">
        <v>116.37</v>
      </c>
      <c r="J1680" s="16">
        <v>67.72</v>
      </c>
      <c r="K1680" s="16">
        <v>34.35</v>
      </c>
      <c r="L1680" s="159">
        <f t="shared" si="136"/>
        <v>0.58193692532439634</v>
      </c>
      <c r="M1680" s="159">
        <f t="shared" si="136"/>
        <v>0.29517916988914666</v>
      </c>
    </row>
    <row r="1681" spans="2:13">
      <c r="B1681" t="s">
        <v>185</v>
      </c>
      <c r="C1681">
        <f t="shared" si="137"/>
        <v>44</v>
      </c>
      <c r="D1681" t="str">
        <f t="shared" si="134"/>
        <v>MONTPELLIER44</v>
      </c>
      <c r="E1681" t="s">
        <v>186</v>
      </c>
      <c r="F1681" t="str">
        <f t="shared" si="135"/>
        <v>MONTPELLIER44</v>
      </c>
      <c r="G1681" t="s">
        <v>325</v>
      </c>
      <c r="H1681" t="s">
        <v>938</v>
      </c>
      <c r="I1681" s="16">
        <v>107.89</v>
      </c>
      <c r="J1681" s="16">
        <v>27.48</v>
      </c>
      <c r="K1681" s="16">
        <v>9.86</v>
      </c>
      <c r="L1681" s="159">
        <f t="shared" si="136"/>
        <v>0.25470386504773379</v>
      </c>
      <c r="M1681" s="159">
        <f t="shared" si="136"/>
        <v>9.1389378070256738E-2</v>
      </c>
    </row>
    <row r="1682" spans="2:13">
      <c r="B1682" t="s">
        <v>185</v>
      </c>
      <c r="C1682">
        <f t="shared" si="137"/>
        <v>45</v>
      </c>
      <c r="D1682" t="str">
        <f t="shared" si="134"/>
        <v>MONTPELLIER45</v>
      </c>
      <c r="E1682" t="s">
        <v>186</v>
      </c>
      <c r="F1682" t="str">
        <f t="shared" si="135"/>
        <v>MONTPELLIER45</v>
      </c>
      <c r="G1682" t="s">
        <v>374</v>
      </c>
      <c r="I1682" s="16">
        <v>106.11</v>
      </c>
      <c r="J1682" s="16">
        <v>11.24</v>
      </c>
      <c r="K1682" s="16">
        <v>50</v>
      </c>
      <c r="L1682" s="159">
        <f t="shared" si="136"/>
        <v>0.10592781076241636</v>
      </c>
      <c r="M1682" s="159">
        <f t="shared" si="136"/>
        <v>0.4712091226086137</v>
      </c>
    </row>
    <row r="1683" spans="2:13">
      <c r="B1683" t="s">
        <v>185</v>
      </c>
      <c r="C1683">
        <f t="shared" si="137"/>
        <v>46</v>
      </c>
      <c r="D1683" t="str">
        <f t="shared" si="134"/>
        <v>MONTPELLIER46</v>
      </c>
      <c r="E1683" t="s">
        <v>186</v>
      </c>
      <c r="F1683" t="str">
        <f t="shared" si="135"/>
        <v>MONTPELLIER46</v>
      </c>
      <c r="G1683" t="s">
        <v>241</v>
      </c>
      <c r="H1683" t="s">
        <v>927</v>
      </c>
      <c r="I1683" s="16">
        <v>106.08</v>
      </c>
      <c r="J1683" s="16">
        <v>48.58</v>
      </c>
      <c r="K1683" s="16">
        <v>16.5</v>
      </c>
      <c r="L1683" s="159">
        <f t="shared" si="136"/>
        <v>0.45795625942684764</v>
      </c>
      <c r="M1683" s="159">
        <f t="shared" si="136"/>
        <v>0.15554298642533937</v>
      </c>
    </row>
    <row r="1684" spans="2:13">
      <c r="B1684" t="s">
        <v>185</v>
      </c>
      <c r="C1684">
        <f t="shared" si="137"/>
        <v>47</v>
      </c>
      <c r="D1684" t="str">
        <f t="shared" si="134"/>
        <v>MONTPELLIER47</v>
      </c>
      <c r="E1684" t="s">
        <v>186</v>
      </c>
      <c r="F1684" t="str">
        <f t="shared" si="135"/>
        <v>MONTPELLIER47</v>
      </c>
      <c r="G1684" t="s">
        <v>239</v>
      </c>
      <c r="H1684" t="s">
        <v>925</v>
      </c>
      <c r="I1684" s="16">
        <v>105.74</v>
      </c>
      <c r="J1684" s="16">
        <v>10.41</v>
      </c>
      <c r="K1684" s="16">
        <v>33.590000000000003</v>
      </c>
      <c r="L1684" s="159">
        <f t="shared" si="136"/>
        <v>9.8449025912615853E-2</v>
      </c>
      <c r="M1684" s="159">
        <f t="shared" si="136"/>
        <v>0.31766597314166828</v>
      </c>
    </row>
    <row r="1685" spans="2:13">
      <c r="B1685" t="s">
        <v>185</v>
      </c>
      <c r="C1685">
        <f t="shared" si="137"/>
        <v>48</v>
      </c>
      <c r="D1685" t="str">
        <f t="shared" si="134"/>
        <v>MONTPELLIER48</v>
      </c>
      <c r="E1685" t="s">
        <v>186</v>
      </c>
      <c r="F1685" t="str">
        <f t="shared" si="135"/>
        <v>MONTPELLIER48</v>
      </c>
      <c r="G1685" t="s">
        <v>287</v>
      </c>
      <c r="I1685" s="16">
        <v>102.25</v>
      </c>
      <c r="J1685" s="16">
        <v>36.700000000000003</v>
      </c>
      <c r="K1685" s="16">
        <v>3</v>
      </c>
      <c r="L1685" s="159">
        <f t="shared" si="136"/>
        <v>0.35892420537897313</v>
      </c>
      <c r="M1685" s="159">
        <f t="shared" si="136"/>
        <v>2.9339853300733496E-2</v>
      </c>
    </row>
    <row r="1686" spans="2:13">
      <c r="B1686" t="s">
        <v>185</v>
      </c>
      <c r="C1686">
        <f t="shared" si="137"/>
        <v>49</v>
      </c>
      <c r="D1686" t="str">
        <f t="shared" si="134"/>
        <v>MONTPELLIER49</v>
      </c>
      <c r="E1686" t="s">
        <v>186</v>
      </c>
      <c r="F1686" t="str">
        <f t="shared" si="135"/>
        <v>MONTPELLIER49</v>
      </c>
      <c r="G1686" t="s">
        <v>255</v>
      </c>
      <c r="H1686" t="s">
        <v>256</v>
      </c>
      <c r="I1686" s="16">
        <v>99.95</v>
      </c>
      <c r="J1686" s="16">
        <v>0</v>
      </c>
      <c r="K1686" s="16">
        <v>91.95</v>
      </c>
      <c r="L1686" s="159">
        <f t="shared" si="136"/>
        <v>0</v>
      </c>
      <c r="M1686" s="159">
        <f t="shared" si="136"/>
        <v>0.91995997998999501</v>
      </c>
    </row>
    <row r="1687" spans="2:13">
      <c r="B1687" t="s">
        <v>185</v>
      </c>
      <c r="C1687">
        <f t="shared" si="137"/>
        <v>50</v>
      </c>
      <c r="D1687" t="str">
        <f t="shared" si="134"/>
        <v>MONTPELLIER50</v>
      </c>
      <c r="E1687" t="s">
        <v>186</v>
      </c>
      <c r="F1687" t="str">
        <f t="shared" si="135"/>
        <v>MONTPELLIER50</v>
      </c>
      <c r="G1687" t="s">
        <v>270</v>
      </c>
      <c r="I1687" s="16">
        <v>92.44</v>
      </c>
      <c r="J1687" s="16">
        <v>60.84</v>
      </c>
      <c r="K1687" s="16">
        <v>0</v>
      </c>
      <c r="L1687" s="159">
        <f t="shared" si="136"/>
        <v>0.65815664214625713</v>
      </c>
      <c r="M1687" s="159">
        <f t="shared" si="136"/>
        <v>0</v>
      </c>
    </row>
    <row r="1688" spans="2:13">
      <c r="B1688" t="s">
        <v>185</v>
      </c>
      <c r="C1688">
        <f t="shared" si="137"/>
        <v>51</v>
      </c>
      <c r="D1688" t="str">
        <f t="shared" si="134"/>
        <v>MONTPELLIER51</v>
      </c>
      <c r="E1688" t="s">
        <v>186</v>
      </c>
      <c r="F1688" t="str">
        <f t="shared" si="135"/>
        <v>MONTPELLIER51</v>
      </c>
      <c r="G1688" t="s">
        <v>302</v>
      </c>
      <c r="I1688" s="16">
        <v>89.75</v>
      </c>
      <c r="J1688" s="16">
        <v>14.12</v>
      </c>
      <c r="K1688" s="16">
        <v>42.02</v>
      </c>
      <c r="L1688" s="159">
        <f t="shared" si="136"/>
        <v>0.15732590529247911</v>
      </c>
      <c r="M1688" s="159">
        <f t="shared" si="136"/>
        <v>0.46818941504178274</v>
      </c>
    </row>
    <row r="1689" spans="2:13">
      <c r="B1689" t="s">
        <v>185</v>
      </c>
      <c r="C1689">
        <f t="shared" si="137"/>
        <v>52</v>
      </c>
      <c r="D1689" t="str">
        <f t="shared" si="134"/>
        <v>MONTPELLIER52</v>
      </c>
      <c r="E1689" t="s">
        <v>186</v>
      </c>
      <c r="F1689" t="str">
        <f t="shared" si="135"/>
        <v>MONTPELLIER52</v>
      </c>
      <c r="G1689" t="s">
        <v>282</v>
      </c>
      <c r="H1689" t="s">
        <v>920</v>
      </c>
      <c r="I1689" s="16">
        <v>86.12</v>
      </c>
      <c r="J1689" s="16">
        <v>40.18</v>
      </c>
      <c r="K1689" s="16">
        <v>0</v>
      </c>
      <c r="L1689" s="159">
        <f t="shared" si="136"/>
        <v>0.46655829075708311</v>
      </c>
      <c r="M1689" s="159">
        <f t="shared" si="136"/>
        <v>0</v>
      </c>
    </row>
    <row r="1690" spans="2:13">
      <c r="B1690" t="s">
        <v>185</v>
      </c>
      <c r="C1690">
        <f t="shared" si="137"/>
        <v>53</v>
      </c>
      <c r="D1690" t="str">
        <f t="shared" si="134"/>
        <v>MONTPELLIER53</v>
      </c>
      <c r="E1690" t="s">
        <v>186</v>
      </c>
      <c r="F1690" t="str">
        <f t="shared" si="135"/>
        <v>MONTPELLIER53</v>
      </c>
      <c r="G1690" t="s">
        <v>240</v>
      </c>
      <c r="H1690" t="s">
        <v>926</v>
      </c>
      <c r="I1690" s="16">
        <v>85</v>
      </c>
      <c r="J1690" s="16">
        <v>40</v>
      </c>
      <c r="K1690" s="16">
        <v>35</v>
      </c>
      <c r="L1690" s="159">
        <f t="shared" si="136"/>
        <v>0.47058823529411764</v>
      </c>
      <c r="M1690" s="159">
        <f t="shared" si="136"/>
        <v>0.41176470588235292</v>
      </c>
    </row>
    <row r="1691" spans="2:13">
      <c r="B1691" t="s">
        <v>185</v>
      </c>
      <c r="C1691">
        <f t="shared" si="137"/>
        <v>54</v>
      </c>
      <c r="D1691" t="str">
        <f t="shared" si="134"/>
        <v>MONTPELLIER54</v>
      </c>
      <c r="E1691" t="s">
        <v>186</v>
      </c>
      <c r="F1691" t="str">
        <f t="shared" si="135"/>
        <v>MONTPELLIER54</v>
      </c>
      <c r="G1691" t="s">
        <v>277</v>
      </c>
      <c r="I1691" s="16">
        <v>84.29</v>
      </c>
      <c r="J1691" s="16">
        <v>84.29</v>
      </c>
      <c r="K1691" s="16">
        <v>0</v>
      </c>
      <c r="L1691" s="159">
        <f t="shared" si="136"/>
        <v>1</v>
      </c>
      <c r="M1691" s="159">
        <f t="shared" si="136"/>
        <v>0</v>
      </c>
    </row>
    <row r="1692" spans="2:13">
      <c r="B1692" t="s">
        <v>185</v>
      </c>
      <c r="C1692">
        <f t="shared" si="137"/>
        <v>55</v>
      </c>
      <c r="D1692" t="str">
        <f t="shared" si="134"/>
        <v>MONTPELLIER55</v>
      </c>
      <c r="E1692" t="s">
        <v>186</v>
      </c>
      <c r="F1692" t="str">
        <f t="shared" si="135"/>
        <v>MONTPELLIER55</v>
      </c>
      <c r="G1692" t="s">
        <v>257</v>
      </c>
      <c r="I1692" s="16">
        <v>82.82</v>
      </c>
      <c r="J1692" s="16">
        <v>35.04</v>
      </c>
      <c r="K1692" s="16">
        <v>24.83</v>
      </c>
      <c r="L1692" s="159">
        <f t="shared" si="136"/>
        <v>0.42308621106013045</v>
      </c>
      <c r="M1692" s="159">
        <f t="shared" si="136"/>
        <v>0.2998068099492876</v>
      </c>
    </row>
    <row r="1693" spans="2:13">
      <c r="B1693" t="s">
        <v>185</v>
      </c>
      <c r="C1693">
        <f t="shared" si="137"/>
        <v>56</v>
      </c>
      <c r="D1693" t="str">
        <f t="shared" si="134"/>
        <v>MONTPELLIER56</v>
      </c>
      <c r="E1693" t="s">
        <v>186</v>
      </c>
      <c r="F1693" t="str">
        <f t="shared" si="135"/>
        <v>MONTPELLIER56</v>
      </c>
      <c r="G1693" t="s">
        <v>332</v>
      </c>
      <c r="H1693" t="s">
        <v>940</v>
      </c>
      <c r="I1693" s="16">
        <v>81.89</v>
      </c>
      <c r="J1693" s="16">
        <v>0</v>
      </c>
      <c r="K1693" s="16">
        <v>30</v>
      </c>
      <c r="L1693" s="159">
        <f t="shared" si="136"/>
        <v>0</v>
      </c>
      <c r="M1693" s="159">
        <f t="shared" si="136"/>
        <v>0.36634509708145074</v>
      </c>
    </row>
    <row r="1694" spans="2:13">
      <c r="B1694" t="s">
        <v>185</v>
      </c>
      <c r="C1694">
        <f t="shared" si="137"/>
        <v>57</v>
      </c>
      <c r="D1694" t="str">
        <f t="shared" si="134"/>
        <v>MONTPELLIER57</v>
      </c>
      <c r="E1694" t="s">
        <v>186</v>
      </c>
      <c r="F1694" t="str">
        <f t="shared" si="135"/>
        <v>MONTPELLIER57</v>
      </c>
      <c r="G1694" t="s">
        <v>386</v>
      </c>
      <c r="I1694" s="16">
        <v>76.45</v>
      </c>
      <c r="J1694" s="16">
        <v>0</v>
      </c>
      <c r="K1694" s="16">
        <v>59.95</v>
      </c>
      <c r="L1694" s="159">
        <f t="shared" si="136"/>
        <v>0</v>
      </c>
      <c r="M1694" s="159">
        <f t="shared" si="136"/>
        <v>0.78417266187050361</v>
      </c>
    </row>
    <row r="1695" spans="2:13">
      <c r="B1695" t="s">
        <v>185</v>
      </c>
      <c r="C1695">
        <f t="shared" si="137"/>
        <v>58</v>
      </c>
      <c r="D1695" t="str">
        <f t="shared" si="134"/>
        <v>MONTPELLIER58</v>
      </c>
      <c r="E1695" t="s">
        <v>186</v>
      </c>
      <c r="F1695" t="str">
        <f t="shared" si="135"/>
        <v>MONTPELLIER58</v>
      </c>
      <c r="G1695" t="s">
        <v>312</v>
      </c>
      <c r="I1695" s="16">
        <v>75.75</v>
      </c>
      <c r="J1695" s="16">
        <v>8.39</v>
      </c>
      <c r="K1695" s="16">
        <v>39.49</v>
      </c>
      <c r="L1695" s="159">
        <f t="shared" si="136"/>
        <v>0.11075907590759076</v>
      </c>
      <c r="M1695" s="159">
        <f t="shared" si="136"/>
        <v>0.52132013201320138</v>
      </c>
    </row>
    <row r="1696" spans="2:13">
      <c r="B1696" t="s">
        <v>185</v>
      </c>
      <c r="C1696">
        <f t="shared" si="137"/>
        <v>59</v>
      </c>
      <c r="D1696" t="str">
        <f t="shared" si="134"/>
        <v>MONTPELLIER59</v>
      </c>
      <c r="E1696" t="s">
        <v>186</v>
      </c>
      <c r="F1696" t="str">
        <f t="shared" si="135"/>
        <v>MONTPELLIER59</v>
      </c>
      <c r="G1696" t="s">
        <v>341</v>
      </c>
      <c r="I1696" s="16">
        <v>74.959999999999994</v>
      </c>
      <c r="J1696" s="16">
        <v>28.93</v>
      </c>
      <c r="K1696" s="16">
        <v>0</v>
      </c>
      <c r="L1696" s="159">
        <f t="shared" si="136"/>
        <v>0.38593916755602992</v>
      </c>
      <c r="M1696" s="159">
        <f t="shared" si="136"/>
        <v>0</v>
      </c>
    </row>
    <row r="1697" spans="2:13">
      <c r="B1697" t="s">
        <v>185</v>
      </c>
      <c r="C1697">
        <f t="shared" si="137"/>
        <v>60</v>
      </c>
      <c r="D1697" t="str">
        <f t="shared" si="134"/>
        <v>MONTPELLIER60</v>
      </c>
      <c r="E1697" t="s">
        <v>186</v>
      </c>
      <c r="F1697" t="str">
        <f t="shared" si="135"/>
        <v>MONTPELLIER60</v>
      </c>
      <c r="G1697" t="s">
        <v>251</v>
      </c>
      <c r="H1697" t="s">
        <v>929</v>
      </c>
      <c r="I1697" s="16">
        <v>74.95</v>
      </c>
      <c r="J1697" s="16">
        <v>53.59</v>
      </c>
      <c r="K1697" s="16">
        <v>6.63</v>
      </c>
      <c r="L1697" s="159">
        <f t="shared" si="136"/>
        <v>0.71501000667111414</v>
      </c>
      <c r="M1697" s="159">
        <f t="shared" si="136"/>
        <v>8.8458972648432277E-2</v>
      </c>
    </row>
    <row r="1698" spans="2:13">
      <c r="B1698" t="s">
        <v>185</v>
      </c>
      <c r="C1698">
        <f t="shared" si="137"/>
        <v>61</v>
      </c>
      <c r="D1698" t="str">
        <f t="shared" si="134"/>
        <v>MONTPELLIER61</v>
      </c>
      <c r="E1698" t="s">
        <v>186</v>
      </c>
      <c r="F1698" t="str">
        <f t="shared" si="135"/>
        <v>MONTPELLIER61</v>
      </c>
      <c r="G1698" t="s">
        <v>252</v>
      </c>
      <c r="H1698" t="s">
        <v>930</v>
      </c>
      <c r="I1698" s="16">
        <v>74.87</v>
      </c>
      <c r="J1698" s="16">
        <v>18.3</v>
      </c>
      <c r="K1698" s="16">
        <v>0</v>
      </c>
      <c r="L1698" s="159">
        <f t="shared" si="136"/>
        <v>0.24442366769066382</v>
      </c>
      <c r="M1698" s="159">
        <f t="shared" si="136"/>
        <v>0</v>
      </c>
    </row>
    <row r="1699" spans="2:13">
      <c r="B1699" t="s">
        <v>185</v>
      </c>
      <c r="C1699">
        <f t="shared" si="137"/>
        <v>62</v>
      </c>
      <c r="D1699" t="str">
        <f t="shared" si="134"/>
        <v>MONTPELLIER62</v>
      </c>
      <c r="E1699" t="s">
        <v>186</v>
      </c>
      <c r="F1699" t="str">
        <f t="shared" si="135"/>
        <v>MONTPELLIER62</v>
      </c>
      <c r="G1699" t="s">
        <v>308</v>
      </c>
      <c r="I1699" s="16">
        <v>73.38</v>
      </c>
      <c r="J1699" s="16">
        <v>54.93</v>
      </c>
      <c r="K1699" s="16">
        <v>15.16</v>
      </c>
      <c r="L1699" s="159">
        <f t="shared" si="136"/>
        <v>0.7485690923957482</v>
      </c>
      <c r="M1699" s="159">
        <f t="shared" si="136"/>
        <v>0.20659580267102753</v>
      </c>
    </row>
    <row r="1700" spans="2:13">
      <c r="B1700" t="s">
        <v>185</v>
      </c>
      <c r="C1700">
        <f t="shared" si="137"/>
        <v>63</v>
      </c>
      <c r="D1700" t="str">
        <f t="shared" si="134"/>
        <v>MONTPELLIER63</v>
      </c>
      <c r="E1700" t="s">
        <v>186</v>
      </c>
      <c r="F1700" t="str">
        <f t="shared" si="135"/>
        <v>MONTPELLIER63</v>
      </c>
      <c r="G1700" t="s">
        <v>419</v>
      </c>
      <c r="I1700" s="16">
        <v>72.72</v>
      </c>
      <c r="J1700" s="16">
        <v>1.86</v>
      </c>
      <c r="K1700" s="16">
        <v>68.91</v>
      </c>
      <c r="L1700" s="159">
        <f t="shared" si="136"/>
        <v>2.5577557755775578E-2</v>
      </c>
      <c r="M1700" s="159">
        <f t="shared" si="136"/>
        <v>0.9476072607260726</v>
      </c>
    </row>
    <row r="1701" spans="2:13">
      <c r="B1701" t="s">
        <v>185</v>
      </c>
      <c r="C1701">
        <f t="shared" si="137"/>
        <v>64</v>
      </c>
      <c r="D1701" t="str">
        <f t="shared" si="134"/>
        <v>MONTPELLIER64</v>
      </c>
      <c r="E1701" t="s">
        <v>186</v>
      </c>
      <c r="F1701" t="str">
        <f t="shared" si="135"/>
        <v>MONTPELLIER64</v>
      </c>
      <c r="G1701" t="s">
        <v>357</v>
      </c>
      <c r="I1701" s="16">
        <v>71.569999999999993</v>
      </c>
      <c r="J1701" s="16">
        <v>71.569999999999993</v>
      </c>
      <c r="K1701" s="16">
        <v>0</v>
      </c>
      <c r="L1701" s="159">
        <f t="shared" si="136"/>
        <v>1</v>
      </c>
      <c r="M1701" s="159">
        <f t="shared" si="136"/>
        <v>0</v>
      </c>
    </row>
    <row r="1702" spans="2:13">
      <c r="B1702" t="s">
        <v>185</v>
      </c>
      <c r="C1702">
        <f t="shared" ref="C1702:C1733" si="138">RANK(I1702,$I$1637:$I$1796,0)</f>
        <v>65</v>
      </c>
      <c r="D1702" t="str">
        <f t="shared" si="134"/>
        <v>MONTPELLIER65</v>
      </c>
      <c r="E1702" t="s">
        <v>186</v>
      </c>
      <c r="F1702" t="str">
        <f t="shared" si="135"/>
        <v>MONTPELLIER65</v>
      </c>
      <c r="G1702" t="s">
        <v>330</v>
      </c>
      <c r="I1702" s="16">
        <v>65.709999999999994</v>
      </c>
      <c r="J1702" s="16">
        <v>26.43</v>
      </c>
      <c r="K1702" s="16">
        <v>0</v>
      </c>
      <c r="L1702" s="159">
        <f t="shared" si="136"/>
        <v>0.40222188403591541</v>
      </c>
      <c r="M1702" s="159">
        <f t="shared" si="136"/>
        <v>0</v>
      </c>
    </row>
    <row r="1703" spans="2:13">
      <c r="B1703" t="s">
        <v>185</v>
      </c>
      <c r="C1703">
        <f t="shared" si="138"/>
        <v>66</v>
      </c>
      <c r="D1703" t="str">
        <f t="shared" si="134"/>
        <v>MONTPELLIER66</v>
      </c>
      <c r="E1703" t="s">
        <v>186</v>
      </c>
      <c r="F1703" t="str">
        <f t="shared" si="135"/>
        <v>MONTPELLIER66</v>
      </c>
      <c r="G1703" t="s">
        <v>253</v>
      </c>
      <c r="I1703" s="16">
        <v>64.319999999999993</v>
      </c>
      <c r="J1703" s="16">
        <v>41.12</v>
      </c>
      <c r="K1703" s="16">
        <v>10.26</v>
      </c>
      <c r="L1703" s="159">
        <f t="shared" si="136"/>
        <v>0.63930348258706471</v>
      </c>
      <c r="M1703" s="159">
        <f t="shared" si="136"/>
        <v>0.15951492537313433</v>
      </c>
    </row>
    <row r="1704" spans="2:13">
      <c r="B1704" t="s">
        <v>185</v>
      </c>
      <c r="C1704">
        <f t="shared" si="138"/>
        <v>67</v>
      </c>
      <c r="D1704" t="str">
        <f t="shared" si="134"/>
        <v>MONTPELLIER67</v>
      </c>
      <c r="E1704" t="s">
        <v>186</v>
      </c>
      <c r="F1704" t="str">
        <f t="shared" si="135"/>
        <v>MONTPELLIER67</v>
      </c>
      <c r="G1704" t="s">
        <v>401</v>
      </c>
      <c r="I1704" s="16">
        <v>63.32</v>
      </c>
      <c r="J1704" s="16">
        <v>0</v>
      </c>
      <c r="K1704" s="16">
        <v>60</v>
      </c>
      <c r="L1704" s="159">
        <f t="shared" si="136"/>
        <v>0</v>
      </c>
      <c r="M1704" s="159">
        <f t="shared" si="136"/>
        <v>0.94756790903348076</v>
      </c>
    </row>
    <row r="1705" spans="2:13">
      <c r="B1705" t="s">
        <v>185</v>
      </c>
      <c r="C1705">
        <f t="shared" si="138"/>
        <v>68</v>
      </c>
      <c r="D1705" t="str">
        <f t="shared" si="134"/>
        <v>MONTPELLIER68</v>
      </c>
      <c r="E1705" t="s">
        <v>186</v>
      </c>
      <c r="F1705" t="str">
        <f t="shared" si="135"/>
        <v>MONTPELLIER68</v>
      </c>
      <c r="G1705" t="s">
        <v>272</v>
      </c>
      <c r="I1705" s="16">
        <v>61.06</v>
      </c>
      <c r="J1705" s="16">
        <v>27.33</v>
      </c>
      <c r="K1705" s="16">
        <v>3.73</v>
      </c>
      <c r="L1705" s="159">
        <f t="shared" si="136"/>
        <v>0.44759253193580079</v>
      </c>
      <c r="M1705" s="159">
        <f t="shared" si="136"/>
        <v>6.108745496233213E-2</v>
      </c>
    </row>
    <row r="1706" spans="2:13">
      <c r="B1706" t="s">
        <v>185</v>
      </c>
      <c r="C1706">
        <f t="shared" si="138"/>
        <v>69</v>
      </c>
      <c r="D1706" t="str">
        <f t="shared" si="134"/>
        <v>MONTPELLIER69</v>
      </c>
      <c r="E1706" t="s">
        <v>186</v>
      </c>
      <c r="F1706" t="str">
        <f t="shared" si="135"/>
        <v>MONTPELLIER69</v>
      </c>
      <c r="G1706" t="s">
        <v>254</v>
      </c>
      <c r="H1706" t="s">
        <v>931</v>
      </c>
      <c r="I1706" s="16">
        <v>60.42</v>
      </c>
      <c r="J1706" s="16">
        <v>20.67</v>
      </c>
      <c r="K1706" s="16">
        <v>22.67</v>
      </c>
      <c r="L1706" s="159">
        <f t="shared" si="136"/>
        <v>0.34210526315789475</v>
      </c>
      <c r="M1706" s="159">
        <f t="shared" si="136"/>
        <v>0.37520688513737177</v>
      </c>
    </row>
    <row r="1707" spans="2:13">
      <c r="B1707" t="s">
        <v>185</v>
      </c>
      <c r="C1707">
        <f t="shared" si="138"/>
        <v>70</v>
      </c>
      <c r="D1707" t="str">
        <f t="shared" si="134"/>
        <v>MONTPELLIER70</v>
      </c>
      <c r="E1707" t="s">
        <v>186</v>
      </c>
      <c r="F1707" t="str">
        <f t="shared" si="135"/>
        <v>MONTPELLIER70</v>
      </c>
      <c r="G1707" t="s">
        <v>233</v>
      </c>
      <c r="I1707" s="16">
        <v>59.08</v>
      </c>
      <c r="J1707" s="16">
        <v>15.06</v>
      </c>
      <c r="K1707" s="16">
        <v>10.77</v>
      </c>
      <c r="L1707" s="159">
        <f t="shared" si="136"/>
        <v>0.25490859851049424</v>
      </c>
      <c r="M1707" s="159">
        <f t="shared" si="136"/>
        <v>0.18229519295870006</v>
      </c>
    </row>
    <row r="1708" spans="2:13">
      <c r="B1708" t="s">
        <v>185</v>
      </c>
      <c r="C1708">
        <f t="shared" si="138"/>
        <v>71</v>
      </c>
      <c r="D1708" t="str">
        <f t="shared" si="134"/>
        <v>MONTPELLIER71</v>
      </c>
      <c r="E1708" t="s">
        <v>186</v>
      </c>
      <c r="F1708" t="str">
        <f t="shared" si="135"/>
        <v>MONTPELLIER71</v>
      </c>
      <c r="G1708" t="s">
        <v>327</v>
      </c>
      <c r="H1708" t="s">
        <v>1799</v>
      </c>
      <c r="I1708" s="16">
        <v>56.5</v>
      </c>
      <c r="J1708" s="16">
        <v>0</v>
      </c>
      <c r="K1708" s="16">
        <v>20.83</v>
      </c>
      <c r="L1708" s="159">
        <f t="shared" si="136"/>
        <v>0</v>
      </c>
      <c r="M1708" s="159">
        <f t="shared" si="136"/>
        <v>0.36867256637168139</v>
      </c>
    </row>
    <row r="1709" spans="2:13">
      <c r="B1709" t="s">
        <v>185</v>
      </c>
      <c r="C1709">
        <f t="shared" si="138"/>
        <v>72</v>
      </c>
      <c r="D1709" t="str">
        <f t="shared" si="134"/>
        <v>MONTPELLIER72</v>
      </c>
      <c r="E1709" t="s">
        <v>186</v>
      </c>
      <c r="F1709" t="str">
        <f t="shared" si="135"/>
        <v>MONTPELLIER72</v>
      </c>
      <c r="G1709" t="s">
        <v>320</v>
      </c>
      <c r="I1709" s="16">
        <v>56.1</v>
      </c>
      <c r="J1709" s="16">
        <v>18.649999999999999</v>
      </c>
      <c r="K1709" s="16">
        <v>0</v>
      </c>
      <c r="L1709" s="159">
        <f t="shared" si="136"/>
        <v>0.33244206773618534</v>
      </c>
      <c r="M1709" s="159">
        <f t="shared" si="136"/>
        <v>0</v>
      </c>
    </row>
    <row r="1710" spans="2:13">
      <c r="B1710" t="s">
        <v>185</v>
      </c>
      <c r="C1710">
        <f t="shared" si="138"/>
        <v>73</v>
      </c>
      <c r="D1710" t="str">
        <f t="shared" si="134"/>
        <v>MONTPELLIER73</v>
      </c>
      <c r="E1710" t="s">
        <v>186</v>
      </c>
      <c r="F1710" t="str">
        <f t="shared" si="135"/>
        <v>MONTPELLIER73</v>
      </c>
      <c r="G1710" t="s">
        <v>263</v>
      </c>
      <c r="I1710" s="16">
        <v>53.08</v>
      </c>
      <c r="J1710" s="16">
        <v>13.08</v>
      </c>
      <c r="K1710" s="16">
        <v>0</v>
      </c>
      <c r="L1710" s="159">
        <f t="shared" si="136"/>
        <v>0.24642049736247176</v>
      </c>
      <c r="M1710" s="159">
        <f t="shared" si="136"/>
        <v>0</v>
      </c>
    </row>
    <row r="1711" spans="2:13">
      <c r="B1711" t="s">
        <v>185</v>
      </c>
      <c r="C1711">
        <f t="shared" si="138"/>
        <v>74</v>
      </c>
      <c r="D1711" t="str">
        <f t="shared" si="134"/>
        <v>MONTPELLIER74</v>
      </c>
      <c r="E1711" t="s">
        <v>186</v>
      </c>
      <c r="F1711" t="str">
        <f t="shared" si="135"/>
        <v>MONTPELLIER74</v>
      </c>
      <c r="G1711" t="s">
        <v>298</v>
      </c>
      <c r="I1711" s="16">
        <v>52.09</v>
      </c>
      <c r="J1711" s="16">
        <v>43.77</v>
      </c>
      <c r="K1711" s="16">
        <v>0</v>
      </c>
      <c r="L1711" s="159">
        <f t="shared" si="136"/>
        <v>0.84027644461508932</v>
      </c>
      <c r="M1711" s="159">
        <f t="shared" si="136"/>
        <v>0</v>
      </c>
    </row>
    <row r="1712" spans="2:13">
      <c r="B1712" t="s">
        <v>185</v>
      </c>
      <c r="C1712">
        <f t="shared" si="138"/>
        <v>75</v>
      </c>
      <c r="D1712" t="str">
        <f t="shared" si="134"/>
        <v>MONTPELLIER75</v>
      </c>
      <c r="E1712" t="s">
        <v>186</v>
      </c>
      <c r="F1712" t="str">
        <f t="shared" si="135"/>
        <v>MONTPELLIER75</v>
      </c>
      <c r="G1712" t="s">
        <v>245</v>
      </c>
      <c r="I1712" s="16">
        <v>51.62</v>
      </c>
      <c r="J1712" s="16">
        <v>10.78</v>
      </c>
      <c r="K1712" s="16">
        <v>32.46</v>
      </c>
      <c r="L1712" s="159">
        <f t="shared" si="136"/>
        <v>0.20883378535451375</v>
      </c>
      <c r="M1712" s="159">
        <f t="shared" si="136"/>
        <v>0.62882603641999235</v>
      </c>
    </row>
    <row r="1713" spans="2:13">
      <c r="B1713" t="s">
        <v>185</v>
      </c>
      <c r="C1713">
        <f t="shared" si="138"/>
        <v>76</v>
      </c>
      <c r="D1713" t="str">
        <f t="shared" si="134"/>
        <v>MONTPELLIER76</v>
      </c>
      <c r="E1713" t="s">
        <v>186</v>
      </c>
      <c r="F1713" t="str">
        <f t="shared" si="135"/>
        <v>MONTPELLIER76</v>
      </c>
      <c r="G1713" t="s">
        <v>276</v>
      </c>
      <c r="H1713" t="s">
        <v>933</v>
      </c>
      <c r="I1713" s="16">
        <v>50.92</v>
      </c>
      <c r="J1713" s="16">
        <v>23.08</v>
      </c>
      <c r="K1713" s="16">
        <v>0</v>
      </c>
      <c r="L1713" s="159">
        <f t="shared" si="136"/>
        <v>0.45326001571091906</v>
      </c>
      <c r="M1713" s="159">
        <f t="shared" si="136"/>
        <v>0</v>
      </c>
    </row>
    <row r="1714" spans="2:13">
      <c r="B1714" t="s">
        <v>185</v>
      </c>
      <c r="C1714">
        <f t="shared" si="138"/>
        <v>77</v>
      </c>
      <c r="D1714" t="str">
        <f t="shared" si="134"/>
        <v>MONTPELLIER77</v>
      </c>
      <c r="E1714" t="s">
        <v>186</v>
      </c>
      <c r="F1714" t="str">
        <f t="shared" si="135"/>
        <v>MONTPELLIER77</v>
      </c>
      <c r="G1714" t="s">
        <v>280</v>
      </c>
      <c r="I1714" s="16">
        <v>50.86</v>
      </c>
      <c r="J1714" s="16">
        <v>44.76</v>
      </c>
      <c r="K1714" s="16">
        <v>0</v>
      </c>
      <c r="L1714" s="159">
        <f t="shared" si="136"/>
        <v>0.8800629178136059</v>
      </c>
      <c r="M1714" s="159">
        <f t="shared" si="136"/>
        <v>0</v>
      </c>
    </row>
    <row r="1715" spans="2:13">
      <c r="B1715" t="s">
        <v>185</v>
      </c>
      <c r="C1715">
        <f t="shared" si="138"/>
        <v>78</v>
      </c>
      <c r="D1715" t="str">
        <f t="shared" si="134"/>
        <v>MONTPELLIER78</v>
      </c>
      <c r="E1715" t="s">
        <v>186</v>
      </c>
      <c r="F1715" t="str">
        <f t="shared" si="135"/>
        <v>MONTPELLIER78</v>
      </c>
      <c r="G1715" t="s">
        <v>443</v>
      </c>
      <c r="I1715" s="16">
        <v>50.6</v>
      </c>
      <c r="J1715" s="16">
        <v>50.6</v>
      </c>
      <c r="K1715" s="16">
        <v>0</v>
      </c>
      <c r="L1715" s="159">
        <f t="shared" si="136"/>
        <v>1</v>
      </c>
      <c r="M1715" s="159">
        <f t="shared" si="136"/>
        <v>0</v>
      </c>
    </row>
    <row r="1716" spans="2:13">
      <c r="B1716" t="s">
        <v>185</v>
      </c>
      <c r="C1716">
        <f t="shared" si="138"/>
        <v>79</v>
      </c>
      <c r="D1716" t="str">
        <f t="shared" si="134"/>
        <v>MONTPELLIER79</v>
      </c>
      <c r="E1716" t="s">
        <v>186</v>
      </c>
      <c r="F1716" t="str">
        <f t="shared" si="135"/>
        <v>MONTPELLIER79</v>
      </c>
      <c r="G1716" t="s">
        <v>305</v>
      </c>
      <c r="H1716" t="s">
        <v>937</v>
      </c>
      <c r="I1716" s="16">
        <v>47.59</v>
      </c>
      <c r="J1716" s="16">
        <v>1</v>
      </c>
      <c r="K1716" s="16">
        <v>10.77</v>
      </c>
      <c r="L1716" s="159">
        <f t="shared" si="136"/>
        <v>2.101281781886951E-2</v>
      </c>
      <c r="M1716" s="159">
        <f t="shared" si="136"/>
        <v>0.2263080479092246</v>
      </c>
    </row>
    <row r="1717" spans="2:13">
      <c r="B1717" t="s">
        <v>185</v>
      </c>
      <c r="C1717">
        <f t="shared" si="138"/>
        <v>80</v>
      </c>
      <c r="D1717" t="str">
        <f t="shared" si="134"/>
        <v>MONTPELLIER80</v>
      </c>
      <c r="E1717" t="s">
        <v>186</v>
      </c>
      <c r="F1717" t="str">
        <f t="shared" si="135"/>
        <v>MONTPELLIER80</v>
      </c>
      <c r="G1717" t="s">
        <v>396</v>
      </c>
      <c r="I1717" s="16">
        <v>47.35</v>
      </c>
      <c r="J1717" s="16">
        <v>25.46</v>
      </c>
      <c r="K1717" s="16">
        <v>17.100000000000001</v>
      </c>
      <c r="L1717" s="159">
        <f t="shared" si="136"/>
        <v>0.53769799366420279</v>
      </c>
      <c r="M1717" s="159">
        <f t="shared" si="136"/>
        <v>0.36114044350580782</v>
      </c>
    </row>
    <row r="1718" spans="2:13">
      <c r="B1718" t="s">
        <v>185</v>
      </c>
      <c r="C1718">
        <f t="shared" si="138"/>
        <v>81</v>
      </c>
      <c r="D1718" t="str">
        <f t="shared" si="134"/>
        <v>MONTPELLIER81</v>
      </c>
      <c r="E1718" t="s">
        <v>186</v>
      </c>
      <c r="F1718" t="str">
        <f t="shared" si="135"/>
        <v>MONTPELLIER81</v>
      </c>
      <c r="G1718" t="s">
        <v>244</v>
      </c>
      <c r="I1718" s="16">
        <v>45.26</v>
      </c>
      <c r="J1718" s="16">
        <v>0</v>
      </c>
      <c r="K1718" s="16">
        <v>0</v>
      </c>
      <c r="L1718" s="159">
        <f t="shared" si="136"/>
        <v>0</v>
      </c>
      <c r="M1718" s="159">
        <f t="shared" si="136"/>
        <v>0</v>
      </c>
    </row>
    <row r="1719" spans="2:13">
      <c r="B1719" t="s">
        <v>185</v>
      </c>
      <c r="C1719">
        <f t="shared" si="138"/>
        <v>82</v>
      </c>
      <c r="D1719" t="str">
        <f t="shared" si="134"/>
        <v>MONTPELLIER82</v>
      </c>
      <c r="E1719" t="s">
        <v>186</v>
      </c>
      <c r="F1719" t="str">
        <f t="shared" si="135"/>
        <v>MONTPELLIER82</v>
      </c>
      <c r="G1719" t="s">
        <v>316</v>
      </c>
      <c r="H1719" t="s">
        <v>317</v>
      </c>
      <c r="I1719" s="16">
        <v>44.46</v>
      </c>
      <c r="J1719" s="16">
        <v>0</v>
      </c>
      <c r="K1719" s="16">
        <v>44.46</v>
      </c>
      <c r="L1719" s="159">
        <f t="shared" si="136"/>
        <v>0</v>
      </c>
      <c r="M1719" s="159">
        <f t="shared" si="136"/>
        <v>1</v>
      </c>
    </row>
    <row r="1720" spans="2:13">
      <c r="B1720" t="s">
        <v>185</v>
      </c>
      <c r="C1720">
        <f t="shared" si="138"/>
        <v>83</v>
      </c>
      <c r="D1720" t="str">
        <f t="shared" si="134"/>
        <v>MONTPELLIER83</v>
      </c>
      <c r="E1720" t="s">
        <v>186</v>
      </c>
      <c r="F1720" t="str">
        <f t="shared" si="135"/>
        <v>MONTPELLIER83</v>
      </c>
      <c r="G1720" t="s">
        <v>349</v>
      </c>
      <c r="I1720" s="16">
        <v>43.24</v>
      </c>
      <c r="J1720" s="16">
        <v>34.44</v>
      </c>
      <c r="K1720" s="16">
        <v>0</v>
      </c>
      <c r="L1720" s="159">
        <f t="shared" si="136"/>
        <v>0.79648473635522654</v>
      </c>
      <c r="M1720" s="159">
        <f t="shared" si="136"/>
        <v>0</v>
      </c>
    </row>
    <row r="1721" spans="2:13">
      <c r="B1721" t="s">
        <v>185</v>
      </c>
      <c r="C1721">
        <f t="shared" si="138"/>
        <v>84</v>
      </c>
      <c r="D1721" t="str">
        <f t="shared" si="134"/>
        <v>MONTPELLIER84</v>
      </c>
      <c r="E1721" t="s">
        <v>186</v>
      </c>
      <c r="F1721" t="str">
        <f t="shared" si="135"/>
        <v>MONTPELLIER84</v>
      </c>
      <c r="G1721" t="s">
        <v>336</v>
      </c>
      <c r="H1721" t="s">
        <v>941</v>
      </c>
      <c r="I1721" s="16">
        <v>42.59</v>
      </c>
      <c r="J1721" s="16">
        <v>5.52</v>
      </c>
      <c r="K1721" s="16">
        <v>2.27</v>
      </c>
      <c r="L1721" s="159">
        <f t="shared" si="136"/>
        <v>0.12960788917586286</v>
      </c>
      <c r="M1721" s="159">
        <f t="shared" si="136"/>
        <v>5.3298896454566799E-2</v>
      </c>
    </row>
    <row r="1722" spans="2:13">
      <c r="B1722" t="s">
        <v>185</v>
      </c>
      <c r="C1722">
        <f t="shared" si="138"/>
        <v>85</v>
      </c>
      <c r="D1722" t="str">
        <f t="shared" si="134"/>
        <v>MONTPELLIER85</v>
      </c>
      <c r="E1722" t="s">
        <v>186</v>
      </c>
      <c r="F1722" t="str">
        <f t="shared" si="135"/>
        <v>MONTPELLIER85</v>
      </c>
      <c r="G1722" t="s">
        <v>299</v>
      </c>
      <c r="H1722" t="s">
        <v>1800</v>
      </c>
      <c r="I1722" s="16">
        <v>39.57</v>
      </c>
      <c r="J1722" s="16">
        <v>0</v>
      </c>
      <c r="K1722" s="16">
        <v>0</v>
      </c>
      <c r="L1722" s="159">
        <f t="shared" si="136"/>
        <v>0</v>
      </c>
      <c r="M1722" s="159">
        <f t="shared" si="136"/>
        <v>0</v>
      </c>
    </row>
    <row r="1723" spans="2:13">
      <c r="B1723" t="s">
        <v>185</v>
      </c>
      <c r="C1723">
        <f t="shared" si="138"/>
        <v>86</v>
      </c>
      <c r="D1723" t="str">
        <f t="shared" si="134"/>
        <v>MONTPELLIER86</v>
      </c>
      <c r="E1723" t="s">
        <v>186</v>
      </c>
      <c r="F1723" t="str">
        <f t="shared" si="135"/>
        <v>MONTPELLIER86</v>
      </c>
      <c r="G1723" t="s">
        <v>368</v>
      </c>
      <c r="I1723" s="16">
        <v>38.869999999999997</v>
      </c>
      <c r="J1723" s="16">
        <v>13.85</v>
      </c>
      <c r="K1723" s="16">
        <v>5.86</v>
      </c>
      <c r="L1723" s="159">
        <f t="shared" si="136"/>
        <v>0.35631592487779778</v>
      </c>
      <c r="M1723" s="159">
        <f t="shared" si="136"/>
        <v>0.15075894005659893</v>
      </c>
    </row>
    <row r="1724" spans="2:13">
      <c r="B1724" t="s">
        <v>185</v>
      </c>
      <c r="C1724">
        <f t="shared" si="138"/>
        <v>87</v>
      </c>
      <c r="D1724" t="str">
        <f t="shared" si="134"/>
        <v>MONTPELLIER87</v>
      </c>
      <c r="E1724" t="s">
        <v>186</v>
      </c>
      <c r="F1724" t="str">
        <f t="shared" si="135"/>
        <v>MONTPELLIER87</v>
      </c>
      <c r="G1724" t="s">
        <v>310</v>
      </c>
      <c r="I1724" s="16">
        <v>37.049999999999997</v>
      </c>
      <c r="J1724" s="16">
        <v>26.18</v>
      </c>
      <c r="K1724" s="16">
        <v>14.17</v>
      </c>
      <c r="L1724" s="159">
        <f t="shared" si="136"/>
        <v>0.70661268556005408</v>
      </c>
      <c r="M1724" s="159">
        <f t="shared" si="136"/>
        <v>0.38245614035087722</v>
      </c>
    </row>
    <row r="1725" spans="2:13">
      <c r="B1725" t="s">
        <v>185</v>
      </c>
      <c r="C1725">
        <f t="shared" si="138"/>
        <v>88</v>
      </c>
      <c r="D1725" t="str">
        <f t="shared" si="134"/>
        <v>MONTPELLIER88</v>
      </c>
      <c r="E1725" t="s">
        <v>186</v>
      </c>
      <c r="F1725" t="str">
        <f t="shared" si="135"/>
        <v>MONTPELLIER88</v>
      </c>
      <c r="G1725" t="s">
        <v>304</v>
      </c>
      <c r="I1725" s="16">
        <v>36.619999999999997</v>
      </c>
      <c r="J1725" s="16">
        <v>14.18</v>
      </c>
      <c r="K1725" s="16">
        <v>3.25</v>
      </c>
      <c r="L1725" s="159">
        <f t="shared" si="136"/>
        <v>0.3872200983069361</v>
      </c>
      <c r="M1725" s="159">
        <f t="shared" si="136"/>
        <v>8.8749317312943748E-2</v>
      </c>
    </row>
    <row r="1726" spans="2:13">
      <c r="B1726" t="s">
        <v>185</v>
      </c>
      <c r="C1726">
        <f t="shared" si="138"/>
        <v>89</v>
      </c>
      <c r="D1726" t="str">
        <f t="shared" si="134"/>
        <v>MONTPELLIER89</v>
      </c>
      <c r="E1726" t="s">
        <v>186</v>
      </c>
      <c r="F1726" t="str">
        <f t="shared" si="135"/>
        <v>MONTPELLIER89</v>
      </c>
      <c r="G1726" t="s">
        <v>427</v>
      </c>
      <c r="H1726" t="s">
        <v>1797</v>
      </c>
      <c r="I1726" s="16">
        <v>36.340000000000003</v>
      </c>
      <c r="J1726" s="16">
        <v>10</v>
      </c>
      <c r="K1726" s="16">
        <v>7.78</v>
      </c>
      <c r="L1726" s="159">
        <f t="shared" si="136"/>
        <v>0.27517886626307098</v>
      </c>
      <c r="M1726" s="159">
        <f t="shared" si="136"/>
        <v>0.21408915795266922</v>
      </c>
    </row>
    <row r="1727" spans="2:13">
      <c r="B1727" t="s">
        <v>185</v>
      </c>
      <c r="C1727">
        <f t="shared" si="138"/>
        <v>90</v>
      </c>
      <c r="D1727" t="str">
        <f t="shared" si="134"/>
        <v>MONTPELLIER90</v>
      </c>
      <c r="E1727" t="s">
        <v>186</v>
      </c>
      <c r="F1727" t="str">
        <f t="shared" si="135"/>
        <v>MONTPELLIER90</v>
      </c>
      <c r="G1727" t="s">
        <v>343</v>
      </c>
      <c r="I1727" s="16">
        <v>35.64</v>
      </c>
      <c r="J1727" s="16">
        <v>24.23</v>
      </c>
      <c r="K1727" s="16">
        <v>0</v>
      </c>
      <c r="L1727" s="159">
        <f t="shared" si="136"/>
        <v>0.67985409652076323</v>
      </c>
      <c r="M1727" s="159">
        <f t="shared" si="136"/>
        <v>0</v>
      </c>
    </row>
    <row r="1728" spans="2:13">
      <c r="B1728" t="s">
        <v>185</v>
      </c>
      <c r="C1728">
        <f t="shared" si="138"/>
        <v>91</v>
      </c>
      <c r="D1728" t="str">
        <f t="shared" si="134"/>
        <v>MONTPELLIER91</v>
      </c>
      <c r="E1728" t="s">
        <v>186</v>
      </c>
      <c r="F1728" t="str">
        <f t="shared" si="135"/>
        <v>MONTPELLIER91</v>
      </c>
      <c r="G1728" t="s">
        <v>347</v>
      </c>
      <c r="I1728" s="16">
        <v>34.75</v>
      </c>
      <c r="J1728" s="16">
        <v>25.77</v>
      </c>
      <c r="K1728" s="16">
        <v>8.99</v>
      </c>
      <c r="L1728" s="159">
        <f t="shared" si="136"/>
        <v>0.74158273381294959</v>
      </c>
      <c r="M1728" s="159">
        <f t="shared" si="136"/>
        <v>0.25870503597122302</v>
      </c>
    </row>
    <row r="1729" spans="2:13">
      <c r="B1729" t="s">
        <v>185</v>
      </c>
      <c r="C1729">
        <f t="shared" si="138"/>
        <v>92</v>
      </c>
      <c r="D1729" t="str">
        <f t="shared" si="134"/>
        <v>MONTPELLIER92</v>
      </c>
      <c r="E1729" t="s">
        <v>186</v>
      </c>
      <c r="F1729" t="str">
        <f t="shared" si="135"/>
        <v>MONTPELLIER92</v>
      </c>
      <c r="G1729" t="s">
        <v>398</v>
      </c>
      <c r="I1729" s="16">
        <v>32.799999999999997</v>
      </c>
      <c r="J1729" s="16">
        <v>8.3800000000000008</v>
      </c>
      <c r="K1729" s="16">
        <v>6.45</v>
      </c>
      <c r="L1729" s="159">
        <f t="shared" si="136"/>
        <v>0.25548780487804884</v>
      </c>
      <c r="M1729" s="159">
        <f t="shared" si="136"/>
        <v>0.19664634146341467</v>
      </c>
    </row>
    <row r="1730" spans="2:13">
      <c r="B1730" t="s">
        <v>185</v>
      </c>
      <c r="C1730">
        <f t="shared" si="138"/>
        <v>93</v>
      </c>
      <c r="D1730" t="str">
        <f t="shared" ref="D1730:D1793" si="139">CONCATENATE(E1730,C1730)</f>
        <v>MONTPELLIER93</v>
      </c>
      <c r="E1730" t="s">
        <v>186</v>
      </c>
      <c r="F1730" t="str">
        <f t="shared" si="135"/>
        <v>MONTPELLIER93</v>
      </c>
      <c r="G1730" t="s">
        <v>318</v>
      </c>
      <c r="I1730" s="16">
        <v>32.74</v>
      </c>
      <c r="J1730" s="16">
        <v>30.25</v>
      </c>
      <c r="K1730" s="16">
        <v>0</v>
      </c>
      <c r="L1730" s="159">
        <f t="shared" si="136"/>
        <v>0.92394624312767248</v>
      </c>
      <c r="M1730" s="159">
        <f t="shared" si="136"/>
        <v>0</v>
      </c>
    </row>
    <row r="1731" spans="2:13">
      <c r="B1731" t="s">
        <v>185</v>
      </c>
      <c r="C1731">
        <f t="shared" si="138"/>
        <v>94</v>
      </c>
      <c r="D1731" t="str">
        <f t="shared" si="139"/>
        <v>MONTPELLIER94</v>
      </c>
      <c r="E1731" t="s">
        <v>186</v>
      </c>
      <c r="F1731" t="str">
        <f t="shared" ref="F1731:F1794" si="140">D1731</f>
        <v>MONTPELLIER94</v>
      </c>
      <c r="G1731" t="s">
        <v>284</v>
      </c>
      <c r="I1731" s="16">
        <v>31.66</v>
      </c>
      <c r="J1731" s="16">
        <v>0</v>
      </c>
      <c r="K1731" s="16">
        <v>0</v>
      </c>
      <c r="L1731" s="159">
        <f t="shared" ref="L1731:M1794" si="141">J1731/$I1731</f>
        <v>0</v>
      </c>
      <c r="M1731" s="159">
        <f t="shared" si="141"/>
        <v>0</v>
      </c>
    </row>
    <row r="1732" spans="2:13">
      <c r="B1732" t="s">
        <v>185</v>
      </c>
      <c r="C1732">
        <f t="shared" si="138"/>
        <v>95</v>
      </c>
      <c r="D1732" t="str">
        <f t="shared" si="139"/>
        <v>MONTPELLIER95</v>
      </c>
      <c r="E1732" t="s">
        <v>186</v>
      </c>
      <c r="F1732" t="str">
        <f t="shared" si="140"/>
        <v>MONTPELLIER95</v>
      </c>
      <c r="G1732" t="s">
        <v>379</v>
      </c>
      <c r="H1732" t="s">
        <v>944</v>
      </c>
      <c r="I1732" s="16">
        <v>31.38</v>
      </c>
      <c r="J1732" s="16">
        <v>13.77</v>
      </c>
      <c r="K1732" s="16">
        <v>0</v>
      </c>
      <c r="L1732" s="159">
        <f t="shared" si="141"/>
        <v>0.43881453154875716</v>
      </c>
      <c r="M1732" s="159">
        <f t="shared" si="141"/>
        <v>0</v>
      </c>
    </row>
    <row r="1733" spans="2:13">
      <c r="B1733" t="s">
        <v>185</v>
      </c>
      <c r="C1733">
        <f t="shared" si="138"/>
        <v>96</v>
      </c>
      <c r="D1733" t="str">
        <f t="shared" si="139"/>
        <v>MONTPELLIER96</v>
      </c>
      <c r="E1733" t="s">
        <v>186</v>
      </c>
      <c r="F1733" t="str">
        <f t="shared" si="140"/>
        <v>MONTPELLIER96</v>
      </c>
      <c r="G1733" t="s">
        <v>321</v>
      </c>
      <c r="I1733" s="16">
        <v>30.78</v>
      </c>
      <c r="J1733" s="16">
        <v>27.63</v>
      </c>
      <c r="K1733" s="16">
        <v>0</v>
      </c>
      <c r="L1733" s="159">
        <f t="shared" si="141"/>
        <v>0.89766081871345027</v>
      </c>
      <c r="M1733" s="159">
        <f t="shared" si="141"/>
        <v>0</v>
      </c>
    </row>
    <row r="1734" spans="2:13">
      <c r="B1734" t="s">
        <v>185</v>
      </c>
      <c r="C1734">
        <f t="shared" ref="C1734:C1765" si="142">RANK(I1734,$I$1637:$I$1796,0)</f>
        <v>97</v>
      </c>
      <c r="D1734" t="str">
        <f t="shared" si="139"/>
        <v>MONTPELLIER97</v>
      </c>
      <c r="E1734" t="s">
        <v>186</v>
      </c>
      <c r="F1734" t="str">
        <f t="shared" si="140"/>
        <v>MONTPELLIER97</v>
      </c>
      <c r="G1734" t="s">
        <v>345</v>
      </c>
      <c r="I1734" s="16">
        <v>30.3</v>
      </c>
      <c r="J1734" s="16">
        <v>17.28</v>
      </c>
      <c r="K1734" s="16">
        <v>0</v>
      </c>
      <c r="L1734" s="159">
        <f t="shared" si="141"/>
        <v>0.57029702970297036</v>
      </c>
      <c r="M1734" s="159">
        <f t="shared" si="141"/>
        <v>0</v>
      </c>
    </row>
    <row r="1735" spans="2:13">
      <c r="B1735" t="s">
        <v>185</v>
      </c>
      <c r="C1735">
        <f t="shared" si="142"/>
        <v>97</v>
      </c>
      <c r="D1735" t="str">
        <f t="shared" si="139"/>
        <v>MONTPELLIER97</v>
      </c>
      <c r="E1735" t="s">
        <v>186</v>
      </c>
      <c r="F1735" t="str">
        <f t="shared" si="140"/>
        <v>MONTPELLIER97</v>
      </c>
      <c r="G1735" t="s">
        <v>314</v>
      </c>
      <c r="I1735" s="16">
        <v>30.3</v>
      </c>
      <c r="J1735" s="16">
        <v>6.47</v>
      </c>
      <c r="K1735" s="16">
        <v>0</v>
      </c>
      <c r="L1735" s="159">
        <f t="shared" si="141"/>
        <v>0.21353135313531352</v>
      </c>
      <c r="M1735" s="159">
        <f t="shared" si="141"/>
        <v>0</v>
      </c>
    </row>
    <row r="1736" spans="2:13">
      <c r="B1736" t="s">
        <v>185</v>
      </c>
      <c r="C1736">
        <f t="shared" si="142"/>
        <v>99</v>
      </c>
      <c r="D1736" t="str">
        <f t="shared" si="139"/>
        <v>MONTPELLIER99</v>
      </c>
      <c r="E1736" t="s">
        <v>186</v>
      </c>
      <c r="F1736" t="str">
        <f t="shared" si="140"/>
        <v>MONTPELLIER99</v>
      </c>
      <c r="G1736" t="s">
        <v>279</v>
      </c>
      <c r="I1736" s="16">
        <v>30.11</v>
      </c>
      <c r="J1736" s="16">
        <v>8.57</v>
      </c>
      <c r="K1736" s="16">
        <v>4.29</v>
      </c>
      <c r="L1736" s="159">
        <f t="shared" si="141"/>
        <v>0.28462304882098971</v>
      </c>
      <c r="M1736" s="159">
        <f t="shared" si="141"/>
        <v>0.14247758219860512</v>
      </c>
    </row>
    <row r="1737" spans="2:13">
      <c r="B1737" t="s">
        <v>185</v>
      </c>
      <c r="C1737">
        <f t="shared" si="142"/>
        <v>100</v>
      </c>
      <c r="D1737" t="str">
        <f t="shared" si="139"/>
        <v>MONTPELLIER100</v>
      </c>
      <c r="E1737" t="s">
        <v>186</v>
      </c>
      <c r="F1737" t="str">
        <f t="shared" si="140"/>
        <v>MONTPELLIER100</v>
      </c>
      <c r="G1737" t="s">
        <v>360</v>
      </c>
      <c r="I1737" s="16">
        <v>28.6</v>
      </c>
      <c r="J1737" s="16">
        <v>28.6</v>
      </c>
      <c r="K1737" s="16">
        <v>0</v>
      </c>
      <c r="L1737" s="159">
        <f t="shared" si="141"/>
        <v>1</v>
      </c>
      <c r="M1737" s="159">
        <f t="shared" si="141"/>
        <v>0</v>
      </c>
    </row>
    <row r="1738" spans="2:13">
      <c r="B1738" t="s">
        <v>185</v>
      </c>
      <c r="C1738">
        <f t="shared" si="142"/>
        <v>101</v>
      </c>
      <c r="D1738" t="str">
        <f t="shared" si="139"/>
        <v>MONTPELLIER101</v>
      </c>
      <c r="E1738" t="s">
        <v>186</v>
      </c>
      <c r="F1738" t="str">
        <f t="shared" si="140"/>
        <v>MONTPELLIER101</v>
      </c>
      <c r="G1738" t="s">
        <v>333</v>
      </c>
      <c r="I1738" s="16">
        <v>26.03</v>
      </c>
      <c r="J1738" s="16">
        <v>2.58</v>
      </c>
      <c r="K1738" s="16">
        <v>0</v>
      </c>
      <c r="L1738" s="159">
        <f t="shared" si="141"/>
        <v>9.9116404149058771E-2</v>
      </c>
      <c r="M1738" s="159">
        <f t="shared" si="141"/>
        <v>0</v>
      </c>
    </row>
    <row r="1739" spans="2:13">
      <c r="B1739" t="s">
        <v>185</v>
      </c>
      <c r="C1739">
        <f t="shared" si="142"/>
        <v>102</v>
      </c>
      <c r="D1739" t="str">
        <f t="shared" si="139"/>
        <v>MONTPELLIER102</v>
      </c>
      <c r="E1739" t="s">
        <v>186</v>
      </c>
      <c r="F1739" t="str">
        <f t="shared" si="140"/>
        <v>MONTPELLIER102</v>
      </c>
      <c r="G1739" t="s">
        <v>421</v>
      </c>
      <c r="I1739" s="16">
        <v>25.99</v>
      </c>
      <c r="J1739" s="16">
        <v>7.13</v>
      </c>
      <c r="K1739" s="16">
        <v>0</v>
      </c>
      <c r="L1739" s="159">
        <f t="shared" si="141"/>
        <v>0.27433628318584075</v>
      </c>
      <c r="M1739" s="159">
        <f t="shared" si="141"/>
        <v>0</v>
      </c>
    </row>
    <row r="1740" spans="2:13">
      <c r="B1740" t="s">
        <v>185</v>
      </c>
      <c r="C1740">
        <f t="shared" si="142"/>
        <v>103</v>
      </c>
      <c r="D1740" t="str">
        <f t="shared" si="139"/>
        <v>MONTPELLIER103</v>
      </c>
      <c r="E1740" t="s">
        <v>186</v>
      </c>
      <c r="F1740" t="str">
        <f t="shared" si="140"/>
        <v>MONTPELLIER103</v>
      </c>
      <c r="G1740" t="s">
        <v>393</v>
      </c>
      <c r="I1740" s="16">
        <v>25.74</v>
      </c>
      <c r="J1740" s="16">
        <v>12.97</v>
      </c>
      <c r="K1740" s="16">
        <v>0</v>
      </c>
      <c r="L1740" s="159">
        <f t="shared" si="141"/>
        <v>0.5038850038850039</v>
      </c>
      <c r="M1740" s="159">
        <f t="shared" si="141"/>
        <v>0</v>
      </c>
    </row>
    <row r="1741" spans="2:13">
      <c r="B1741" t="s">
        <v>185</v>
      </c>
      <c r="C1741">
        <f t="shared" si="142"/>
        <v>104</v>
      </c>
      <c r="D1741" t="str">
        <f t="shared" si="139"/>
        <v>MONTPELLIER104</v>
      </c>
      <c r="E1741" t="s">
        <v>186</v>
      </c>
      <c r="F1741" t="str">
        <f t="shared" si="140"/>
        <v>MONTPELLIER104</v>
      </c>
      <c r="G1741" t="s">
        <v>375</v>
      </c>
      <c r="I1741" s="16">
        <v>25.26</v>
      </c>
      <c r="J1741" s="16">
        <v>0</v>
      </c>
      <c r="K1741" s="16">
        <v>0</v>
      </c>
      <c r="L1741" s="159">
        <f t="shared" si="141"/>
        <v>0</v>
      </c>
      <c r="M1741" s="159">
        <f t="shared" si="141"/>
        <v>0</v>
      </c>
    </row>
    <row r="1742" spans="2:13">
      <c r="B1742" t="s">
        <v>185</v>
      </c>
      <c r="C1742">
        <f t="shared" si="142"/>
        <v>105</v>
      </c>
      <c r="D1742" t="str">
        <f t="shared" si="139"/>
        <v>MONTPELLIER105</v>
      </c>
      <c r="E1742" t="s">
        <v>186</v>
      </c>
      <c r="F1742" t="str">
        <f t="shared" si="140"/>
        <v>MONTPELLIER105</v>
      </c>
      <c r="G1742" t="s">
        <v>394</v>
      </c>
      <c r="H1742" t="s">
        <v>395</v>
      </c>
      <c r="I1742" s="16">
        <v>25.15</v>
      </c>
      <c r="J1742" s="16">
        <v>0</v>
      </c>
      <c r="K1742" s="16">
        <v>25.15</v>
      </c>
      <c r="L1742" s="159">
        <f t="shared" si="141"/>
        <v>0</v>
      </c>
      <c r="M1742" s="159">
        <f t="shared" si="141"/>
        <v>1</v>
      </c>
    </row>
    <row r="1743" spans="2:13">
      <c r="B1743" t="s">
        <v>185</v>
      </c>
      <c r="C1743">
        <f t="shared" si="142"/>
        <v>106</v>
      </c>
      <c r="D1743" t="str">
        <f t="shared" si="139"/>
        <v>MONTPELLIER106</v>
      </c>
      <c r="E1743" t="s">
        <v>186</v>
      </c>
      <c r="F1743" t="str">
        <f t="shared" si="140"/>
        <v>MONTPELLIER106</v>
      </c>
      <c r="G1743" t="s">
        <v>391</v>
      </c>
      <c r="I1743" s="16">
        <v>24.06</v>
      </c>
      <c r="J1743" s="16">
        <v>12.96</v>
      </c>
      <c r="K1743" s="16">
        <v>0</v>
      </c>
      <c r="L1743" s="159">
        <f t="shared" si="141"/>
        <v>0.53865336658354124</v>
      </c>
      <c r="M1743" s="159">
        <f t="shared" si="141"/>
        <v>0</v>
      </c>
    </row>
    <row r="1744" spans="2:13">
      <c r="B1744" t="s">
        <v>185</v>
      </c>
      <c r="C1744">
        <f t="shared" si="142"/>
        <v>107</v>
      </c>
      <c r="D1744" t="str">
        <f t="shared" si="139"/>
        <v>MONTPELLIER107</v>
      </c>
      <c r="E1744" t="s">
        <v>186</v>
      </c>
      <c r="F1744" t="str">
        <f t="shared" si="140"/>
        <v>MONTPELLIER107</v>
      </c>
      <c r="G1744" t="s">
        <v>363</v>
      </c>
      <c r="I1744" s="16">
        <v>20.93</v>
      </c>
      <c r="J1744" s="16">
        <v>7.13</v>
      </c>
      <c r="K1744" s="16">
        <v>4.6900000000000004</v>
      </c>
      <c r="L1744" s="159">
        <f t="shared" si="141"/>
        <v>0.34065934065934067</v>
      </c>
      <c r="M1744" s="159">
        <f t="shared" si="141"/>
        <v>0.22408026755852845</v>
      </c>
    </row>
    <row r="1745" spans="2:13">
      <c r="B1745" t="s">
        <v>185</v>
      </c>
      <c r="C1745">
        <f t="shared" si="142"/>
        <v>108</v>
      </c>
      <c r="D1745" t="str">
        <f t="shared" si="139"/>
        <v>MONTPELLIER108</v>
      </c>
      <c r="E1745" t="s">
        <v>186</v>
      </c>
      <c r="F1745" t="str">
        <f t="shared" si="140"/>
        <v>MONTPELLIER108</v>
      </c>
      <c r="G1745" t="s">
        <v>378</v>
      </c>
      <c r="I1745" s="16">
        <v>19.72</v>
      </c>
      <c r="J1745" s="16">
        <v>11.72</v>
      </c>
      <c r="K1745" s="16">
        <v>0</v>
      </c>
      <c r="L1745" s="159">
        <f t="shared" si="141"/>
        <v>0.59432048681541594</v>
      </c>
      <c r="M1745" s="159">
        <f t="shared" si="141"/>
        <v>0</v>
      </c>
    </row>
    <row r="1746" spans="2:13">
      <c r="B1746" t="s">
        <v>185</v>
      </c>
      <c r="C1746">
        <f t="shared" si="142"/>
        <v>109</v>
      </c>
      <c r="D1746" t="str">
        <f t="shared" si="139"/>
        <v>MONTPELLIER109</v>
      </c>
      <c r="E1746" t="s">
        <v>186</v>
      </c>
      <c r="F1746" t="str">
        <f t="shared" si="140"/>
        <v>MONTPELLIER109</v>
      </c>
      <c r="G1746" t="s">
        <v>283</v>
      </c>
      <c r="I1746" s="16">
        <v>19.63</v>
      </c>
      <c r="J1746" s="16">
        <v>3.25</v>
      </c>
      <c r="K1746" s="16">
        <v>0</v>
      </c>
      <c r="L1746" s="159">
        <f t="shared" si="141"/>
        <v>0.16556291390728478</v>
      </c>
      <c r="M1746" s="159">
        <f t="shared" si="141"/>
        <v>0</v>
      </c>
    </row>
    <row r="1747" spans="2:13">
      <c r="B1747" t="s">
        <v>185</v>
      </c>
      <c r="C1747">
        <f t="shared" si="142"/>
        <v>110</v>
      </c>
      <c r="D1747" t="str">
        <f t="shared" si="139"/>
        <v>MONTPELLIER110</v>
      </c>
      <c r="E1747" t="s">
        <v>186</v>
      </c>
      <c r="F1747" t="str">
        <f t="shared" si="140"/>
        <v>MONTPELLIER110</v>
      </c>
      <c r="G1747" t="s">
        <v>328</v>
      </c>
      <c r="H1747" t="s">
        <v>939</v>
      </c>
      <c r="I1747" s="16">
        <v>19.13</v>
      </c>
      <c r="J1747" s="16">
        <v>9.66</v>
      </c>
      <c r="K1747" s="16">
        <v>0</v>
      </c>
      <c r="L1747" s="159">
        <f t="shared" si="141"/>
        <v>0.50496602195504448</v>
      </c>
      <c r="M1747" s="159">
        <f t="shared" si="141"/>
        <v>0</v>
      </c>
    </row>
    <row r="1748" spans="2:13">
      <c r="B1748" t="s">
        <v>185</v>
      </c>
      <c r="C1748">
        <f t="shared" si="142"/>
        <v>111</v>
      </c>
      <c r="D1748" t="str">
        <f t="shared" si="139"/>
        <v>MONTPELLIER111</v>
      </c>
      <c r="E1748" t="s">
        <v>186</v>
      </c>
      <c r="F1748" t="str">
        <f t="shared" si="140"/>
        <v>MONTPELLIER111</v>
      </c>
      <c r="G1748" t="s">
        <v>428</v>
      </c>
      <c r="I1748" s="16">
        <v>18.260000000000002</v>
      </c>
      <c r="J1748" s="16">
        <v>0</v>
      </c>
      <c r="K1748" s="16">
        <v>0</v>
      </c>
      <c r="L1748" s="159">
        <f t="shared" si="141"/>
        <v>0</v>
      </c>
      <c r="M1748" s="159">
        <f t="shared" si="141"/>
        <v>0</v>
      </c>
    </row>
    <row r="1749" spans="2:13">
      <c r="B1749" t="s">
        <v>185</v>
      </c>
      <c r="C1749">
        <f t="shared" si="142"/>
        <v>112</v>
      </c>
      <c r="D1749" t="str">
        <f t="shared" si="139"/>
        <v>MONTPELLIER112</v>
      </c>
      <c r="E1749" t="s">
        <v>186</v>
      </c>
      <c r="F1749" t="str">
        <f t="shared" si="140"/>
        <v>MONTPELLIER112</v>
      </c>
      <c r="G1749" t="s">
        <v>295</v>
      </c>
      <c r="I1749" s="16">
        <v>17.09</v>
      </c>
      <c r="J1749" s="16">
        <v>11.94</v>
      </c>
      <c r="K1749" s="16">
        <v>5.15</v>
      </c>
      <c r="L1749" s="159">
        <f t="shared" si="141"/>
        <v>0.69865418373317723</v>
      </c>
      <c r="M1749" s="159">
        <f t="shared" si="141"/>
        <v>0.30134581626682272</v>
      </c>
    </row>
    <row r="1750" spans="2:13">
      <c r="B1750" t="s">
        <v>185</v>
      </c>
      <c r="C1750">
        <f t="shared" si="142"/>
        <v>113</v>
      </c>
      <c r="D1750" t="str">
        <f t="shared" si="139"/>
        <v>MONTPELLIER113</v>
      </c>
      <c r="E1750" t="s">
        <v>186</v>
      </c>
      <c r="F1750" t="str">
        <f t="shared" si="140"/>
        <v>MONTPELLIER113</v>
      </c>
      <c r="G1750" t="s">
        <v>326</v>
      </c>
      <c r="I1750" s="16">
        <v>16.190000000000001</v>
      </c>
      <c r="J1750" s="16">
        <v>6.55</v>
      </c>
      <c r="K1750" s="16">
        <v>0</v>
      </c>
      <c r="L1750" s="159">
        <f t="shared" si="141"/>
        <v>0.40457072266831373</v>
      </c>
      <c r="M1750" s="159">
        <f t="shared" si="141"/>
        <v>0</v>
      </c>
    </row>
    <row r="1751" spans="2:13">
      <c r="B1751" t="s">
        <v>185</v>
      </c>
      <c r="C1751">
        <f t="shared" si="142"/>
        <v>114</v>
      </c>
      <c r="D1751" t="str">
        <f t="shared" si="139"/>
        <v>MONTPELLIER114</v>
      </c>
      <c r="E1751" t="s">
        <v>186</v>
      </c>
      <c r="F1751" t="str">
        <f t="shared" si="140"/>
        <v>MONTPELLIER114</v>
      </c>
      <c r="G1751" t="s">
        <v>416</v>
      </c>
      <c r="I1751" s="16">
        <v>15.74</v>
      </c>
      <c r="J1751" s="16">
        <v>0</v>
      </c>
      <c r="K1751" s="16">
        <v>0</v>
      </c>
      <c r="L1751" s="159">
        <f t="shared" si="141"/>
        <v>0</v>
      </c>
      <c r="M1751" s="159">
        <f t="shared" si="141"/>
        <v>0</v>
      </c>
    </row>
    <row r="1752" spans="2:13">
      <c r="B1752" t="s">
        <v>185</v>
      </c>
      <c r="C1752">
        <f t="shared" si="142"/>
        <v>115</v>
      </c>
      <c r="D1752" t="str">
        <f t="shared" si="139"/>
        <v>MONTPELLIER115</v>
      </c>
      <c r="E1752" t="s">
        <v>186</v>
      </c>
      <c r="F1752" t="str">
        <f t="shared" si="140"/>
        <v>MONTPELLIER115</v>
      </c>
      <c r="G1752" t="s">
        <v>346</v>
      </c>
      <c r="I1752" s="16">
        <v>15.73</v>
      </c>
      <c r="J1752" s="16">
        <v>8.6999999999999993</v>
      </c>
      <c r="K1752" s="16">
        <v>0</v>
      </c>
      <c r="L1752" s="159">
        <f t="shared" si="141"/>
        <v>0.55308328035600762</v>
      </c>
      <c r="M1752" s="159">
        <f t="shared" si="141"/>
        <v>0</v>
      </c>
    </row>
    <row r="1753" spans="2:13">
      <c r="B1753" t="s">
        <v>185</v>
      </c>
      <c r="C1753">
        <f t="shared" si="142"/>
        <v>116</v>
      </c>
      <c r="D1753" t="str">
        <f t="shared" si="139"/>
        <v>MONTPELLIER116</v>
      </c>
      <c r="E1753" t="s">
        <v>186</v>
      </c>
      <c r="F1753" t="str">
        <f t="shared" si="140"/>
        <v>MONTPELLIER116</v>
      </c>
      <c r="G1753" t="s">
        <v>355</v>
      </c>
      <c r="I1753" s="16">
        <v>15.7</v>
      </c>
      <c r="J1753" s="16">
        <v>3.04</v>
      </c>
      <c r="K1753" s="16">
        <v>0</v>
      </c>
      <c r="L1753" s="159">
        <f t="shared" si="141"/>
        <v>0.19363057324840766</v>
      </c>
      <c r="M1753" s="159">
        <f t="shared" si="141"/>
        <v>0</v>
      </c>
    </row>
    <row r="1754" spans="2:13">
      <c r="B1754" t="s">
        <v>185</v>
      </c>
      <c r="C1754">
        <f t="shared" si="142"/>
        <v>117</v>
      </c>
      <c r="D1754" t="str">
        <f t="shared" si="139"/>
        <v>MONTPELLIER117</v>
      </c>
      <c r="E1754" t="s">
        <v>186</v>
      </c>
      <c r="F1754" t="str">
        <f t="shared" si="140"/>
        <v>MONTPELLIER117</v>
      </c>
      <c r="G1754" t="s">
        <v>441</v>
      </c>
      <c r="I1754" s="16">
        <v>14.35</v>
      </c>
      <c r="J1754" s="16">
        <v>11.48</v>
      </c>
      <c r="K1754" s="16">
        <v>0</v>
      </c>
      <c r="L1754" s="159">
        <f t="shared" si="141"/>
        <v>0.8</v>
      </c>
      <c r="M1754" s="159">
        <f t="shared" si="141"/>
        <v>0</v>
      </c>
    </row>
    <row r="1755" spans="2:13">
      <c r="B1755" t="s">
        <v>185</v>
      </c>
      <c r="C1755">
        <f t="shared" si="142"/>
        <v>117</v>
      </c>
      <c r="D1755" t="str">
        <f t="shared" si="139"/>
        <v>MONTPELLIER117</v>
      </c>
      <c r="E1755" t="s">
        <v>186</v>
      </c>
      <c r="F1755" t="str">
        <f t="shared" si="140"/>
        <v>MONTPELLIER117</v>
      </c>
      <c r="G1755" t="s">
        <v>411</v>
      </c>
      <c r="I1755" s="16">
        <v>14.35</v>
      </c>
      <c r="J1755" s="16">
        <v>0</v>
      </c>
      <c r="K1755" s="16">
        <v>0</v>
      </c>
      <c r="L1755" s="159">
        <f t="shared" si="141"/>
        <v>0</v>
      </c>
      <c r="M1755" s="159">
        <f t="shared" si="141"/>
        <v>0</v>
      </c>
    </row>
    <row r="1756" spans="2:13">
      <c r="B1756" t="s">
        <v>185</v>
      </c>
      <c r="C1756">
        <f t="shared" si="142"/>
        <v>119</v>
      </c>
      <c r="D1756" t="str">
        <f t="shared" si="139"/>
        <v>MONTPELLIER119</v>
      </c>
      <c r="E1756" t="s">
        <v>186</v>
      </c>
      <c r="F1756" t="str">
        <f t="shared" si="140"/>
        <v>MONTPELLIER119</v>
      </c>
      <c r="G1756" t="s">
        <v>407</v>
      </c>
      <c r="I1756" s="16">
        <v>13.99</v>
      </c>
      <c r="J1756" s="16">
        <v>1.57</v>
      </c>
      <c r="K1756" s="16">
        <v>0</v>
      </c>
      <c r="L1756" s="159">
        <f t="shared" si="141"/>
        <v>0.11222301644031452</v>
      </c>
      <c r="M1756" s="159">
        <f t="shared" si="141"/>
        <v>0</v>
      </c>
    </row>
    <row r="1757" spans="2:13">
      <c r="B1757" t="s">
        <v>185</v>
      </c>
      <c r="C1757">
        <f t="shared" si="142"/>
        <v>120</v>
      </c>
      <c r="D1757" t="str">
        <f t="shared" si="139"/>
        <v>MONTPELLIER120</v>
      </c>
      <c r="E1757" t="s">
        <v>186</v>
      </c>
      <c r="F1757" t="str">
        <f t="shared" si="140"/>
        <v>MONTPELLIER120</v>
      </c>
      <c r="G1757" t="s">
        <v>292</v>
      </c>
      <c r="I1757" s="16">
        <v>12.32</v>
      </c>
      <c r="J1757" s="16">
        <v>0</v>
      </c>
      <c r="K1757" s="16">
        <v>0</v>
      </c>
      <c r="L1757" s="159">
        <f t="shared" si="141"/>
        <v>0</v>
      </c>
      <c r="M1757" s="159">
        <f t="shared" si="141"/>
        <v>0</v>
      </c>
    </row>
    <row r="1758" spans="2:13">
      <c r="B1758" t="s">
        <v>185</v>
      </c>
      <c r="C1758">
        <f t="shared" si="142"/>
        <v>121</v>
      </c>
      <c r="D1758" t="str">
        <f t="shared" si="139"/>
        <v>MONTPELLIER121</v>
      </c>
      <c r="E1758" t="s">
        <v>186</v>
      </c>
      <c r="F1758" t="str">
        <f t="shared" si="140"/>
        <v>MONTPELLIER121</v>
      </c>
      <c r="G1758" t="s">
        <v>373</v>
      </c>
      <c r="I1758" s="16">
        <v>12.22</v>
      </c>
      <c r="J1758" s="16">
        <v>12.22</v>
      </c>
      <c r="K1758" s="16">
        <v>0</v>
      </c>
      <c r="L1758" s="159">
        <f t="shared" si="141"/>
        <v>1</v>
      </c>
      <c r="M1758" s="159">
        <f t="shared" si="141"/>
        <v>0</v>
      </c>
    </row>
    <row r="1759" spans="2:13">
      <c r="B1759" t="s">
        <v>185</v>
      </c>
      <c r="C1759">
        <f t="shared" si="142"/>
        <v>122</v>
      </c>
      <c r="D1759" t="str">
        <f t="shared" si="139"/>
        <v>MONTPELLIER122</v>
      </c>
      <c r="E1759" t="s">
        <v>186</v>
      </c>
      <c r="F1759" t="str">
        <f t="shared" si="140"/>
        <v>MONTPELLIER122</v>
      </c>
      <c r="G1759" t="s">
        <v>344</v>
      </c>
      <c r="I1759" s="16">
        <v>11.41</v>
      </c>
      <c r="J1759" s="16">
        <v>11.41</v>
      </c>
      <c r="K1759" s="16">
        <v>0</v>
      </c>
      <c r="L1759" s="159">
        <f t="shared" si="141"/>
        <v>1</v>
      </c>
      <c r="M1759" s="159">
        <f t="shared" si="141"/>
        <v>0</v>
      </c>
    </row>
    <row r="1760" spans="2:13">
      <c r="B1760" t="s">
        <v>185</v>
      </c>
      <c r="C1760">
        <f t="shared" si="142"/>
        <v>123</v>
      </c>
      <c r="D1760" t="str">
        <f t="shared" si="139"/>
        <v>MONTPELLIER123</v>
      </c>
      <c r="E1760" t="s">
        <v>186</v>
      </c>
      <c r="F1760" t="str">
        <f t="shared" si="140"/>
        <v>MONTPELLIER123</v>
      </c>
      <c r="G1760" t="s">
        <v>372</v>
      </c>
      <c r="I1760" s="16">
        <v>10.59</v>
      </c>
      <c r="J1760" s="16">
        <v>2.27</v>
      </c>
      <c r="K1760" s="16">
        <v>0</v>
      </c>
      <c r="L1760" s="159">
        <f t="shared" si="141"/>
        <v>0.21435316336166196</v>
      </c>
      <c r="M1760" s="159">
        <f t="shared" si="141"/>
        <v>0</v>
      </c>
    </row>
    <row r="1761" spans="2:13">
      <c r="B1761" t="s">
        <v>185</v>
      </c>
      <c r="C1761">
        <f t="shared" si="142"/>
        <v>124</v>
      </c>
      <c r="D1761" t="str">
        <f t="shared" si="139"/>
        <v>MONTPELLIER124</v>
      </c>
      <c r="E1761" t="s">
        <v>186</v>
      </c>
      <c r="F1761" t="str">
        <f t="shared" si="140"/>
        <v>MONTPELLIER124</v>
      </c>
      <c r="G1761" t="s">
        <v>383</v>
      </c>
      <c r="I1761" s="16">
        <v>10.32</v>
      </c>
      <c r="J1761" s="16">
        <v>0</v>
      </c>
      <c r="K1761" s="16">
        <v>0</v>
      </c>
      <c r="L1761" s="159">
        <f t="shared" si="141"/>
        <v>0</v>
      </c>
      <c r="M1761" s="159">
        <f t="shared" si="141"/>
        <v>0</v>
      </c>
    </row>
    <row r="1762" spans="2:13">
      <c r="B1762" t="s">
        <v>185</v>
      </c>
      <c r="C1762">
        <f t="shared" si="142"/>
        <v>125</v>
      </c>
      <c r="D1762" t="str">
        <f t="shared" si="139"/>
        <v>MONTPELLIER125</v>
      </c>
      <c r="E1762" t="s">
        <v>186</v>
      </c>
      <c r="F1762" t="str">
        <f t="shared" si="140"/>
        <v>MONTPELLIER125</v>
      </c>
      <c r="G1762" t="s">
        <v>353</v>
      </c>
      <c r="I1762" s="16">
        <v>10.1</v>
      </c>
      <c r="J1762" s="16">
        <v>4.1900000000000004</v>
      </c>
      <c r="K1762" s="16">
        <v>0</v>
      </c>
      <c r="L1762" s="159">
        <f t="shared" si="141"/>
        <v>0.41485148514851489</v>
      </c>
      <c r="M1762" s="159">
        <f t="shared" si="141"/>
        <v>0</v>
      </c>
    </row>
    <row r="1763" spans="2:13">
      <c r="B1763" t="s">
        <v>185</v>
      </c>
      <c r="C1763">
        <f t="shared" si="142"/>
        <v>126</v>
      </c>
      <c r="D1763" t="str">
        <f t="shared" si="139"/>
        <v>MONTPELLIER126</v>
      </c>
      <c r="E1763" t="s">
        <v>186</v>
      </c>
      <c r="F1763" t="str">
        <f t="shared" si="140"/>
        <v>MONTPELLIER126</v>
      </c>
      <c r="G1763" t="s">
        <v>424</v>
      </c>
      <c r="I1763" s="16">
        <v>10.08</v>
      </c>
      <c r="J1763" s="16">
        <v>10.08</v>
      </c>
      <c r="K1763" s="16">
        <v>0</v>
      </c>
      <c r="L1763" s="159">
        <f t="shared" si="141"/>
        <v>1</v>
      </c>
      <c r="M1763" s="159">
        <f t="shared" si="141"/>
        <v>0</v>
      </c>
    </row>
    <row r="1764" spans="2:13">
      <c r="B1764" t="s">
        <v>185</v>
      </c>
      <c r="C1764">
        <f t="shared" si="142"/>
        <v>127</v>
      </c>
      <c r="D1764" t="str">
        <f t="shared" si="139"/>
        <v>MONTPELLIER127</v>
      </c>
      <c r="E1764" t="s">
        <v>186</v>
      </c>
      <c r="F1764" t="str">
        <f t="shared" si="140"/>
        <v>MONTPELLIER127</v>
      </c>
      <c r="G1764" t="s">
        <v>418</v>
      </c>
      <c r="I1764" s="16">
        <v>9.34</v>
      </c>
      <c r="J1764" s="16">
        <v>3.04</v>
      </c>
      <c r="K1764" s="16">
        <v>0</v>
      </c>
      <c r="L1764" s="159">
        <f t="shared" si="141"/>
        <v>0.32548179871520344</v>
      </c>
      <c r="M1764" s="159">
        <f t="shared" si="141"/>
        <v>0</v>
      </c>
    </row>
    <row r="1765" spans="2:13">
      <c r="B1765" t="s">
        <v>185</v>
      </c>
      <c r="C1765">
        <f t="shared" si="142"/>
        <v>128</v>
      </c>
      <c r="D1765" t="str">
        <f t="shared" si="139"/>
        <v>MONTPELLIER128</v>
      </c>
      <c r="E1765" t="s">
        <v>186</v>
      </c>
      <c r="F1765" t="str">
        <f t="shared" si="140"/>
        <v>MONTPELLIER128</v>
      </c>
      <c r="G1765" t="s">
        <v>415</v>
      </c>
      <c r="I1765" s="16">
        <v>8.8000000000000007</v>
      </c>
      <c r="J1765" s="16">
        <v>0</v>
      </c>
      <c r="K1765" s="16">
        <v>0</v>
      </c>
      <c r="L1765" s="159">
        <f t="shared" si="141"/>
        <v>0</v>
      </c>
      <c r="M1765" s="159">
        <f t="shared" si="141"/>
        <v>0</v>
      </c>
    </row>
    <row r="1766" spans="2:13">
      <c r="B1766" t="s">
        <v>185</v>
      </c>
      <c r="C1766">
        <f t="shared" ref="C1766:C1796" si="143">RANK(I1766,$I$1637:$I$1796,0)</f>
        <v>129</v>
      </c>
      <c r="D1766" t="str">
        <f t="shared" si="139"/>
        <v>MONTPELLIER129</v>
      </c>
      <c r="E1766" t="s">
        <v>186</v>
      </c>
      <c r="F1766" t="str">
        <f t="shared" si="140"/>
        <v>MONTPELLIER129</v>
      </c>
      <c r="G1766" t="s">
        <v>313</v>
      </c>
      <c r="I1766" s="16">
        <v>8.44</v>
      </c>
      <c r="J1766" s="16">
        <v>5.86</v>
      </c>
      <c r="K1766" s="16">
        <v>0</v>
      </c>
      <c r="L1766" s="159">
        <f t="shared" si="141"/>
        <v>0.69431279620853092</v>
      </c>
      <c r="M1766" s="159">
        <f t="shared" si="141"/>
        <v>0</v>
      </c>
    </row>
    <row r="1767" spans="2:13">
      <c r="B1767" t="s">
        <v>185</v>
      </c>
      <c r="C1767">
        <f t="shared" si="143"/>
        <v>130</v>
      </c>
      <c r="D1767" t="str">
        <f t="shared" si="139"/>
        <v>MONTPELLIER130</v>
      </c>
      <c r="E1767" t="s">
        <v>186</v>
      </c>
      <c r="F1767" t="str">
        <f t="shared" si="140"/>
        <v>MONTPELLIER130</v>
      </c>
      <c r="G1767" t="s">
        <v>444</v>
      </c>
      <c r="I1767" s="16">
        <v>8.3800000000000008</v>
      </c>
      <c r="J1767" s="16">
        <v>0</v>
      </c>
      <c r="K1767" s="16">
        <v>0</v>
      </c>
      <c r="L1767" s="159">
        <f t="shared" si="141"/>
        <v>0</v>
      </c>
      <c r="M1767" s="159">
        <f t="shared" si="141"/>
        <v>0</v>
      </c>
    </row>
    <row r="1768" spans="2:13">
      <c r="B1768" t="s">
        <v>185</v>
      </c>
      <c r="C1768">
        <f t="shared" si="143"/>
        <v>131</v>
      </c>
      <c r="D1768" t="str">
        <f t="shared" si="139"/>
        <v>MONTPELLIER131</v>
      </c>
      <c r="E1768" t="s">
        <v>186</v>
      </c>
      <c r="F1768" t="str">
        <f t="shared" si="140"/>
        <v>MONTPELLIER131</v>
      </c>
      <c r="G1768" t="s">
        <v>293</v>
      </c>
      <c r="I1768" s="16">
        <v>8.27</v>
      </c>
      <c r="J1768" s="16">
        <v>1.66</v>
      </c>
      <c r="K1768" s="16">
        <v>0</v>
      </c>
      <c r="L1768" s="159">
        <f t="shared" si="141"/>
        <v>0.20072551390568319</v>
      </c>
      <c r="M1768" s="159">
        <f t="shared" si="141"/>
        <v>0</v>
      </c>
    </row>
    <row r="1769" spans="2:13">
      <c r="B1769" t="s">
        <v>185</v>
      </c>
      <c r="C1769">
        <f t="shared" si="143"/>
        <v>132</v>
      </c>
      <c r="D1769" t="str">
        <f t="shared" si="139"/>
        <v>MONTPELLIER132</v>
      </c>
      <c r="E1769" t="s">
        <v>186</v>
      </c>
      <c r="F1769" t="str">
        <f t="shared" si="140"/>
        <v>MONTPELLIER132</v>
      </c>
      <c r="G1769" t="s">
        <v>278</v>
      </c>
      <c r="H1769" t="s">
        <v>934</v>
      </c>
      <c r="I1769" s="16">
        <v>8.16</v>
      </c>
      <c r="J1769" s="16">
        <v>0</v>
      </c>
      <c r="K1769" s="16">
        <v>0</v>
      </c>
      <c r="L1769" s="159">
        <f t="shared" si="141"/>
        <v>0</v>
      </c>
      <c r="M1769" s="159">
        <f t="shared" si="141"/>
        <v>0</v>
      </c>
    </row>
    <row r="1770" spans="2:13">
      <c r="B1770" t="s">
        <v>185</v>
      </c>
      <c r="C1770">
        <f t="shared" si="143"/>
        <v>133</v>
      </c>
      <c r="D1770" t="str">
        <f t="shared" si="139"/>
        <v>MONTPELLIER133</v>
      </c>
      <c r="E1770" t="s">
        <v>186</v>
      </c>
      <c r="F1770" t="str">
        <f t="shared" si="140"/>
        <v>MONTPELLIER133</v>
      </c>
      <c r="G1770" t="s">
        <v>404</v>
      </c>
      <c r="I1770" s="16">
        <v>7.93</v>
      </c>
      <c r="J1770" s="16">
        <v>0</v>
      </c>
      <c r="K1770" s="16">
        <v>0</v>
      </c>
      <c r="L1770" s="159">
        <f t="shared" si="141"/>
        <v>0</v>
      </c>
      <c r="M1770" s="159">
        <f t="shared" si="141"/>
        <v>0</v>
      </c>
    </row>
    <row r="1771" spans="2:13">
      <c r="B1771" t="s">
        <v>185</v>
      </c>
      <c r="C1771">
        <f t="shared" si="143"/>
        <v>134</v>
      </c>
      <c r="D1771" t="str">
        <f t="shared" si="139"/>
        <v>MONTPELLIER134</v>
      </c>
      <c r="E1771" t="s">
        <v>186</v>
      </c>
      <c r="F1771" t="str">
        <f t="shared" si="140"/>
        <v>MONTPELLIER134</v>
      </c>
      <c r="G1771" t="s">
        <v>417</v>
      </c>
      <c r="I1771" s="16">
        <v>7.75</v>
      </c>
      <c r="J1771" s="16">
        <v>2.67</v>
      </c>
      <c r="K1771" s="16">
        <v>3.42</v>
      </c>
      <c r="L1771" s="159">
        <f t="shared" si="141"/>
        <v>0.34451612903225803</v>
      </c>
      <c r="M1771" s="159">
        <f t="shared" si="141"/>
        <v>0.44129032258064516</v>
      </c>
    </row>
    <row r="1772" spans="2:13">
      <c r="B1772" t="s">
        <v>185</v>
      </c>
      <c r="C1772">
        <f t="shared" si="143"/>
        <v>135</v>
      </c>
      <c r="D1772" t="str">
        <f t="shared" si="139"/>
        <v>MONTPELLIER135</v>
      </c>
      <c r="E1772" t="s">
        <v>186</v>
      </c>
      <c r="F1772" t="str">
        <f t="shared" si="140"/>
        <v>MONTPELLIER135</v>
      </c>
      <c r="G1772" t="s">
        <v>388</v>
      </c>
      <c r="I1772" s="16">
        <v>7.13</v>
      </c>
      <c r="J1772" s="16">
        <v>7.13</v>
      </c>
      <c r="K1772" s="16">
        <v>0</v>
      </c>
      <c r="L1772" s="159">
        <f t="shared" si="141"/>
        <v>1</v>
      </c>
      <c r="M1772" s="159">
        <f t="shared" si="141"/>
        <v>0</v>
      </c>
    </row>
    <row r="1773" spans="2:13">
      <c r="B1773" t="s">
        <v>185</v>
      </c>
      <c r="C1773">
        <f t="shared" si="143"/>
        <v>136</v>
      </c>
      <c r="D1773" t="str">
        <f t="shared" si="139"/>
        <v>MONTPELLIER136</v>
      </c>
      <c r="E1773" t="s">
        <v>186</v>
      </c>
      <c r="F1773" t="str">
        <f t="shared" si="140"/>
        <v>MONTPELLIER136</v>
      </c>
      <c r="G1773" t="s">
        <v>399</v>
      </c>
      <c r="I1773" s="16">
        <v>6.22</v>
      </c>
      <c r="J1773" s="16">
        <v>2.73</v>
      </c>
      <c r="K1773" s="16">
        <v>0</v>
      </c>
      <c r="L1773" s="159">
        <f t="shared" si="141"/>
        <v>0.43890675241157556</v>
      </c>
      <c r="M1773" s="159">
        <f t="shared" si="141"/>
        <v>0</v>
      </c>
    </row>
    <row r="1774" spans="2:13">
      <c r="B1774" t="s">
        <v>185</v>
      </c>
      <c r="C1774">
        <f t="shared" si="143"/>
        <v>137</v>
      </c>
      <c r="D1774" t="str">
        <f t="shared" si="139"/>
        <v>MONTPELLIER137</v>
      </c>
      <c r="E1774" t="s">
        <v>186</v>
      </c>
      <c r="F1774" t="str">
        <f t="shared" si="140"/>
        <v>MONTPELLIER137</v>
      </c>
      <c r="G1774" t="s">
        <v>425</v>
      </c>
      <c r="I1774" s="16">
        <v>6.06</v>
      </c>
      <c r="J1774" s="16">
        <v>0</v>
      </c>
      <c r="K1774" s="16">
        <v>0</v>
      </c>
      <c r="L1774" s="159">
        <f t="shared" si="141"/>
        <v>0</v>
      </c>
      <c r="M1774" s="159">
        <f t="shared" si="141"/>
        <v>0</v>
      </c>
    </row>
    <row r="1775" spans="2:13">
      <c r="B1775" t="s">
        <v>185</v>
      </c>
      <c r="C1775">
        <f t="shared" si="143"/>
        <v>138</v>
      </c>
      <c r="D1775" t="str">
        <f t="shared" si="139"/>
        <v>MONTPELLIER138</v>
      </c>
      <c r="E1775" t="s">
        <v>186</v>
      </c>
      <c r="F1775" t="str">
        <f t="shared" si="140"/>
        <v>MONTPELLIER138</v>
      </c>
      <c r="G1775" t="s">
        <v>452</v>
      </c>
      <c r="H1775" t="s">
        <v>453</v>
      </c>
      <c r="I1775" s="16">
        <v>5.86</v>
      </c>
      <c r="J1775" s="16">
        <v>0</v>
      </c>
      <c r="K1775" s="16">
        <v>0</v>
      </c>
      <c r="L1775" s="159">
        <f t="shared" si="141"/>
        <v>0</v>
      </c>
      <c r="M1775" s="159">
        <f t="shared" si="141"/>
        <v>0</v>
      </c>
    </row>
    <row r="1776" spans="2:13">
      <c r="B1776" t="s">
        <v>185</v>
      </c>
      <c r="C1776">
        <f t="shared" si="143"/>
        <v>139</v>
      </c>
      <c r="D1776" t="str">
        <f t="shared" si="139"/>
        <v>MONTPELLIER139</v>
      </c>
      <c r="E1776" t="s">
        <v>186</v>
      </c>
      <c r="F1776" t="str">
        <f t="shared" si="140"/>
        <v>MONTPELLIER139</v>
      </c>
      <c r="G1776" t="s">
        <v>323</v>
      </c>
      <c r="I1776" s="16">
        <v>5.35</v>
      </c>
      <c r="J1776" s="16">
        <v>5.35</v>
      </c>
      <c r="K1776" s="16">
        <v>0</v>
      </c>
      <c r="L1776" s="159">
        <f t="shared" si="141"/>
        <v>1</v>
      </c>
      <c r="M1776" s="159">
        <f t="shared" si="141"/>
        <v>0</v>
      </c>
    </row>
    <row r="1777" spans="2:13">
      <c r="B1777" t="s">
        <v>185</v>
      </c>
      <c r="C1777">
        <f t="shared" si="143"/>
        <v>140</v>
      </c>
      <c r="D1777" t="str">
        <f t="shared" si="139"/>
        <v>MONTPELLIER140</v>
      </c>
      <c r="E1777" t="s">
        <v>186</v>
      </c>
      <c r="F1777" t="str">
        <f t="shared" si="140"/>
        <v>MONTPELLIER140</v>
      </c>
      <c r="G1777" t="s">
        <v>431</v>
      </c>
      <c r="I1777" s="16">
        <v>4.29</v>
      </c>
      <c r="J1777" s="16">
        <v>0</v>
      </c>
      <c r="K1777" s="16">
        <v>0</v>
      </c>
      <c r="L1777" s="159">
        <f t="shared" si="141"/>
        <v>0</v>
      </c>
      <c r="M1777" s="159">
        <f t="shared" si="141"/>
        <v>0</v>
      </c>
    </row>
    <row r="1778" spans="2:13">
      <c r="B1778" t="s">
        <v>185</v>
      </c>
      <c r="C1778">
        <f t="shared" si="143"/>
        <v>140</v>
      </c>
      <c r="D1778" t="str">
        <f t="shared" si="139"/>
        <v>MONTPELLIER140</v>
      </c>
      <c r="E1778" t="s">
        <v>186</v>
      </c>
      <c r="F1778" t="str">
        <f t="shared" si="140"/>
        <v>MONTPELLIER140</v>
      </c>
      <c r="G1778" t="s">
        <v>445</v>
      </c>
      <c r="I1778" s="16">
        <v>4.29</v>
      </c>
      <c r="J1778" s="16">
        <v>0</v>
      </c>
      <c r="K1778" s="16">
        <v>0</v>
      </c>
      <c r="L1778" s="159">
        <f t="shared" si="141"/>
        <v>0</v>
      </c>
      <c r="M1778" s="159">
        <f t="shared" si="141"/>
        <v>0</v>
      </c>
    </row>
    <row r="1779" spans="2:13">
      <c r="B1779" t="s">
        <v>185</v>
      </c>
      <c r="C1779">
        <f t="shared" si="143"/>
        <v>140</v>
      </c>
      <c r="D1779" t="str">
        <f t="shared" si="139"/>
        <v>MONTPELLIER140</v>
      </c>
      <c r="E1779" t="s">
        <v>186</v>
      </c>
      <c r="F1779" t="str">
        <f t="shared" si="140"/>
        <v>MONTPELLIER140</v>
      </c>
      <c r="G1779" t="s">
        <v>371</v>
      </c>
      <c r="I1779" s="16">
        <v>4.29</v>
      </c>
      <c r="J1779" s="16">
        <v>4.29</v>
      </c>
      <c r="K1779" s="16">
        <v>0</v>
      </c>
      <c r="L1779" s="159">
        <f t="shared" si="141"/>
        <v>1</v>
      </c>
      <c r="M1779" s="159">
        <f t="shared" si="141"/>
        <v>0</v>
      </c>
    </row>
    <row r="1780" spans="2:13">
      <c r="B1780" t="s">
        <v>185</v>
      </c>
      <c r="C1780">
        <f t="shared" si="143"/>
        <v>143</v>
      </c>
      <c r="D1780" t="str">
        <f t="shared" si="139"/>
        <v>MONTPELLIER143</v>
      </c>
      <c r="E1780" t="s">
        <v>186</v>
      </c>
      <c r="F1780" t="str">
        <f t="shared" si="140"/>
        <v>MONTPELLIER143</v>
      </c>
      <c r="G1780" t="s">
        <v>261</v>
      </c>
      <c r="I1780" s="16">
        <v>4.1900000000000004</v>
      </c>
      <c r="J1780" s="16">
        <v>0</v>
      </c>
      <c r="K1780" s="16">
        <v>0</v>
      </c>
      <c r="L1780" s="159">
        <f t="shared" si="141"/>
        <v>0</v>
      </c>
      <c r="M1780" s="159">
        <f t="shared" si="141"/>
        <v>0</v>
      </c>
    </row>
    <row r="1781" spans="2:13">
      <c r="B1781" t="s">
        <v>185</v>
      </c>
      <c r="C1781">
        <f t="shared" si="143"/>
        <v>144</v>
      </c>
      <c r="D1781" t="str">
        <f t="shared" si="139"/>
        <v>MONTPELLIER144</v>
      </c>
      <c r="E1781" t="s">
        <v>186</v>
      </c>
      <c r="F1781" t="str">
        <f t="shared" si="140"/>
        <v>MONTPELLIER144</v>
      </c>
      <c r="G1781" t="s">
        <v>285</v>
      </c>
      <c r="H1781" t="s">
        <v>286</v>
      </c>
      <c r="I1781" s="16">
        <v>3.6</v>
      </c>
      <c r="J1781" s="16">
        <v>3.6</v>
      </c>
      <c r="K1781" s="16">
        <v>0</v>
      </c>
      <c r="L1781" s="159">
        <f t="shared" si="141"/>
        <v>1</v>
      </c>
      <c r="M1781" s="159">
        <f t="shared" si="141"/>
        <v>0</v>
      </c>
    </row>
    <row r="1782" spans="2:13">
      <c r="B1782" t="s">
        <v>185</v>
      </c>
      <c r="C1782">
        <f t="shared" si="143"/>
        <v>145</v>
      </c>
      <c r="D1782" t="str">
        <f t="shared" si="139"/>
        <v>MONTPELLIER145</v>
      </c>
      <c r="E1782" t="s">
        <v>186</v>
      </c>
      <c r="F1782" t="str">
        <f t="shared" si="140"/>
        <v>MONTPELLIER145</v>
      </c>
      <c r="G1782" t="s">
        <v>366</v>
      </c>
      <c r="I1782" s="16">
        <v>3.32</v>
      </c>
      <c r="J1782" s="16">
        <v>0</v>
      </c>
      <c r="K1782" s="16">
        <v>0</v>
      </c>
      <c r="L1782" s="159">
        <f t="shared" si="141"/>
        <v>0</v>
      </c>
      <c r="M1782" s="159">
        <f t="shared" si="141"/>
        <v>0</v>
      </c>
    </row>
    <row r="1783" spans="2:13">
      <c r="B1783" t="s">
        <v>185</v>
      </c>
      <c r="C1783">
        <f t="shared" si="143"/>
        <v>145</v>
      </c>
      <c r="D1783" t="str">
        <f t="shared" si="139"/>
        <v>MONTPELLIER145</v>
      </c>
      <c r="E1783" t="s">
        <v>186</v>
      </c>
      <c r="F1783" t="str">
        <f t="shared" si="140"/>
        <v>MONTPELLIER145</v>
      </c>
      <c r="G1783" t="s">
        <v>397</v>
      </c>
      <c r="I1783" s="16">
        <v>3.32</v>
      </c>
      <c r="J1783" s="16">
        <v>1.66</v>
      </c>
      <c r="K1783" s="16">
        <v>0</v>
      </c>
      <c r="L1783" s="159">
        <f t="shared" si="141"/>
        <v>0.5</v>
      </c>
      <c r="M1783" s="159">
        <f t="shared" si="141"/>
        <v>0</v>
      </c>
    </row>
    <row r="1784" spans="2:13">
      <c r="B1784" t="s">
        <v>185</v>
      </c>
      <c r="C1784">
        <f t="shared" si="143"/>
        <v>145</v>
      </c>
      <c r="D1784" t="str">
        <f t="shared" si="139"/>
        <v>MONTPELLIER145</v>
      </c>
      <c r="E1784" t="s">
        <v>186</v>
      </c>
      <c r="F1784" t="str">
        <f t="shared" si="140"/>
        <v>MONTPELLIER145</v>
      </c>
      <c r="G1784" t="s">
        <v>381</v>
      </c>
      <c r="I1784" s="16">
        <v>3.32</v>
      </c>
      <c r="J1784" s="16">
        <v>1.66</v>
      </c>
      <c r="K1784" s="16">
        <v>0</v>
      </c>
      <c r="L1784" s="159">
        <f t="shared" si="141"/>
        <v>0.5</v>
      </c>
      <c r="M1784" s="159">
        <f t="shared" si="141"/>
        <v>0</v>
      </c>
    </row>
    <row r="1785" spans="2:13">
      <c r="B1785" t="s">
        <v>185</v>
      </c>
      <c r="C1785">
        <f t="shared" si="143"/>
        <v>148</v>
      </c>
      <c r="D1785" t="str">
        <f t="shared" si="139"/>
        <v>MONTPELLIER148</v>
      </c>
      <c r="E1785" t="s">
        <v>186</v>
      </c>
      <c r="F1785" t="str">
        <f t="shared" si="140"/>
        <v>MONTPELLIER148</v>
      </c>
      <c r="G1785" t="s">
        <v>412</v>
      </c>
      <c r="I1785" s="16">
        <v>3.25</v>
      </c>
      <c r="J1785" s="16">
        <v>0</v>
      </c>
      <c r="K1785" s="16">
        <v>0</v>
      </c>
      <c r="L1785" s="159">
        <f t="shared" si="141"/>
        <v>0</v>
      </c>
      <c r="M1785" s="159">
        <f t="shared" si="141"/>
        <v>0</v>
      </c>
    </row>
    <row r="1786" spans="2:13">
      <c r="B1786" t="s">
        <v>185</v>
      </c>
      <c r="C1786">
        <f t="shared" si="143"/>
        <v>149</v>
      </c>
      <c r="D1786" t="str">
        <f t="shared" si="139"/>
        <v>MONTPELLIER149</v>
      </c>
      <c r="E1786" t="s">
        <v>186</v>
      </c>
      <c r="F1786" t="str">
        <f t="shared" si="140"/>
        <v>MONTPELLIER149</v>
      </c>
      <c r="G1786" t="s">
        <v>329</v>
      </c>
      <c r="I1786" s="16">
        <v>3</v>
      </c>
      <c r="J1786" s="16">
        <v>0</v>
      </c>
      <c r="K1786" s="16">
        <v>0</v>
      </c>
      <c r="L1786" s="159">
        <f t="shared" si="141"/>
        <v>0</v>
      </c>
      <c r="M1786" s="159">
        <f t="shared" si="141"/>
        <v>0</v>
      </c>
    </row>
    <row r="1787" spans="2:13">
      <c r="B1787" t="s">
        <v>185</v>
      </c>
      <c r="C1787">
        <f t="shared" si="143"/>
        <v>150</v>
      </c>
      <c r="D1787" t="str">
        <f t="shared" si="139"/>
        <v>MONTPELLIER150</v>
      </c>
      <c r="E1787" t="s">
        <v>186</v>
      </c>
      <c r="F1787" t="str">
        <f t="shared" si="140"/>
        <v>MONTPELLIER150</v>
      </c>
      <c r="G1787" t="s">
        <v>306</v>
      </c>
      <c r="H1787" t="s">
        <v>307</v>
      </c>
      <c r="I1787" s="16">
        <v>2.33</v>
      </c>
      <c r="J1787" s="16">
        <v>0</v>
      </c>
      <c r="K1787" s="16">
        <v>0</v>
      </c>
      <c r="L1787" s="159">
        <f t="shared" si="141"/>
        <v>0</v>
      </c>
      <c r="M1787" s="159">
        <f t="shared" si="141"/>
        <v>0</v>
      </c>
    </row>
    <row r="1788" spans="2:13">
      <c r="B1788" t="s">
        <v>185</v>
      </c>
      <c r="C1788">
        <f t="shared" si="143"/>
        <v>152</v>
      </c>
      <c r="D1788" t="str">
        <f t="shared" si="139"/>
        <v>MONTPELLIER152</v>
      </c>
      <c r="E1788" t="s">
        <v>186</v>
      </c>
      <c r="F1788" t="str">
        <f t="shared" si="140"/>
        <v>MONTPELLIER152</v>
      </c>
      <c r="G1788" t="s">
        <v>448</v>
      </c>
      <c r="I1788" s="16">
        <v>2.0299999999999998</v>
      </c>
      <c r="J1788" s="16">
        <v>0</v>
      </c>
      <c r="K1788" s="16">
        <v>0</v>
      </c>
      <c r="L1788" s="159">
        <f t="shared" si="141"/>
        <v>0</v>
      </c>
      <c r="M1788" s="159">
        <f t="shared" si="141"/>
        <v>0</v>
      </c>
    </row>
    <row r="1789" spans="2:13">
      <c r="B1789" t="s">
        <v>185</v>
      </c>
      <c r="C1789">
        <f t="shared" si="143"/>
        <v>153</v>
      </c>
      <c r="D1789" t="str">
        <f t="shared" si="139"/>
        <v>MONTPELLIER153</v>
      </c>
      <c r="E1789" t="s">
        <v>186</v>
      </c>
      <c r="F1789" t="str">
        <f t="shared" si="140"/>
        <v>MONTPELLIER153</v>
      </c>
      <c r="G1789" t="s">
        <v>237</v>
      </c>
      <c r="I1789" s="16">
        <v>1.98</v>
      </c>
      <c r="J1789" s="16">
        <v>0</v>
      </c>
      <c r="K1789" s="16">
        <v>0</v>
      </c>
      <c r="L1789" s="159">
        <f t="shared" si="141"/>
        <v>0</v>
      </c>
      <c r="M1789" s="159">
        <f t="shared" si="141"/>
        <v>0</v>
      </c>
    </row>
    <row r="1790" spans="2:13">
      <c r="B1790" t="s">
        <v>185</v>
      </c>
      <c r="C1790">
        <f t="shared" si="143"/>
        <v>154</v>
      </c>
      <c r="D1790" t="str">
        <f t="shared" si="139"/>
        <v>MONTPELLIER154</v>
      </c>
      <c r="E1790" t="s">
        <v>186</v>
      </c>
      <c r="F1790" t="str">
        <f t="shared" si="140"/>
        <v>MONTPELLIER154</v>
      </c>
      <c r="G1790" t="s">
        <v>389</v>
      </c>
      <c r="I1790" s="16">
        <v>1.66</v>
      </c>
      <c r="J1790" s="16">
        <v>1.66</v>
      </c>
      <c r="K1790" s="16">
        <v>0</v>
      </c>
      <c r="L1790" s="159">
        <f t="shared" si="141"/>
        <v>1</v>
      </c>
      <c r="M1790" s="159">
        <f t="shared" si="141"/>
        <v>0</v>
      </c>
    </row>
    <row r="1791" spans="2:13">
      <c r="B1791" t="s">
        <v>185</v>
      </c>
      <c r="C1791">
        <f t="shared" si="143"/>
        <v>154</v>
      </c>
      <c r="D1791" t="str">
        <f t="shared" si="139"/>
        <v>MONTPELLIER154</v>
      </c>
      <c r="E1791" t="s">
        <v>186</v>
      </c>
      <c r="F1791" t="str">
        <f t="shared" si="140"/>
        <v>MONTPELLIER154</v>
      </c>
      <c r="G1791" t="s">
        <v>367</v>
      </c>
      <c r="I1791" s="16">
        <v>1.66</v>
      </c>
      <c r="J1791" s="16">
        <v>1.66</v>
      </c>
      <c r="K1791" s="16">
        <v>0</v>
      </c>
      <c r="L1791" s="159">
        <f t="shared" si="141"/>
        <v>1</v>
      </c>
      <c r="M1791" s="159">
        <f t="shared" si="141"/>
        <v>0</v>
      </c>
    </row>
    <row r="1792" spans="2:13">
      <c r="B1792" t="s">
        <v>185</v>
      </c>
      <c r="C1792">
        <f t="shared" si="143"/>
        <v>156</v>
      </c>
      <c r="D1792" t="str">
        <f t="shared" si="139"/>
        <v>MONTPELLIER156</v>
      </c>
      <c r="E1792" t="s">
        <v>186</v>
      </c>
      <c r="F1792" t="str">
        <f t="shared" si="140"/>
        <v>MONTPELLIER156</v>
      </c>
      <c r="G1792" t="s">
        <v>362</v>
      </c>
      <c r="H1792" t="s">
        <v>943</v>
      </c>
      <c r="I1792" s="16">
        <v>1.57</v>
      </c>
      <c r="J1792" s="16">
        <v>1.57</v>
      </c>
      <c r="K1792" s="16">
        <v>0</v>
      </c>
      <c r="L1792" s="159">
        <f t="shared" si="141"/>
        <v>1</v>
      </c>
      <c r="M1792" s="159">
        <f t="shared" si="141"/>
        <v>0</v>
      </c>
    </row>
    <row r="1793" spans="2:13">
      <c r="B1793" t="s">
        <v>185</v>
      </c>
      <c r="C1793">
        <f t="shared" si="143"/>
        <v>157</v>
      </c>
      <c r="D1793" t="str">
        <f t="shared" si="139"/>
        <v>MONTPELLIER157</v>
      </c>
      <c r="E1793" t="s">
        <v>186</v>
      </c>
      <c r="F1793" t="str">
        <f t="shared" si="140"/>
        <v>MONTPELLIER157</v>
      </c>
      <c r="G1793" t="s">
        <v>315</v>
      </c>
      <c r="I1793" s="16">
        <v>1.5</v>
      </c>
      <c r="J1793" s="16">
        <v>0</v>
      </c>
      <c r="K1793" s="16">
        <v>0</v>
      </c>
      <c r="L1793" s="159">
        <f t="shared" si="141"/>
        <v>0</v>
      </c>
      <c r="M1793" s="159">
        <f t="shared" si="141"/>
        <v>0</v>
      </c>
    </row>
    <row r="1794" spans="2:13">
      <c r="B1794" t="s">
        <v>185</v>
      </c>
      <c r="C1794">
        <f t="shared" si="143"/>
        <v>158</v>
      </c>
      <c r="D1794" t="str">
        <f t="shared" ref="D1794:D1857" si="144">CONCATENATE(E1794,C1794)</f>
        <v>MONTPELLIER158</v>
      </c>
      <c r="E1794" t="s">
        <v>186</v>
      </c>
      <c r="F1794" t="str">
        <f t="shared" si="140"/>
        <v>MONTPELLIER158</v>
      </c>
      <c r="G1794" t="s">
        <v>370</v>
      </c>
      <c r="I1794" s="16">
        <v>1.34</v>
      </c>
      <c r="J1794" s="16">
        <v>1.34</v>
      </c>
      <c r="K1794" s="16">
        <v>0</v>
      </c>
      <c r="L1794" s="159">
        <f t="shared" si="141"/>
        <v>1</v>
      </c>
      <c r="M1794" s="159">
        <f t="shared" si="141"/>
        <v>0</v>
      </c>
    </row>
    <row r="1795" spans="2:13">
      <c r="B1795" t="s">
        <v>185</v>
      </c>
      <c r="C1795">
        <f t="shared" si="143"/>
        <v>158</v>
      </c>
      <c r="D1795" t="str">
        <f t="shared" si="144"/>
        <v>MONTPELLIER158</v>
      </c>
      <c r="E1795" t="s">
        <v>186</v>
      </c>
      <c r="F1795" t="str">
        <f t="shared" ref="F1795:F1858" si="145">D1795</f>
        <v>MONTPELLIER158</v>
      </c>
      <c r="G1795" t="s">
        <v>384</v>
      </c>
      <c r="I1795" s="16">
        <v>1.34</v>
      </c>
      <c r="J1795" s="16">
        <v>1.34</v>
      </c>
      <c r="K1795" s="16">
        <v>0</v>
      </c>
      <c r="L1795" s="159">
        <f t="shared" ref="L1795:M1858" si="146">J1795/$I1795</f>
        <v>1</v>
      </c>
      <c r="M1795" s="159">
        <f t="shared" si="146"/>
        <v>0</v>
      </c>
    </row>
    <row r="1796" spans="2:13">
      <c r="B1796" t="s">
        <v>185</v>
      </c>
      <c r="C1796">
        <f t="shared" si="143"/>
        <v>160</v>
      </c>
      <c r="D1796" t="str">
        <f t="shared" si="144"/>
        <v>MONTPELLIER160</v>
      </c>
      <c r="E1796" t="s">
        <v>186</v>
      </c>
      <c r="F1796" t="str">
        <f t="shared" si="145"/>
        <v>MONTPELLIER160</v>
      </c>
      <c r="G1796" t="s">
        <v>456</v>
      </c>
      <c r="I1796" s="16">
        <v>1</v>
      </c>
      <c r="J1796" s="16">
        <v>0</v>
      </c>
      <c r="K1796" s="16">
        <v>1</v>
      </c>
      <c r="L1796" s="159">
        <f t="shared" si="146"/>
        <v>0</v>
      </c>
      <c r="M1796" s="159">
        <f t="shared" si="146"/>
        <v>1</v>
      </c>
    </row>
    <row r="1797" spans="2:13">
      <c r="B1797" t="s">
        <v>189</v>
      </c>
      <c r="C1797">
        <f t="shared" ref="C1797:C1828" si="147">RANK(I1797,$I$1796:$I$1965,0)</f>
        <v>1</v>
      </c>
      <c r="D1797" t="str">
        <f t="shared" si="144"/>
        <v>Bassin Niçois1</v>
      </c>
      <c r="E1797" s="53" t="s">
        <v>995</v>
      </c>
      <c r="F1797" t="str">
        <f t="shared" si="145"/>
        <v>Bassin Niçois1</v>
      </c>
      <c r="G1797" t="s">
        <v>207</v>
      </c>
      <c r="H1797" t="s">
        <v>906</v>
      </c>
      <c r="I1797" s="16">
        <v>1467.47</v>
      </c>
      <c r="J1797" s="16">
        <v>403.91</v>
      </c>
      <c r="K1797" s="16">
        <v>1106.71</v>
      </c>
      <c r="L1797" s="159">
        <f t="shared" si="146"/>
        <v>0.2752424240359258</v>
      </c>
      <c r="M1797" s="159">
        <f t="shared" si="146"/>
        <v>0.75416192494565482</v>
      </c>
    </row>
    <row r="1798" spans="2:13">
      <c r="B1798" t="s">
        <v>189</v>
      </c>
      <c r="C1798">
        <f t="shared" si="147"/>
        <v>2</v>
      </c>
      <c r="D1798" t="str">
        <f t="shared" si="144"/>
        <v>Bassin Niçois2</v>
      </c>
      <c r="E1798" s="53" t="s">
        <v>995</v>
      </c>
      <c r="F1798" t="str">
        <f t="shared" si="145"/>
        <v>Bassin Niçois2</v>
      </c>
      <c r="G1798" t="s">
        <v>212</v>
      </c>
      <c r="H1798" t="s">
        <v>909</v>
      </c>
      <c r="I1798" s="16">
        <v>1188.6600000000001</v>
      </c>
      <c r="J1798" s="16">
        <v>9.2100000000000009</v>
      </c>
      <c r="K1798" s="16">
        <v>328.45</v>
      </c>
      <c r="L1798" s="159">
        <f t="shared" si="146"/>
        <v>7.7482206854777649E-3</v>
      </c>
      <c r="M1798" s="159">
        <f t="shared" si="146"/>
        <v>0.27631955311022494</v>
      </c>
    </row>
    <row r="1799" spans="2:13">
      <c r="B1799" t="s">
        <v>189</v>
      </c>
      <c r="C1799">
        <f t="shared" si="147"/>
        <v>3</v>
      </c>
      <c r="D1799" t="str">
        <f t="shared" si="144"/>
        <v>Bassin Niçois3</v>
      </c>
      <c r="E1799" s="53" t="s">
        <v>995</v>
      </c>
      <c r="F1799" t="str">
        <f t="shared" si="145"/>
        <v>Bassin Niçois3</v>
      </c>
      <c r="G1799" t="s">
        <v>208</v>
      </c>
      <c r="H1799" t="s">
        <v>907</v>
      </c>
      <c r="I1799" s="16">
        <v>1151.05</v>
      </c>
      <c r="J1799" s="16">
        <v>285.22000000000003</v>
      </c>
      <c r="K1799" s="16">
        <v>652.4</v>
      </c>
      <c r="L1799" s="159">
        <f t="shared" si="146"/>
        <v>0.24779114721341386</v>
      </c>
      <c r="M1799" s="159">
        <f t="shared" si="146"/>
        <v>0.56678684679205937</v>
      </c>
    </row>
    <row r="1800" spans="2:13">
      <c r="B1800" t="s">
        <v>189</v>
      </c>
      <c r="C1800">
        <f t="shared" si="147"/>
        <v>4</v>
      </c>
      <c r="D1800" t="str">
        <f t="shared" si="144"/>
        <v>Bassin Niçois4</v>
      </c>
      <c r="E1800" s="53" t="s">
        <v>995</v>
      </c>
      <c r="F1800" t="str">
        <f t="shared" si="145"/>
        <v>Bassin Niçois4</v>
      </c>
      <c r="G1800" t="s">
        <v>235</v>
      </c>
      <c r="H1800" t="s">
        <v>236</v>
      </c>
      <c r="I1800" s="16">
        <v>852.21</v>
      </c>
      <c r="J1800" s="16">
        <v>30</v>
      </c>
      <c r="K1800" s="16">
        <v>5</v>
      </c>
      <c r="L1800" s="159">
        <f t="shared" si="146"/>
        <v>3.5202590910691028E-2</v>
      </c>
      <c r="M1800" s="159">
        <f t="shared" si="146"/>
        <v>5.8670984851151705E-3</v>
      </c>
    </row>
    <row r="1801" spans="2:13">
      <c r="B1801" t="s">
        <v>189</v>
      </c>
      <c r="C1801">
        <f t="shared" si="147"/>
        <v>5</v>
      </c>
      <c r="D1801" t="str">
        <f t="shared" si="144"/>
        <v>Bassin Niçois5</v>
      </c>
      <c r="E1801" s="53" t="s">
        <v>995</v>
      </c>
      <c r="F1801" t="str">
        <f t="shared" si="145"/>
        <v>Bassin Niçois5</v>
      </c>
      <c r="G1801" t="s">
        <v>209</v>
      </c>
      <c r="H1801" t="s">
        <v>210</v>
      </c>
      <c r="I1801" s="16">
        <v>832.24</v>
      </c>
      <c r="J1801" s="16">
        <v>193.64</v>
      </c>
      <c r="K1801" s="16">
        <v>749.17</v>
      </c>
      <c r="L1801" s="159">
        <f t="shared" si="146"/>
        <v>0.23267326732673266</v>
      </c>
      <c r="M1801" s="159">
        <f t="shared" si="146"/>
        <v>0.90018504277612221</v>
      </c>
    </row>
    <row r="1802" spans="2:13">
      <c r="B1802" t="s">
        <v>189</v>
      </c>
      <c r="C1802">
        <f t="shared" si="147"/>
        <v>6</v>
      </c>
      <c r="D1802" t="str">
        <f t="shared" si="144"/>
        <v>Bassin Niçois6</v>
      </c>
      <c r="E1802" s="53" t="s">
        <v>995</v>
      </c>
      <c r="F1802" t="str">
        <f t="shared" si="145"/>
        <v>Bassin Niçois6</v>
      </c>
      <c r="G1802" t="s">
        <v>211</v>
      </c>
      <c r="H1802" t="s">
        <v>908</v>
      </c>
      <c r="I1802" s="16">
        <v>808.28</v>
      </c>
      <c r="J1802" s="16">
        <v>414.74</v>
      </c>
      <c r="K1802" s="16">
        <v>745.96</v>
      </c>
      <c r="L1802" s="159">
        <f t="shared" si="146"/>
        <v>0.51311426733310239</v>
      </c>
      <c r="M1802" s="159">
        <f t="shared" si="146"/>
        <v>0.9228980056416094</v>
      </c>
    </row>
    <row r="1803" spans="2:13">
      <c r="B1803" t="s">
        <v>189</v>
      </c>
      <c r="C1803">
        <f t="shared" si="147"/>
        <v>7</v>
      </c>
      <c r="D1803" t="str">
        <f t="shared" si="144"/>
        <v>Bassin Niçois7</v>
      </c>
      <c r="E1803" s="53" t="s">
        <v>995</v>
      </c>
      <c r="F1803" t="str">
        <f t="shared" si="145"/>
        <v>Bassin Niçois7</v>
      </c>
      <c r="G1803" t="s">
        <v>218</v>
      </c>
      <c r="H1803" t="s">
        <v>911</v>
      </c>
      <c r="I1803" s="16">
        <v>588.02</v>
      </c>
      <c r="J1803" s="16">
        <v>33.520000000000003</v>
      </c>
      <c r="K1803" s="16">
        <v>177.38</v>
      </c>
      <c r="L1803" s="159">
        <f t="shared" si="146"/>
        <v>5.7004863780143543E-2</v>
      </c>
      <c r="M1803" s="159">
        <f t="shared" si="146"/>
        <v>0.30165640624468554</v>
      </c>
    </row>
    <row r="1804" spans="2:13">
      <c r="B1804" t="s">
        <v>189</v>
      </c>
      <c r="C1804">
        <f t="shared" si="147"/>
        <v>8</v>
      </c>
      <c r="D1804" t="str">
        <f t="shared" si="144"/>
        <v>Bassin Niçois8</v>
      </c>
      <c r="E1804" s="53" t="s">
        <v>995</v>
      </c>
      <c r="F1804" t="str">
        <f t="shared" si="145"/>
        <v>Bassin Niçois8</v>
      </c>
      <c r="G1804" t="s">
        <v>214</v>
      </c>
      <c r="H1804" t="s">
        <v>215</v>
      </c>
      <c r="I1804" s="16">
        <v>586.35</v>
      </c>
      <c r="J1804" s="16">
        <v>266.83999999999997</v>
      </c>
      <c r="K1804" s="16">
        <v>367.49</v>
      </c>
      <c r="L1804" s="159">
        <f t="shared" si="146"/>
        <v>0.45508655240044338</v>
      </c>
      <c r="M1804" s="159">
        <f t="shared" si="146"/>
        <v>0.62674170717148459</v>
      </c>
    </row>
    <row r="1805" spans="2:13">
      <c r="B1805" t="s">
        <v>189</v>
      </c>
      <c r="C1805">
        <f t="shared" si="147"/>
        <v>9</v>
      </c>
      <c r="D1805" t="str">
        <f t="shared" si="144"/>
        <v>Bassin Niçois9</v>
      </c>
      <c r="E1805" s="53" t="s">
        <v>995</v>
      </c>
      <c r="F1805" t="str">
        <f t="shared" si="145"/>
        <v>Bassin Niçois9</v>
      </c>
      <c r="G1805" t="s">
        <v>213</v>
      </c>
      <c r="H1805" t="s">
        <v>919</v>
      </c>
      <c r="I1805" s="16">
        <v>569.67999999999995</v>
      </c>
      <c r="J1805" s="16">
        <v>139.71</v>
      </c>
      <c r="K1805" s="16">
        <v>390</v>
      </c>
      <c r="L1805" s="159">
        <f t="shared" si="146"/>
        <v>0.24524294340682493</v>
      </c>
      <c r="M1805" s="159">
        <f t="shared" si="146"/>
        <v>0.68459486027243366</v>
      </c>
    </row>
    <row r="1806" spans="2:13">
      <c r="B1806" t="s">
        <v>189</v>
      </c>
      <c r="C1806">
        <f t="shared" si="147"/>
        <v>10</v>
      </c>
      <c r="D1806" t="str">
        <f t="shared" si="144"/>
        <v>Bassin Niçois10</v>
      </c>
      <c r="E1806" s="53" t="s">
        <v>995</v>
      </c>
      <c r="F1806" t="str">
        <f t="shared" si="145"/>
        <v>Bassin Niçois10</v>
      </c>
      <c r="G1806" t="s">
        <v>220</v>
      </c>
      <c r="H1806" t="s">
        <v>913</v>
      </c>
      <c r="I1806" s="16">
        <v>509.67</v>
      </c>
      <c r="J1806" s="16">
        <v>14.44</v>
      </c>
      <c r="K1806" s="16">
        <v>5</v>
      </c>
      <c r="L1806" s="159">
        <f t="shared" si="146"/>
        <v>2.8332057998312631E-2</v>
      </c>
      <c r="M1806" s="159">
        <f t="shared" si="146"/>
        <v>9.8102693899974492E-3</v>
      </c>
    </row>
    <row r="1807" spans="2:13">
      <c r="B1807" t="s">
        <v>189</v>
      </c>
      <c r="C1807">
        <f t="shared" si="147"/>
        <v>11</v>
      </c>
      <c r="D1807" t="str">
        <f t="shared" si="144"/>
        <v>Bassin Niçois11</v>
      </c>
      <c r="E1807" s="53" t="s">
        <v>995</v>
      </c>
      <c r="F1807" t="str">
        <f t="shared" si="145"/>
        <v>Bassin Niçois11</v>
      </c>
      <c r="G1807" t="s">
        <v>229</v>
      </c>
      <c r="H1807" t="s">
        <v>921</v>
      </c>
      <c r="I1807" s="16">
        <v>501.82</v>
      </c>
      <c r="J1807" s="16">
        <v>126.48</v>
      </c>
      <c r="K1807" s="16">
        <v>170.59</v>
      </c>
      <c r="L1807" s="159">
        <f t="shared" si="146"/>
        <v>0.25204256506317008</v>
      </c>
      <c r="M1807" s="159">
        <f t="shared" si="146"/>
        <v>0.33994260890359096</v>
      </c>
    </row>
    <row r="1808" spans="2:13">
      <c r="B1808" t="s">
        <v>189</v>
      </c>
      <c r="C1808">
        <f t="shared" si="147"/>
        <v>12</v>
      </c>
      <c r="D1808" t="str">
        <f t="shared" si="144"/>
        <v>Bassin Niçois12</v>
      </c>
      <c r="E1808" s="53" t="s">
        <v>995</v>
      </c>
      <c r="F1808" t="str">
        <f t="shared" si="145"/>
        <v>Bassin Niçois12</v>
      </c>
      <c r="G1808" t="s">
        <v>221</v>
      </c>
      <c r="H1808" t="s">
        <v>914</v>
      </c>
      <c r="I1808" s="16">
        <v>486.15</v>
      </c>
      <c r="J1808" s="16">
        <v>61.9</v>
      </c>
      <c r="K1808" s="16">
        <v>197.67</v>
      </c>
      <c r="L1808" s="159">
        <f t="shared" si="146"/>
        <v>0.12732695670060681</v>
      </c>
      <c r="M1808" s="159">
        <f t="shared" si="146"/>
        <v>0.40660290033940139</v>
      </c>
    </row>
    <row r="1809" spans="2:13">
      <c r="B1809" t="s">
        <v>189</v>
      </c>
      <c r="C1809">
        <f t="shared" si="147"/>
        <v>13</v>
      </c>
      <c r="D1809" t="str">
        <f t="shared" si="144"/>
        <v>Bassin Niçois13</v>
      </c>
      <c r="E1809" s="53" t="s">
        <v>995</v>
      </c>
      <c r="F1809" t="str">
        <f t="shared" si="145"/>
        <v>Bassin Niçois13</v>
      </c>
      <c r="G1809" t="s">
        <v>216</v>
      </c>
      <c r="H1809" t="s">
        <v>910</v>
      </c>
      <c r="I1809" s="16">
        <v>483.17</v>
      </c>
      <c r="J1809" s="16">
        <v>358.99</v>
      </c>
      <c r="K1809" s="16">
        <v>32</v>
      </c>
      <c r="L1809" s="159">
        <f t="shared" si="146"/>
        <v>0.74298901007926821</v>
      </c>
      <c r="M1809" s="159">
        <f t="shared" si="146"/>
        <v>6.6229277479975993E-2</v>
      </c>
    </row>
    <row r="1810" spans="2:13">
      <c r="B1810" t="s">
        <v>189</v>
      </c>
      <c r="C1810">
        <f t="shared" si="147"/>
        <v>14</v>
      </c>
      <c r="D1810" t="str">
        <f t="shared" si="144"/>
        <v>Bassin Niçois14</v>
      </c>
      <c r="E1810" s="53" t="s">
        <v>995</v>
      </c>
      <c r="F1810" t="str">
        <f t="shared" si="145"/>
        <v>Bassin Niçois14</v>
      </c>
      <c r="G1810" t="s">
        <v>225</v>
      </c>
      <c r="H1810" t="s">
        <v>1779</v>
      </c>
      <c r="I1810" s="16">
        <v>470.7</v>
      </c>
      <c r="J1810" s="16">
        <v>67.22</v>
      </c>
      <c r="K1810" s="16">
        <v>86.71</v>
      </c>
      <c r="L1810" s="159">
        <f t="shared" si="146"/>
        <v>0.14280858296154664</v>
      </c>
      <c r="M1810" s="159">
        <f t="shared" si="146"/>
        <v>0.18421499893775228</v>
      </c>
    </row>
    <row r="1811" spans="2:13">
      <c r="B1811" t="s">
        <v>189</v>
      </c>
      <c r="C1811">
        <f t="shared" si="147"/>
        <v>15</v>
      </c>
      <c r="D1811" t="str">
        <f t="shared" si="144"/>
        <v>Bassin Niçois15</v>
      </c>
      <c r="E1811" s="53" t="s">
        <v>995</v>
      </c>
      <c r="F1811" t="str">
        <f t="shared" si="145"/>
        <v>Bassin Niçois15</v>
      </c>
      <c r="G1811" t="s">
        <v>222</v>
      </c>
      <c r="H1811" t="s">
        <v>915</v>
      </c>
      <c r="I1811" s="16">
        <v>402.06</v>
      </c>
      <c r="J1811" s="16">
        <v>12.87</v>
      </c>
      <c r="K1811" s="16">
        <v>291.63</v>
      </c>
      <c r="L1811" s="159">
        <f t="shared" si="146"/>
        <v>3.2010147739143409E-2</v>
      </c>
      <c r="M1811" s="159">
        <f t="shared" si="146"/>
        <v>0.72533950156693028</v>
      </c>
    </row>
    <row r="1812" spans="2:13">
      <c r="B1812" t="s">
        <v>189</v>
      </c>
      <c r="C1812">
        <f t="shared" si="147"/>
        <v>16</v>
      </c>
      <c r="D1812" t="str">
        <f t="shared" si="144"/>
        <v>Bassin Niçois16</v>
      </c>
      <c r="E1812" s="53" t="s">
        <v>995</v>
      </c>
      <c r="F1812" t="str">
        <f t="shared" si="145"/>
        <v>Bassin Niçois16</v>
      </c>
      <c r="G1812" t="s">
        <v>224</v>
      </c>
      <c r="H1812" t="s">
        <v>917</v>
      </c>
      <c r="I1812" s="16">
        <v>381.7</v>
      </c>
      <c r="J1812" s="16">
        <v>167.4</v>
      </c>
      <c r="K1812" s="16">
        <v>59.31</v>
      </c>
      <c r="L1812" s="159">
        <f t="shared" si="146"/>
        <v>0.4385643175268536</v>
      </c>
      <c r="M1812" s="159">
        <f t="shared" si="146"/>
        <v>0.15538380927429921</v>
      </c>
    </row>
    <row r="1813" spans="2:13">
      <c r="B1813" t="s">
        <v>189</v>
      </c>
      <c r="C1813">
        <f t="shared" si="147"/>
        <v>17</v>
      </c>
      <c r="D1813" t="str">
        <f t="shared" si="144"/>
        <v>Bassin Niçois17</v>
      </c>
      <c r="E1813" s="53" t="s">
        <v>995</v>
      </c>
      <c r="F1813" t="str">
        <f t="shared" si="145"/>
        <v>Bassin Niçois17</v>
      </c>
      <c r="G1813" t="s">
        <v>219</v>
      </c>
      <c r="H1813" t="s">
        <v>912</v>
      </c>
      <c r="I1813" s="16">
        <v>297.25</v>
      </c>
      <c r="J1813" s="16">
        <v>92.17</v>
      </c>
      <c r="K1813" s="16">
        <v>82.7</v>
      </c>
      <c r="L1813" s="159">
        <f t="shared" si="146"/>
        <v>0.31007569386038686</v>
      </c>
      <c r="M1813" s="159">
        <f t="shared" si="146"/>
        <v>0.27821698906644238</v>
      </c>
    </row>
    <row r="1814" spans="2:13">
      <c r="B1814" t="s">
        <v>189</v>
      </c>
      <c r="C1814">
        <f t="shared" si="147"/>
        <v>18</v>
      </c>
      <c r="D1814" t="str">
        <f t="shared" si="144"/>
        <v>Bassin Niçois18</v>
      </c>
      <c r="E1814" s="53" t="s">
        <v>995</v>
      </c>
      <c r="F1814" t="str">
        <f t="shared" si="145"/>
        <v>Bassin Niçois18</v>
      </c>
      <c r="G1814" t="s">
        <v>246</v>
      </c>
      <c r="H1814" t="s">
        <v>928</v>
      </c>
      <c r="I1814" s="16">
        <v>294.01</v>
      </c>
      <c r="J1814" s="16">
        <v>142.54</v>
      </c>
      <c r="K1814" s="16">
        <v>8</v>
      </c>
      <c r="L1814" s="159">
        <f t="shared" si="146"/>
        <v>0.48481344171966939</v>
      </c>
      <c r="M1814" s="159">
        <f t="shared" si="146"/>
        <v>2.7209958844937248E-2</v>
      </c>
    </row>
    <row r="1815" spans="2:13">
      <c r="B1815" t="s">
        <v>189</v>
      </c>
      <c r="C1815">
        <f t="shared" si="147"/>
        <v>19</v>
      </c>
      <c r="D1815" t="str">
        <f t="shared" si="144"/>
        <v>Bassin Niçois19</v>
      </c>
      <c r="E1815" s="53" t="s">
        <v>995</v>
      </c>
      <c r="F1815" t="str">
        <f t="shared" si="145"/>
        <v>Bassin Niçois19</v>
      </c>
      <c r="G1815" t="s">
        <v>237</v>
      </c>
      <c r="I1815" s="16">
        <v>283.01</v>
      </c>
      <c r="J1815" s="16">
        <v>139.84</v>
      </c>
      <c r="K1815" s="16">
        <v>283.01</v>
      </c>
      <c r="L1815" s="159">
        <f t="shared" si="146"/>
        <v>0.49411681566022403</v>
      </c>
      <c r="M1815" s="159">
        <f t="shared" si="146"/>
        <v>1</v>
      </c>
    </row>
    <row r="1816" spans="2:13">
      <c r="B1816" t="s">
        <v>189</v>
      </c>
      <c r="C1816">
        <f t="shared" si="147"/>
        <v>20</v>
      </c>
      <c r="D1816" t="str">
        <f t="shared" si="144"/>
        <v>Bassin Niçois20</v>
      </c>
      <c r="E1816" s="53" t="s">
        <v>995</v>
      </c>
      <c r="F1816" t="str">
        <f t="shared" si="145"/>
        <v>Bassin Niçois20</v>
      </c>
      <c r="G1816" t="s">
        <v>234</v>
      </c>
      <c r="H1816" t="s">
        <v>923</v>
      </c>
      <c r="I1816" s="16">
        <v>280.8</v>
      </c>
      <c r="J1816" s="16">
        <v>88.02</v>
      </c>
      <c r="K1816" s="16">
        <v>42.25</v>
      </c>
      <c r="L1816" s="159">
        <f t="shared" si="146"/>
        <v>0.31346153846153846</v>
      </c>
      <c r="M1816" s="159">
        <f t="shared" si="146"/>
        <v>0.15046296296296297</v>
      </c>
    </row>
    <row r="1817" spans="2:13">
      <c r="B1817" t="s">
        <v>189</v>
      </c>
      <c r="C1817">
        <f t="shared" si="147"/>
        <v>21</v>
      </c>
      <c r="D1817" t="str">
        <f t="shared" si="144"/>
        <v>Bassin Niçois21</v>
      </c>
      <c r="E1817" s="53" t="s">
        <v>995</v>
      </c>
      <c r="F1817" t="str">
        <f t="shared" si="145"/>
        <v>Bassin Niçois21</v>
      </c>
      <c r="G1817" t="s">
        <v>274</v>
      </c>
      <c r="H1817" t="s">
        <v>275</v>
      </c>
      <c r="I1817" s="16">
        <v>275.36</v>
      </c>
      <c r="J1817" s="16">
        <v>221.88</v>
      </c>
      <c r="K1817" s="16">
        <v>175.36</v>
      </c>
      <c r="L1817" s="159">
        <f t="shared" si="146"/>
        <v>0.80578152237071465</v>
      </c>
      <c r="M1817" s="159">
        <f t="shared" si="146"/>
        <v>0.63683904706565952</v>
      </c>
    </row>
    <row r="1818" spans="2:13">
      <c r="B1818" t="s">
        <v>189</v>
      </c>
      <c r="C1818">
        <f t="shared" si="147"/>
        <v>22</v>
      </c>
      <c r="D1818" t="str">
        <f t="shared" si="144"/>
        <v>Bassin Niçois22</v>
      </c>
      <c r="E1818" s="53" t="s">
        <v>995</v>
      </c>
      <c r="F1818" t="str">
        <f t="shared" si="145"/>
        <v>Bassin Niçois22</v>
      </c>
      <c r="G1818" t="s">
        <v>223</v>
      </c>
      <c r="H1818" t="s">
        <v>916</v>
      </c>
      <c r="I1818" s="16">
        <v>273.88</v>
      </c>
      <c r="J1818" s="16">
        <v>183.68</v>
      </c>
      <c r="K1818" s="16">
        <v>186.2</v>
      </c>
      <c r="L1818" s="159">
        <f t="shared" si="146"/>
        <v>0.67065868263473061</v>
      </c>
      <c r="M1818" s="159">
        <f t="shared" si="146"/>
        <v>0.67985979260990215</v>
      </c>
    </row>
    <row r="1819" spans="2:13">
      <c r="B1819" t="s">
        <v>189</v>
      </c>
      <c r="C1819">
        <f t="shared" si="147"/>
        <v>23</v>
      </c>
      <c r="D1819" t="str">
        <f t="shared" si="144"/>
        <v>Bassin Niçois23</v>
      </c>
      <c r="E1819" s="53" t="s">
        <v>995</v>
      </c>
      <c r="F1819" t="str">
        <f t="shared" si="145"/>
        <v>Bassin Niçois23</v>
      </c>
      <c r="G1819" t="s">
        <v>228</v>
      </c>
      <c r="I1819" s="16">
        <v>272.8</v>
      </c>
      <c r="J1819" s="16">
        <v>156.94</v>
      </c>
      <c r="K1819" s="16">
        <v>14.39</v>
      </c>
      <c r="L1819" s="159">
        <f t="shared" si="146"/>
        <v>0.57529325513196483</v>
      </c>
      <c r="M1819" s="159">
        <f t="shared" si="146"/>
        <v>5.2749266862170088E-2</v>
      </c>
    </row>
    <row r="1820" spans="2:13">
      <c r="B1820" t="s">
        <v>189</v>
      </c>
      <c r="C1820">
        <f t="shared" si="147"/>
        <v>24</v>
      </c>
      <c r="D1820" t="str">
        <f t="shared" si="144"/>
        <v>Bassin Niçois24</v>
      </c>
      <c r="E1820" s="53" t="s">
        <v>995</v>
      </c>
      <c r="F1820" t="str">
        <f t="shared" si="145"/>
        <v>Bassin Niçois24</v>
      </c>
      <c r="G1820" t="s">
        <v>244</v>
      </c>
      <c r="I1820" s="16">
        <v>267.33</v>
      </c>
      <c r="J1820" s="16">
        <v>65.36</v>
      </c>
      <c r="K1820" s="16">
        <v>161.55000000000001</v>
      </c>
      <c r="L1820" s="159">
        <f t="shared" si="146"/>
        <v>0.24449182658137883</v>
      </c>
      <c r="M1820" s="159">
        <f t="shared" si="146"/>
        <v>0.60430928066434753</v>
      </c>
    </row>
    <row r="1821" spans="2:13">
      <c r="B1821" t="s">
        <v>189</v>
      </c>
      <c r="C1821">
        <f t="shared" si="147"/>
        <v>25</v>
      </c>
      <c r="D1821" t="str">
        <f t="shared" si="144"/>
        <v>Bassin Niçois25</v>
      </c>
      <c r="E1821" s="53" t="s">
        <v>995</v>
      </c>
      <c r="F1821" t="str">
        <f t="shared" si="145"/>
        <v>Bassin Niçois25</v>
      </c>
      <c r="G1821" t="s">
        <v>226</v>
      </c>
      <c r="H1821" t="s">
        <v>227</v>
      </c>
      <c r="I1821" s="16">
        <v>245.07</v>
      </c>
      <c r="J1821" s="16">
        <v>63.29</v>
      </c>
      <c r="K1821" s="16">
        <v>110.91</v>
      </c>
      <c r="L1821" s="159">
        <f t="shared" si="146"/>
        <v>0.25825274411392662</v>
      </c>
      <c r="M1821" s="159">
        <f t="shared" si="146"/>
        <v>0.45256457338719547</v>
      </c>
    </row>
    <row r="1822" spans="2:13">
      <c r="B1822" t="s">
        <v>189</v>
      </c>
      <c r="C1822">
        <f t="shared" si="147"/>
        <v>26</v>
      </c>
      <c r="D1822" t="str">
        <f t="shared" si="144"/>
        <v>Bassin Niçois26</v>
      </c>
      <c r="E1822" s="53" t="s">
        <v>995</v>
      </c>
      <c r="F1822" t="str">
        <f t="shared" si="145"/>
        <v>Bassin Niçois26</v>
      </c>
      <c r="G1822" t="s">
        <v>238</v>
      </c>
      <c r="H1822" t="s">
        <v>924</v>
      </c>
      <c r="I1822" s="16">
        <v>240.12</v>
      </c>
      <c r="J1822" s="16">
        <v>127.91</v>
      </c>
      <c r="K1822" s="16">
        <v>15.96</v>
      </c>
      <c r="L1822" s="159">
        <f t="shared" si="146"/>
        <v>0.5326919873396635</v>
      </c>
      <c r="M1822" s="159">
        <f t="shared" si="146"/>
        <v>6.6466766616691653E-2</v>
      </c>
    </row>
    <row r="1823" spans="2:13">
      <c r="B1823" t="s">
        <v>189</v>
      </c>
      <c r="C1823">
        <f t="shared" si="147"/>
        <v>27</v>
      </c>
      <c r="D1823" t="str">
        <f t="shared" si="144"/>
        <v>Bassin Niçois27</v>
      </c>
      <c r="E1823" s="53" t="s">
        <v>995</v>
      </c>
      <c r="F1823" t="str">
        <f t="shared" si="145"/>
        <v>Bassin Niçois27</v>
      </c>
      <c r="G1823" t="s">
        <v>245</v>
      </c>
      <c r="I1823" s="16">
        <v>219.87</v>
      </c>
      <c r="J1823" s="16">
        <v>4.04</v>
      </c>
      <c r="K1823" s="16">
        <v>211.79</v>
      </c>
      <c r="L1823" s="159">
        <f t="shared" si="146"/>
        <v>1.8374494019193159E-2</v>
      </c>
      <c r="M1823" s="159">
        <f t="shared" si="146"/>
        <v>0.96325101196161367</v>
      </c>
    </row>
    <row r="1824" spans="2:13">
      <c r="B1824" t="s">
        <v>189</v>
      </c>
      <c r="C1824">
        <f t="shared" si="147"/>
        <v>28</v>
      </c>
      <c r="D1824" t="str">
        <f t="shared" si="144"/>
        <v>Bassin Niçois28</v>
      </c>
      <c r="E1824" s="53" t="s">
        <v>995</v>
      </c>
      <c r="F1824" t="str">
        <f t="shared" si="145"/>
        <v>Bassin Niçois28</v>
      </c>
      <c r="G1824" t="s">
        <v>230</v>
      </c>
      <c r="H1824" t="s">
        <v>231</v>
      </c>
      <c r="I1824" s="16">
        <v>216.83</v>
      </c>
      <c r="J1824" s="16">
        <v>130.03</v>
      </c>
      <c r="K1824" s="16">
        <v>133.76</v>
      </c>
      <c r="L1824" s="159">
        <f t="shared" si="146"/>
        <v>0.59968639025965043</v>
      </c>
      <c r="M1824" s="159">
        <f t="shared" si="146"/>
        <v>0.61688880689941417</v>
      </c>
    </row>
    <row r="1825" spans="2:13">
      <c r="B1825" t="s">
        <v>189</v>
      </c>
      <c r="C1825">
        <f t="shared" si="147"/>
        <v>29</v>
      </c>
      <c r="D1825" t="str">
        <f t="shared" si="144"/>
        <v>Bassin Niçois29</v>
      </c>
      <c r="E1825" s="53" t="s">
        <v>995</v>
      </c>
      <c r="F1825" t="str">
        <f t="shared" si="145"/>
        <v>Bassin Niçois29</v>
      </c>
      <c r="G1825" t="s">
        <v>241</v>
      </c>
      <c r="H1825" t="s">
        <v>927</v>
      </c>
      <c r="I1825" s="16">
        <v>208.21</v>
      </c>
      <c r="J1825" s="16">
        <v>87.1</v>
      </c>
      <c r="K1825" s="16">
        <v>96.9</v>
      </c>
      <c r="L1825" s="159">
        <f t="shared" si="146"/>
        <v>0.41832764996878147</v>
      </c>
      <c r="M1825" s="159">
        <f t="shared" si="146"/>
        <v>0.46539551414437347</v>
      </c>
    </row>
    <row r="1826" spans="2:13">
      <c r="B1826" t="s">
        <v>189</v>
      </c>
      <c r="C1826">
        <f t="shared" si="147"/>
        <v>30</v>
      </c>
      <c r="D1826" t="str">
        <f t="shared" si="144"/>
        <v>Bassin Niçois30</v>
      </c>
      <c r="E1826" s="53" t="s">
        <v>995</v>
      </c>
      <c r="F1826" t="str">
        <f t="shared" si="145"/>
        <v>Bassin Niçois30</v>
      </c>
      <c r="G1826" t="s">
        <v>239</v>
      </c>
      <c r="H1826" t="s">
        <v>925</v>
      </c>
      <c r="I1826" s="16">
        <v>203.15</v>
      </c>
      <c r="J1826" s="16">
        <v>78.25</v>
      </c>
      <c r="K1826" s="16">
        <v>146.4</v>
      </c>
      <c r="L1826" s="159">
        <f t="shared" si="146"/>
        <v>0.38518336204774795</v>
      </c>
      <c r="M1826" s="159">
        <f t="shared" si="146"/>
        <v>0.72064976618262366</v>
      </c>
    </row>
    <row r="1827" spans="2:13">
      <c r="B1827" t="s">
        <v>189</v>
      </c>
      <c r="C1827">
        <f t="shared" si="147"/>
        <v>31</v>
      </c>
      <c r="D1827" t="str">
        <f t="shared" si="144"/>
        <v>Bassin Niçois31</v>
      </c>
      <c r="E1827" s="53" t="s">
        <v>995</v>
      </c>
      <c r="F1827" t="str">
        <f t="shared" si="145"/>
        <v>Bassin Niçois31</v>
      </c>
      <c r="G1827" t="s">
        <v>232</v>
      </c>
      <c r="H1827" t="s">
        <v>922</v>
      </c>
      <c r="I1827" s="16">
        <v>172.62</v>
      </c>
      <c r="J1827" s="16">
        <v>113.39</v>
      </c>
      <c r="K1827" s="16">
        <v>43.42</v>
      </c>
      <c r="L1827" s="159">
        <f t="shared" si="146"/>
        <v>0.656876375854478</v>
      </c>
      <c r="M1827" s="159">
        <f t="shared" si="146"/>
        <v>0.25153516394392306</v>
      </c>
    </row>
    <row r="1828" spans="2:13">
      <c r="B1828" t="s">
        <v>189</v>
      </c>
      <c r="C1828">
        <f t="shared" si="147"/>
        <v>32</v>
      </c>
      <c r="D1828" t="str">
        <f t="shared" si="144"/>
        <v>Bassin Niçois32</v>
      </c>
      <c r="E1828" s="53" t="s">
        <v>995</v>
      </c>
      <c r="F1828" t="str">
        <f t="shared" si="145"/>
        <v>Bassin Niçois32</v>
      </c>
      <c r="G1828" t="s">
        <v>276</v>
      </c>
      <c r="H1828" t="s">
        <v>933</v>
      </c>
      <c r="I1828" s="16">
        <v>162.35</v>
      </c>
      <c r="J1828" s="16">
        <v>17.7</v>
      </c>
      <c r="K1828" s="16">
        <v>0</v>
      </c>
      <c r="L1828" s="159">
        <f t="shared" si="146"/>
        <v>0.10902371419772097</v>
      </c>
      <c r="M1828" s="159">
        <f t="shared" si="146"/>
        <v>0</v>
      </c>
    </row>
    <row r="1829" spans="2:13">
      <c r="B1829" t="s">
        <v>189</v>
      </c>
      <c r="C1829">
        <f t="shared" ref="C1829:C1860" si="148">RANK(I1829,$I$1796:$I$1965,0)</f>
        <v>33</v>
      </c>
      <c r="D1829" t="str">
        <f t="shared" si="144"/>
        <v>Bassin Niçois33</v>
      </c>
      <c r="E1829" s="53" t="s">
        <v>995</v>
      </c>
      <c r="F1829" t="str">
        <f t="shared" si="145"/>
        <v>Bassin Niçois33</v>
      </c>
      <c r="G1829" t="s">
        <v>233</v>
      </c>
      <c r="I1829" s="16">
        <v>160.19999999999999</v>
      </c>
      <c r="J1829" s="16">
        <v>7.2</v>
      </c>
      <c r="K1829" s="16">
        <v>160.19999999999999</v>
      </c>
      <c r="L1829" s="159">
        <f t="shared" si="146"/>
        <v>4.4943820224719107E-2</v>
      </c>
      <c r="M1829" s="159">
        <f t="shared" si="146"/>
        <v>1</v>
      </c>
    </row>
    <row r="1830" spans="2:13">
      <c r="B1830" t="s">
        <v>189</v>
      </c>
      <c r="C1830">
        <f t="shared" si="148"/>
        <v>34</v>
      </c>
      <c r="D1830" t="str">
        <f t="shared" si="144"/>
        <v>Bassin Niçois34</v>
      </c>
      <c r="E1830" s="53" t="s">
        <v>995</v>
      </c>
      <c r="F1830" t="str">
        <f t="shared" si="145"/>
        <v>Bassin Niçois34</v>
      </c>
      <c r="G1830" t="s">
        <v>247</v>
      </c>
      <c r="H1830" t="s">
        <v>248</v>
      </c>
      <c r="I1830" s="16">
        <v>146.32</v>
      </c>
      <c r="J1830" s="16">
        <v>45.73</v>
      </c>
      <c r="K1830" s="16">
        <v>34.049999999999997</v>
      </c>
      <c r="L1830" s="159">
        <f t="shared" si="146"/>
        <v>0.31253417167851283</v>
      </c>
      <c r="M1830" s="159">
        <f t="shared" si="146"/>
        <v>0.23270913067249863</v>
      </c>
    </row>
    <row r="1831" spans="2:13">
      <c r="B1831" t="s">
        <v>189</v>
      </c>
      <c r="C1831">
        <f t="shared" si="148"/>
        <v>35</v>
      </c>
      <c r="D1831" t="str">
        <f t="shared" si="144"/>
        <v>Bassin Niçois35</v>
      </c>
      <c r="E1831" s="53" t="s">
        <v>995</v>
      </c>
      <c r="F1831" t="str">
        <f t="shared" si="145"/>
        <v>Bassin Niçois35</v>
      </c>
      <c r="G1831" t="s">
        <v>240</v>
      </c>
      <c r="H1831" t="s">
        <v>926</v>
      </c>
      <c r="I1831" s="16">
        <v>133.15</v>
      </c>
      <c r="J1831" s="16">
        <v>20.36</v>
      </c>
      <c r="K1831" s="16">
        <v>38.58</v>
      </c>
      <c r="L1831" s="159">
        <f t="shared" si="146"/>
        <v>0.1529102515959444</v>
      </c>
      <c r="M1831" s="159">
        <f t="shared" si="146"/>
        <v>0.28974840405557639</v>
      </c>
    </row>
    <row r="1832" spans="2:13">
      <c r="B1832" t="s">
        <v>189</v>
      </c>
      <c r="C1832">
        <f t="shared" si="148"/>
        <v>36</v>
      </c>
      <c r="D1832" t="str">
        <f t="shared" si="144"/>
        <v>Bassin Niçois36</v>
      </c>
      <c r="E1832" s="53" t="s">
        <v>995</v>
      </c>
      <c r="F1832" t="str">
        <f t="shared" si="145"/>
        <v>Bassin Niçois36</v>
      </c>
      <c r="G1832" t="s">
        <v>249</v>
      </c>
      <c r="I1832" s="16">
        <v>132.97999999999999</v>
      </c>
      <c r="J1832" s="16">
        <v>47.82</v>
      </c>
      <c r="K1832" s="16">
        <v>38.049999999999997</v>
      </c>
      <c r="L1832" s="159">
        <f t="shared" si="146"/>
        <v>0.35960294781170105</v>
      </c>
      <c r="M1832" s="159">
        <f t="shared" si="146"/>
        <v>0.28613325312077004</v>
      </c>
    </row>
    <row r="1833" spans="2:13">
      <c r="B1833" t="s">
        <v>189</v>
      </c>
      <c r="C1833">
        <f t="shared" si="148"/>
        <v>37</v>
      </c>
      <c r="D1833" t="str">
        <f t="shared" si="144"/>
        <v>Bassin Niçois37</v>
      </c>
      <c r="E1833" s="53" t="s">
        <v>995</v>
      </c>
      <c r="F1833" t="str">
        <f t="shared" si="145"/>
        <v>Bassin Niçois37</v>
      </c>
      <c r="G1833" t="s">
        <v>289</v>
      </c>
      <c r="H1833" t="s">
        <v>935</v>
      </c>
      <c r="I1833" s="16">
        <v>122.07</v>
      </c>
      <c r="J1833" s="16">
        <v>100.33</v>
      </c>
      <c r="K1833" s="16">
        <v>24.97</v>
      </c>
      <c r="L1833" s="159">
        <f t="shared" si="146"/>
        <v>0.82190546407798803</v>
      </c>
      <c r="M1833" s="159">
        <f t="shared" si="146"/>
        <v>0.20455476366019498</v>
      </c>
    </row>
    <row r="1834" spans="2:13">
      <c r="B1834" t="s">
        <v>189</v>
      </c>
      <c r="C1834">
        <f t="shared" si="148"/>
        <v>38</v>
      </c>
      <c r="D1834" t="str">
        <f t="shared" si="144"/>
        <v>Bassin Niçois38</v>
      </c>
      <c r="E1834" s="53" t="s">
        <v>995</v>
      </c>
      <c r="F1834" t="str">
        <f t="shared" si="145"/>
        <v>Bassin Niçois38</v>
      </c>
      <c r="G1834" t="s">
        <v>252</v>
      </c>
      <c r="H1834" t="s">
        <v>930</v>
      </c>
      <c r="I1834" s="16">
        <v>121.48</v>
      </c>
      <c r="J1834" s="16">
        <v>41.32</v>
      </c>
      <c r="K1834" s="16">
        <v>54.9</v>
      </c>
      <c r="L1834" s="159">
        <f t="shared" si="146"/>
        <v>0.34013829436944354</v>
      </c>
      <c r="M1834" s="159">
        <f t="shared" si="146"/>
        <v>0.45192624300296341</v>
      </c>
    </row>
    <row r="1835" spans="2:13">
      <c r="B1835" t="s">
        <v>189</v>
      </c>
      <c r="C1835">
        <f t="shared" si="148"/>
        <v>39</v>
      </c>
      <c r="D1835" t="str">
        <f t="shared" si="144"/>
        <v>Bassin Niçois39</v>
      </c>
      <c r="E1835" s="53" t="s">
        <v>995</v>
      </c>
      <c r="F1835" t="str">
        <f t="shared" si="145"/>
        <v>Bassin Niçois39</v>
      </c>
      <c r="G1835" t="s">
        <v>255</v>
      </c>
      <c r="H1835" t="s">
        <v>256</v>
      </c>
      <c r="I1835" s="16">
        <v>118.92</v>
      </c>
      <c r="J1835" s="16">
        <v>0</v>
      </c>
      <c r="K1835" s="16">
        <v>96.76</v>
      </c>
      <c r="L1835" s="159">
        <f t="shared" si="146"/>
        <v>0</v>
      </c>
      <c r="M1835" s="159">
        <f t="shared" si="146"/>
        <v>0.813656239488732</v>
      </c>
    </row>
    <row r="1836" spans="2:13">
      <c r="B1836" t="s">
        <v>189</v>
      </c>
      <c r="C1836">
        <f t="shared" si="148"/>
        <v>40</v>
      </c>
      <c r="D1836" t="str">
        <f t="shared" si="144"/>
        <v>Bassin Niçois40</v>
      </c>
      <c r="E1836" s="53" t="s">
        <v>995</v>
      </c>
      <c r="F1836" t="str">
        <f t="shared" si="145"/>
        <v>Bassin Niçois40</v>
      </c>
      <c r="G1836" t="s">
        <v>253</v>
      </c>
      <c r="I1836" s="16">
        <v>114.52</v>
      </c>
      <c r="J1836" s="16">
        <v>62.12</v>
      </c>
      <c r="K1836" s="16">
        <v>54.73</v>
      </c>
      <c r="L1836" s="159">
        <f t="shared" si="146"/>
        <v>0.54243800209570381</v>
      </c>
      <c r="M1836" s="159">
        <f t="shared" si="146"/>
        <v>0.47790778903248338</v>
      </c>
    </row>
    <row r="1837" spans="2:13">
      <c r="B1837" t="s">
        <v>189</v>
      </c>
      <c r="C1837">
        <f t="shared" si="148"/>
        <v>41</v>
      </c>
      <c r="D1837" t="str">
        <f t="shared" si="144"/>
        <v>Bassin Niçois41</v>
      </c>
      <c r="E1837" s="53" t="s">
        <v>995</v>
      </c>
      <c r="F1837" t="str">
        <f t="shared" si="145"/>
        <v>Bassin Niçois41</v>
      </c>
      <c r="G1837" t="s">
        <v>242</v>
      </c>
      <c r="H1837" t="s">
        <v>243</v>
      </c>
      <c r="I1837" s="16">
        <v>114.38</v>
      </c>
      <c r="J1837" s="16">
        <v>73.72</v>
      </c>
      <c r="K1837" s="16">
        <v>0</v>
      </c>
      <c r="L1837" s="159">
        <f t="shared" si="146"/>
        <v>0.64451827242524917</v>
      </c>
      <c r="M1837" s="159">
        <f t="shared" si="146"/>
        <v>0</v>
      </c>
    </row>
    <row r="1838" spans="2:13">
      <c r="B1838" t="s">
        <v>189</v>
      </c>
      <c r="C1838">
        <f t="shared" si="148"/>
        <v>42</v>
      </c>
      <c r="D1838" t="str">
        <f t="shared" si="144"/>
        <v>Bassin Niçois42</v>
      </c>
      <c r="E1838" s="53" t="s">
        <v>995</v>
      </c>
      <c r="F1838" t="str">
        <f t="shared" si="145"/>
        <v>Bassin Niçois42</v>
      </c>
      <c r="G1838" t="s">
        <v>278</v>
      </c>
      <c r="H1838" t="s">
        <v>934</v>
      </c>
      <c r="I1838" s="16">
        <v>113.93</v>
      </c>
      <c r="J1838" s="16">
        <v>6.17</v>
      </c>
      <c r="K1838" s="16">
        <v>64.86</v>
      </c>
      <c r="L1838" s="159">
        <f t="shared" si="146"/>
        <v>5.4156060739050292E-2</v>
      </c>
      <c r="M1838" s="159">
        <f t="shared" si="146"/>
        <v>0.56929693671552706</v>
      </c>
    </row>
    <row r="1839" spans="2:13">
      <c r="B1839" t="s">
        <v>189</v>
      </c>
      <c r="C1839">
        <f t="shared" si="148"/>
        <v>43</v>
      </c>
      <c r="D1839" t="str">
        <f t="shared" si="144"/>
        <v>Bassin Niçois43</v>
      </c>
      <c r="E1839" s="53" t="s">
        <v>995</v>
      </c>
      <c r="F1839" t="str">
        <f t="shared" si="145"/>
        <v>Bassin Niçois43</v>
      </c>
      <c r="G1839" t="s">
        <v>290</v>
      </c>
      <c r="H1839" t="s">
        <v>291</v>
      </c>
      <c r="I1839" s="16">
        <v>110.53</v>
      </c>
      <c r="J1839" s="16">
        <v>40.92</v>
      </c>
      <c r="K1839" s="16">
        <v>0</v>
      </c>
      <c r="L1839" s="159">
        <f t="shared" si="146"/>
        <v>0.37021623088754185</v>
      </c>
      <c r="M1839" s="159">
        <f t="shared" si="146"/>
        <v>0</v>
      </c>
    </row>
    <row r="1840" spans="2:13">
      <c r="B1840" t="s">
        <v>189</v>
      </c>
      <c r="C1840">
        <f t="shared" si="148"/>
        <v>44</v>
      </c>
      <c r="D1840" t="str">
        <f t="shared" si="144"/>
        <v>Bassin Niçois44</v>
      </c>
      <c r="E1840" s="53" t="s">
        <v>995</v>
      </c>
      <c r="F1840" t="str">
        <f t="shared" si="145"/>
        <v>Bassin Niçois44</v>
      </c>
      <c r="G1840" t="s">
        <v>443</v>
      </c>
      <c r="I1840" s="16">
        <v>110</v>
      </c>
      <c r="J1840" s="16">
        <v>0</v>
      </c>
      <c r="K1840" s="16">
        <v>0</v>
      </c>
      <c r="L1840" s="159">
        <f t="shared" si="146"/>
        <v>0</v>
      </c>
      <c r="M1840" s="159">
        <f t="shared" si="146"/>
        <v>0</v>
      </c>
    </row>
    <row r="1841" spans="2:13">
      <c r="B1841" t="s">
        <v>189</v>
      </c>
      <c r="C1841">
        <f t="shared" si="148"/>
        <v>45</v>
      </c>
      <c r="D1841" t="str">
        <f t="shared" si="144"/>
        <v>Bassin Niçois45</v>
      </c>
      <c r="E1841" s="53" t="s">
        <v>995</v>
      </c>
      <c r="F1841" t="str">
        <f t="shared" si="145"/>
        <v>Bassin Niçois45</v>
      </c>
      <c r="G1841" t="s">
        <v>254</v>
      </c>
      <c r="H1841" t="s">
        <v>931</v>
      </c>
      <c r="I1841" s="16">
        <v>109.67</v>
      </c>
      <c r="J1841" s="16">
        <v>21.55</v>
      </c>
      <c r="K1841" s="16">
        <v>0</v>
      </c>
      <c r="L1841" s="159">
        <f t="shared" si="146"/>
        <v>0.1964985866690982</v>
      </c>
      <c r="M1841" s="159">
        <f t="shared" si="146"/>
        <v>0</v>
      </c>
    </row>
    <row r="1842" spans="2:13">
      <c r="B1842" t="s">
        <v>189</v>
      </c>
      <c r="C1842">
        <f t="shared" si="148"/>
        <v>46</v>
      </c>
      <c r="D1842" t="str">
        <f t="shared" si="144"/>
        <v>Bassin Niçois46</v>
      </c>
      <c r="E1842" s="53" t="s">
        <v>995</v>
      </c>
      <c r="F1842" t="str">
        <f t="shared" si="145"/>
        <v>Bassin Niçois46</v>
      </c>
      <c r="G1842" t="s">
        <v>251</v>
      </c>
      <c r="H1842" t="s">
        <v>929</v>
      </c>
      <c r="I1842" s="16">
        <v>109.6</v>
      </c>
      <c r="J1842" s="16">
        <v>53.57</v>
      </c>
      <c r="K1842" s="16">
        <v>69.400000000000006</v>
      </c>
      <c r="L1842" s="159">
        <f t="shared" si="146"/>
        <v>0.48877737226277373</v>
      </c>
      <c r="M1842" s="159">
        <f t="shared" si="146"/>
        <v>0.63321167883211682</v>
      </c>
    </row>
    <row r="1843" spans="2:13">
      <c r="B1843" t="s">
        <v>189</v>
      </c>
      <c r="C1843">
        <f t="shared" si="148"/>
        <v>47</v>
      </c>
      <c r="D1843" t="str">
        <f t="shared" si="144"/>
        <v>Bassin Niçois47</v>
      </c>
      <c r="E1843" s="53" t="s">
        <v>995</v>
      </c>
      <c r="F1843" t="str">
        <f t="shared" si="145"/>
        <v>Bassin Niçois47</v>
      </c>
      <c r="G1843" t="s">
        <v>257</v>
      </c>
      <c r="I1843" s="16">
        <v>96.47</v>
      </c>
      <c r="J1843" s="16">
        <v>35.24</v>
      </c>
      <c r="K1843" s="16">
        <v>7.52</v>
      </c>
      <c r="L1843" s="159">
        <f t="shared" si="146"/>
        <v>0.36529491033481915</v>
      </c>
      <c r="M1843" s="159">
        <f t="shared" si="146"/>
        <v>7.7951694827407478E-2</v>
      </c>
    </row>
    <row r="1844" spans="2:13">
      <c r="B1844" t="s">
        <v>189</v>
      </c>
      <c r="C1844">
        <f t="shared" si="148"/>
        <v>48</v>
      </c>
      <c r="D1844" t="str">
        <f t="shared" si="144"/>
        <v>Bassin Niçois48</v>
      </c>
      <c r="E1844" s="53" t="s">
        <v>995</v>
      </c>
      <c r="F1844" t="str">
        <f t="shared" si="145"/>
        <v>Bassin Niçois48</v>
      </c>
      <c r="G1844" t="s">
        <v>270</v>
      </c>
      <c r="I1844" s="16">
        <v>93.71</v>
      </c>
      <c r="J1844" s="16">
        <v>71.06</v>
      </c>
      <c r="K1844" s="16">
        <v>3.05</v>
      </c>
      <c r="L1844" s="159">
        <f t="shared" si="146"/>
        <v>0.75829687333262197</v>
      </c>
      <c r="M1844" s="159">
        <f t="shared" si="146"/>
        <v>3.2547220147262836E-2</v>
      </c>
    </row>
    <row r="1845" spans="2:13">
      <c r="B1845" t="s">
        <v>189</v>
      </c>
      <c r="C1845">
        <f t="shared" si="148"/>
        <v>49</v>
      </c>
      <c r="D1845" t="str">
        <f t="shared" si="144"/>
        <v>Bassin Niçois49</v>
      </c>
      <c r="E1845" s="53" t="s">
        <v>995</v>
      </c>
      <c r="F1845" t="str">
        <f t="shared" si="145"/>
        <v>Bassin Niçois49</v>
      </c>
      <c r="G1845" t="s">
        <v>325</v>
      </c>
      <c r="H1845" t="s">
        <v>938</v>
      </c>
      <c r="I1845" s="16">
        <v>93.68</v>
      </c>
      <c r="J1845" s="16">
        <v>6.17</v>
      </c>
      <c r="K1845" s="16">
        <v>40.68</v>
      </c>
      <c r="L1845" s="159">
        <f t="shared" si="146"/>
        <v>6.5862510674637054E-2</v>
      </c>
      <c r="M1845" s="159">
        <f t="shared" si="146"/>
        <v>0.4342442356959863</v>
      </c>
    </row>
    <row r="1846" spans="2:13">
      <c r="B1846" t="s">
        <v>189</v>
      </c>
      <c r="C1846">
        <f t="shared" si="148"/>
        <v>50</v>
      </c>
      <c r="D1846" t="str">
        <f t="shared" si="144"/>
        <v>Bassin Niçois50</v>
      </c>
      <c r="E1846" s="53" t="s">
        <v>995</v>
      </c>
      <c r="F1846" t="str">
        <f t="shared" si="145"/>
        <v>Bassin Niçois50</v>
      </c>
      <c r="G1846" t="s">
        <v>302</v>
      </c>
      <c r="I1846" s="16">
        <v>90.79</v>
      </c>
      <c r="J1846" s="16">
        <v>62.35</v>
      </c>
      <c r="K1846" s="16">
        <v>30.55</v>
      </c>
      <c r="L1846" s="159">
        <f t="shared" si="146"/>
        <v>0.6867496420310607</v>
      </c>
      <c r="M1846" s="159">
        <f t="shared" si="146"/>
        <v>0.33649080295186695</v>
      </c>
    </row>
    <row r="1847" spans="2:13">
      <c r="B1847" t="s">
        <v>189</v>
      </c>
      <c r="C1847">
        <f t="shared" si="148"/>
        <v>51</v>
      </c>
      <c r="D1847" t="str">
        <f t="shared" si="144"/>
        <v>Bassin Niçois51</v>
      </c>
      <c r="E1847" s="53" t="s">
        <v>995</v>
      </c>
      <c r="F1847" t="str">
        <f t="shared" si="145"/>
        <v>Bassin Niçois51</v>
      </c>
      <c r="G1847" t="s">
        <v>268</v>
      </c>
      <c r="H1847" t="s">
        <v>269</v>
      </c>
      <c r="I1847" s="16">
        <v>87.23</v>
      </c>
      <c r="J1847" s="16">
        <v>32.65</v>
      </c>
      <c r="K1847" s="16">
        <v>0</v>
      </c>
      <c r="L1847" s="159">
        <f t="shared" si="146"/>
        <v>0.37429783331422672</v>
      </c>
      <c r="M1847" s="159">
        <f t="shared" si="146"/>
        <v>0</v>
      </c>
    </row>
    <row r="1848" spans="2:13">
      <c r="B1848" t="s">
        <v>189</v>
      </c>
      <c r="C1848">
        <f t="shared" si="148"/>
        <v>52</v>
      </c>
      <c r="D1848" t="str">
        <f t="shared" si="144"/>
        <v>Bassin Niçois52</v>
      </c>
      <c r="E1848" s="53" t="s">
        <v>995</v>
      </c>
      <c r="F1848" t="str">
        <f t="shared" si="145"/>
        <v>Bassin Niçois52</v>
      </c>
      <c r="G1848" t="s">
        <v>374</v>
      </c>
      <c r="I1848" s="16">
        <v>85.88</v>
      </c>
      <c r="J1848" s="16">
        <v>29.18</v>
      </c>
      <c r="K1848" s="16">
        <v>6</v>
      </c>
      <c r="L1848" s="159">
        <f t="shared" si="146"/>
        <v>0.33977643223102005</v>
      </c>
      <c r="M1848" s="159">
        <f t="shared" si="146"/>
        <v>6.9864927806241275E-2</v>
      </c>
    </row>
    <row r="1849" spans="2:13">
      <c r="B1849" t="s">
        <v>189</v>
      </c>
      <c r="C1849">
        <f t="shared" si="148"/>
        <v>53</v>
      </c>
      <c r="D1849" t="str">
        <f t="shared" si="144"/>
        <v>Bassin Niçois53</v>
      </c>
      <c r="E1849" s="53" t="s">
        <v>995</v>
      </c>
      <c r="F1849" t="str">
        <f t="shared" si="145"/>
        <v>Bassin Niçois53</v>
      </c>
      <c r="G1849" t="s">
        <v>265</v>
      </c>
      <c r="I1849" s="16">
        <v>85.82</v>
      </c>
      <c r="J1849" s="16">
        <v>34.21</v>
      </c>
      <c r="K1849" s="16">
        <v>26.12</v>
      </c>
      <c r="L1849" s="159">
        <f t="shared" si="146"/>
        <v>0.39862502913073877</v>
      </c>
      <c r="M1849" s="159">
        <f t="shared" si="146"/>
        <v>0.30435795851782804</v>
      </c>
    </row>
    <row r="1850" spans="2:13">
      <c r="B1850" t="s">
        <v>189</v>
      </c>
      <c r="C1850">
        <f t="shared" si="148"/>
        <v>54</v>
      </c>
      <c r="D1850" t="str">
        <f t="shared" si="144"/>
        <v>Bassin Niçois54</v>
      </c>
      <c r="E1850" s="53" t="s">
        <v>995</v>
      </c>
      <c r="F1850" t="str">
        <f t="shared" si="145"/>
        <v>Bassin Niçois54</v>
      </c>
      <c r="G1850" t="s">
        <v>261</v>
      </c>
      <c r="I1850" s="16">
        <v>78.959999999999994</v>
      </c>
      <c r="J1850" s="16">
        <v>4.7300000000000004</v>
      </c>
      <c r="K1850" s="16">
        <v>38.22</v>
      </c>
      <c r="L1850" s="159">
        <f t="shared" si="146"/>
        <v>5.9903748733535975E-2</v>
      </c>
      <c r="M1850" s="159">
        <f t="shared" si="146"/>
        <v>0.48404255319148937</v>
      </c>
    </row>
    <row r="1851" spans="2:13">
      <c r="B1851" t="s">
        <v>189</v>
      </c>
      <c r="C1851">
        <f t="shared" si="148"/>
        <v>55</v>
      </c>
      <c r="D1851" t="str">
        <f t="shared" si="144"/>
        <v>Bassin Niçois55</v>
      </c>
      <c r="E1851" s="53" t="s">
        <v>995</v>
      </c>
      <c r="F1851" t="str">
        <f t="shared" si="145"/>
        <v>Bassin Niçois55</v>
      </c>
      <c r="G1851" t="s">
        <v>263</v>
      </c>
      <c r="I1851" s="16">
        <v>78</v>
      </c>
      <c r="J1851" s="16">
        <v>0</v>
      </c>
      <c r="K1851" s="16">
        <v>0</v>
      </c>
      <c r="L1851" s="159">
        <f t="shared" si="146"/>
        <v>0</v>
      </c>
      <c r="M1851" s="159">
        <f t="shared" si="146"/>
        <v>0</v>
      </c>
    </row>
    <row r="1852" spans="2:13">
      <c r="B1852" t="s">
        <v>189</v>
      </c>
      <c r="C1852">
        <f t="shared" si="148"/>
        <v>56</v>
      </c>
      <c r="D1852" t="str">
        <f t="shared" si="144"/>
        <v>Bassin Niçois56</v>
      </c>
      <c r="E1852" s="53" t="s">
        <v>995</v>
      </c>
      <c r="F1852" t="str">
        <f t="shared" si="145"/>
        <v>Bassin Niçois56</v>
      </c>
      <c r="G1852" t="s">
        <v>259</v>
      </c>
      <c r="I1852" s="16">
        <v>74.459999999999994</v>
      </c>
      <c r="J1852" s="16">
        <v>23.58</v>
      </c>
      <c r="K1852" s="16">
        <v>42.06</v>
      </c>
      <c r="L1852" s="159">
        <f t="shared" si="146"/>
        <v>0.31668009669621272</v>
      </c>
      <c r="M1852" s="159">
        <f t="shared" si="146"/>
        <v>0.56486704270749399</v>
      </c>
    </row>
    <row r="1853" spans="2:13">
      <c r="B1853" t="s">
        <v>189</v>
      </c>
      <c r="C1853">
        <f t="shared" si="148"/>
        <v>57</v>
      </c>
      <c r="D1853" t="str">
        <f t="shared" si="144"/>
        <v>Bassin Niçois57</v>
      </c>
      <c r="E1853" s="53" t="s">
        <v>995</v>
      </c>
      <c r="F1853" t="str">
        <f t="shared" si="145"/>
        <v>Bassin Niçois57</v>
      </c>
      <c r="G1853" t="s">
        <v>298</v>
      </c>
      <c r="I1853" s="16">
        <v>73.040000000000006</v>
      </c>
      <c r="J1853" s="16">
        <v>56.78</v>
      </c>
      <c r="K1853" s="16">
        <v>9.4600000000000009</v>
      </c>
      <c r="L1853" s="159">
        <f t="shared" si="146"/>
        <v>0.77738225629791891</v>
      </c>
      <c r="M1853" s="159">
        <f t="shared" si="146"/>
        <v>0.12951807228915663</v>
      </c>
    </row>
    <row r="1854" spans="2:13">
      <c r="B1854" t="s">
        <v>189</v>
      </c>
      <c r="C1854">
        <f t="shared" si="148"/>
        <v>58</v>
      </c>
      <c r="D1854" t="str">
        <f t="shared" si="144"/>
        <v>Bassin Niçois58</v>
      </c>
      <c r="E1854" s="53" t="s">
        <v>995</v>
      </c>
      <c r="F1854" t="str">
        <f t="shared" si="145"/>
        <v>Bassin Niçois58</v>
      </c>
      <c r="G1854" t="s">
        <v>332</v>
      </c>
      <c r="H1854" t="s">
        <v>940</v>
      </c>
      <c r="I1854" s="16">
        <v>70.81</v>
      </c>
      <c r="J1854" s="16">
        <v>0</v>
      </c>
      <c r="K1854" s="16">
        <v>30.27</v>
      </c>
      <c r="L1854" s="159">
        <f t="shared" si="146"/>
        <v>0</v>
      </c>
      <c r="M1854" s="159">
        <f t="shared" si="146"/>
        <v>0.42748199406863435</v>
      </c>
    </row>
    <row r="1855" spans="2:13">
      <c r="B1855" t="s">
        <v>189</v>
      </c>
      <c r="C1855">
        <f t="shared" si="148"/>
        <v>59</v>
      </c>
      <c r="D1855" t="str">
        <f t="shared" si="144"/>
        <v>Bassin Niçois59</v>
      </c>
      <c r="E1855" s="53" t="s">
        <v>995</v>
      </c>
      <c r="F1855" t="str">
        <f t="shared" si="145"/>
        <v>Bassin Niçois59</v>
      </c>
      <c r="G1855" t="s">
        <v>283</v>
      </c>
      <c r="I1855" s="16">
        <v>67.349999999999994</v>
      </c>
      <c r="J1855" s="16">
        <v>34.25</v>
      </c>
      <c r="K1855" s="16">
        <v>7</v>
      </c>
      <c r="L1855" s="159">
        <f t="shared" si="146"/>
        <v>0.50853749072011878</v>
      </c>
      <c r="M1855" s="159">
        <f t="shared" si="146"/>
        <v>0.10393466963622866</v>
      </c>
    </row>
    <row r="1856" spans="2:13">
      <c r="B1856" t="s">
        <v>189</v>
      </c>
      <c r="C1856">
        <f t="shared" si="148"/>
        <v>60</v>
      </c>
      <c r="D1856" t="str">
        <f t="shared" si="144"/>
        <v>Bassin Niçois60</v>
      </c>
      <c r="E1856" s="53" t="s">
        <v>995</v>
      </c>
      <c r="F1856" t="str">
        <f t="shared" si="145"/>
        <v>Bassin Niçois60</v>
      </c>
      <c r="G1856" t="s">
        <v>260</v>
      </c>
      <c r="H1856" t="s">
        <v>932</v>
      </c>
      <c r="I1856" s="16">
        <v>66.66</v>
      </c>
      <c r="J1856" s="16">
        <v>20.59</v>
      </c>
      <c r="K1856" s="16">
        <v>17.059999999999999</v>
      </c>
      <c r="L1856" s="159">
        <f t="shared" si="146"/>
        <v>0.30888088808880887</v>
      </c>
      <c r="M1856" s="159">
        <f t="shared" si="146"/>
        <v>0.2559255925592559</v>
      </c>
    </row>
    <row r="1857" spans="2:13">
      <c r="B1857" t="s">
        <v>189</v>
      </c>
      <c r="C1857">
        <f t="shared" si="148"/>
        <v>61</v>
      </c>
      <c r="D1857" t="str">
        <f t="shared" si="144"/>
        <v>Bassin Niçois61</v>
      </c>
      <c r="E1857" s="53" t="s">
        <v>995</v>
      </c>
      <c r="F1857" t="str">
        <f t="shared" si="145"/>
        <v>Bassin Niçois61</v>
      </c>
      <c r="G1857" t="s">
        <v>292</v>
      </c>
      <c r="I1857" s="16">
        <v>63.15</v>
      </c>
      <c r="J1857" s="16">
        <v>55.13</v>
      </c>
      <c r="K1857" s="16">
        <v>0</v>
      </c>
      <c r="L1857" s="159">
        <f t="shared" si="146"/>
        <v>0.87300079176563739</v>
      </c>
      <c r="M1857" s="159">
        <f t="shared" si="146"/>
        <v>0</v>
      </c>
    </row>
    <row r="1858" spans="2:13">
      <c r="B1858" t="s">
        <v>189</v>
      </c>
      <c r="C1858">
        <f t="shared" si="148"/>
        <v>62</v>
      </c>
      <c r="D1858" t="str">
        <f t="shared" ref="D1858:D1921" si="149">CONCATENATE(E1858,C1858)</f>
        <v>Bassin Niçois62</v>
      </c>
      <c r="E1858" s="53" t="s">
        <v>995</v>
      </c>
      <c r="F1858" t="str">
        <f t="shared" si="145"/>
        <v>Bassin Niçois62</v>
      </c>
      <c r="G1858" t="s">
        <v>266</v>
      </c>
      <c r="H1858" t="s">
        <v>267</v>
      </c>
      <c r="I1858" s="16">
        <v>59.21</v>
      </c>
      <c r="J1858" s="16">
        <v>33.479999999999997</v>
      </c>
      <c r="K1858" s="16">
        <v>10</v>
      </c>
      <c r="L1858" s="159">
        <f t="shared" si="146"/>
        <v>0.5654450261780104</v>
      </c>
      <c r="M1858" s="159">
        <f t="shared" si="146"/>
        <v>0.16889039013680121</v>
      </c>
    </row>
    <row r="1859" spans="2:13">
      <c r="B1859" t="s">
        <v>189</v>
      </c>
      <c r="C1859">
        <f t="shared" si="148"/>
        <v>63</v>
      </c>
      <c r="D1859" t="str">
        <f t="shared" si="149"/>
        <v>Bassin Niçois63</v>
      </c>
      <c r="E1859" s="53" t="s">
        <v>995</v>
      </c>
      <c r="F1859" t="str">
        <f t="shared" ref="F1859:F1922" si="150">D1859</f>
        <v>Bassin Niçois63</v>
      </c>
      <c r="G1859" t="s">
        <v>277</v>
      </c>
      <c r="I1859" s="16">
        <v>54.63</v>
      </c>
      <c r="J1859" s="16">
        <v>14.76</v>
      </c>
      <c r="K1859" s="16">
        <v>39.86</v>
      </c>
      <c r="L1859" s="159">
        <f t="shared" ref="L1859:M1922" si="151">J1859/$I1859</f>
        <v>0.2701812191103789</v>
      </c>
      <c r="M1859" s="159">
        <f t="shared" si="151"/>
        <v>0.72963573128317771</v>
      </c>
    </row>
    <row r="1860" spans="2:13">
      <c r="B1860" t="s">
        <v>189</v>
      </c>
      <c r="C1860">
        <f t="shared" si="148"/>
        <v>64</v>
      </c>
      <c r="D1860" t="str">
        <f t="shared" si="149"/>
        <v>Bassin Niçois64</v>
      </c>
      <c r="E1860" s="53" t="s">
        <v>995</v>
      </c>
      <c r="F1860" t="str">
        <f t="shared" si="150"/>
        <v>Bassin Niçois64</v>
      </c>
      <c r="G1860" t="s">
        <v>303</v>
      </c>
      <c r="H1860" t="s">
        <v>936</v>
      </c>
      <c r="I1860" s="16">
        <v>52.62</v>
      </c>
      <c r="J1860" s="16">
        <v>29.69</v>
      </c>
      <c r="K1860" s="16">
        <v>1</v>
      </c>
      <c r="L1860" s="159">
        <f t="shared" si="151"/>
        <v>0.56423413150893198</v>
      </c>
      <c r="M1860" s="159">
        <f t="shared" si="151"/>
        <v>1.9004180919802358E-2</v>
      </c>
    </row>
    <row r="1861" spans="2:13">
      <c r="B1861" t="s">
        <v>189</v>
      </c>
      <c r="C1861">
        <f t="shared" ref="C1861:C1892" si="152">RANK(I1861,$I$1796:$I$1965,0)</f>
        <v>65</v>
      </c>
      <c r="D1861" t="str">
        <f t="shared" si="149"/>
        <v>Bassin Niçois65</v>
      </c>
      <c r="E1861" s="53" t="s">
        <v>995</v>
      </c>
      <c r="F1861" t="str">
        <f t="shared" si="150"/>
        <v>Bassin Niçois65</v>
      </c>
      <c r="G1861" t="s">
        <v>360</v>
      </c>
      <c r="I1861" s="16">
        <v>50.93</v>
      </c>
      <c r="J1861" s="16">
        <v>29.01</v>
      </c>
      <c r="K1861" s="16">
        <v>0</v>
      </c>
      <c r="L1861" s="159">
        <f t="shared" si="151"/>
        <v>0.56960534066365598</v>
      </c>
      <c r="M1861" s="159">
        <f t="shared" si="151"/>
        <v>0</v>
      </c>
    </row>
    <row r="1862" spans="2:13">
      <c r="B1862" t="s">
        <v>189</v>
      </c>
      <c r="C1862">
        <f t="shared" si="152"/>
        <v>66</v>
      </c>
      <c r="D1862" t="str">
        <f t="shared" si="149"/>
        <v>Bassin Niçois66</v>
      </c>
      <c r="E1862" s="53" t="s">
        <v>995</v>
      </c>
      <c r="F1862" t="str">
        <f t="shared" si="150"/>
        <v>Bassin Niçois66</v>
      </c>
      <c r="G1862" t="s">
        <v>312</v>
      </c>
      <c r="I1862" s="16">
        <v>49.03</v>
      </c>
      <c r="J1862" s="16">
        <v>29.66</v>
      </c>
      <c r="K1862" s="16">
        <v>0</v>
      </c>
      <c r="L1862" s="159">
        <f t="shared" si="151"/>
        <v>0.60493575362023255</v>
      </c>
      <c r="M1862" s="159">
        <f t="shared" si="151"/>
        <v>0</v>
      </c>
    </row>
    <row r="1863" spans="2:13">
      <c r="B1863" t="s">
        <v>189</v>
      </c>
      <c r="C1863">
        <f t="shared" si="152"/>
        <v>67</v>
      </c>
      <c r="D1863" t="str">
        <f t="shared" si="149"/>
        <v>Bassin Niçois67</v>
      </c>
      <c r="E1863" s="53" t="s">
        <v>995</v>
      </c>
      <c r="F1863" t="str">
        <f t="shared" si="150"/>
        <v>Bassin Niçois67</v>
      </c>
      <c r="G1863" t="s">
        <v>346</v>
      </c>
      <c r="I1863" s="16">
        <v>48.54</v>
      </c>
      <c r="J1863" s="16">
        <v>29.34</v>
      </c>
      <c r="K1863" s="16">
        <v>0</v>
      </c>
      <c r="L1863" s="159">
        <f t="shared" si="151"/>
        <v>0.6044499381953029</v>
      </c>
      <c r="M1863" s="159">
        <f t="shared" si="151"/>
        <v>0</v>
      </c>
    </row>
    <row r="1864" spans="2:13">
      <c r="B1864" t="s">
        <v>189</v>
      </c>
      <c r="C1864">
        <f t="shared" si="152"/>
        <v>68</v>
      </c>
      <c r="D1864" t="str">
        <f t="shared" si="149"/>
        <v>Bassin Niçois68</v>
      </c>
      <c r="E1864" s="53" t="s">
        <v>995</v>
      </c>
      <c r="F1864" t="str">
        <f t="shared" si="150"/>
        <v>Bassin Niçois68</v>
      </c>
      <c r="G1864" t="s">
        <v>347</v>
      </c>
      <c r="I1864" s="16">
        <v>48.23</v>
      </c>
      <c r="J1864" s="16">
        <v>41.09</v>
      </c>
      <c r="K1864" s="16">
        <v>0</v>
      </c>
      <c r="L1864" s="159">
        <f t="shared" si="151"/>
        <v>0.85195936139332373</v>
      </c>
      <c r="M1864" s="159">
        <f t="shared" si="151"/>
        <v>0</v>
      </c>
    </row>
    <row r="1865" spans="2:13">
      <c r="B1865" t="s">
        <v>189</v>
      </c>
      <c r="C1865">
        <f t="shared" si="152"/>
        <v>69</v>
      </c>
      <c r="D1865" t="str">
        <f t="shared" si="149"/>
        <v>Bassin Niçois69</v>
      </c>
      <c r="E1865" s="53" t="s">
        <v>995</v>
      </c>
      <c r="F1865" t="str">
        <f t="shared" si="150"/>
        <v>Bassin Niçois69</v>
      </c>
      <c r="G1865" t="s">
        <v>280</v>
      </c>
      <c r="I1865" s="16">
        <v>47.76</v>
      </c>
      <c r="J1865" s="16">
        <v>26.87</v>
      </c>
      <c r="K1865" s="16">
        <v>9.25</v>
      </c>
      <c r="L1865" s="159">
        <f t="shared" si="151"/>
        <v>0.562604690117253</v>
      </c>
      <c r="M1865" s="159">
        <f t="shared" si="151"/>
        <v>0.19367671691792296</v>
      </c>
    </row>
    <row r="1866" spans="2:13">
      <c r="B1866" t="s">
        <v>189</v>
      </c>
      <c r="C1866">
        <f t="shared" si="152"/>
        <v>70</v>
      </c>
      <c r="D1866" t="str">
        <f t="shared" si="149"/>
        <v>Bassin Niçois70</v>
      </c>
      <c r="E1866" s="53" t="s">
        <v>995</v>
      </c>
      <c r="F1866" t="str">
        <f t="shared" si="150"/>
        <v>Bassin Niçois70</v>
      </c>
      <c r="G1866" t="s">
        <v>318</v>
      </c>
      <c r="I1866" s="16">
        <v>42.93</v>
      </c>
      <c r="J1866" s="16">
        <v>10.59</v>
      </c>
      <c r="K1866" s="16">
        <v>0</v>
      </c>
      <c r="L1866" s="159">
        <f t="shared" si="151"/>
        <v>0.24668064290705799</v>
      </c>
      <c r="M1866" s="159">
        <f t="shared" si="151"/>
        <v>0</v>
      </c>
    </row>
    <row r="1867" spans="2:13">
      <c r="B1867" t="s">
        <v>189</v>
      </c>
      <c r="C1867">
        <f t="shared" si="152"/>
        <v>71</v>
      </c>
      <c r="D1867" t="str">
        <f t="shared" si="149"/>
        <v>Bassin Niçois71</v>
      </c>
      <c r="E1867" s="53" t="s">
        <v>995</v>
      </c>
      <c r="F1867" t="str">
        <f t="shared" si="150"/>
        <v>Bassin Niçois71</v>
      </c>
      <c r="G1867" t="s">
        <v>297</v>
      </c>
      <c r="I1867" s="16">
        <v>38.950000000000003</v>
      </c>
      <c r="J1867" s="16">
        <v>18.850000000000001</v>
      </c>
      <c r="K1867" s="16">
        <v>9.27</v>
      </c>
      <c r="L1867" s="159">
        <f t="shared" si="151"/>
        <v>0.4839537869062901</v>
      </c>
      <c r="M1867" s="159">
        <f t="shared" si="151"/>
        <v>0.23799743260590497</v>
      </c>
    </row>
    <row r="1868" spans="2:13">
      <c r="B1868" t="s">
        <v>189</v>
      </c>
      <c r="C1868">
        <f t="shared" si="152"/>
        <v>72</v>
      </c>
      <c r="D1868" t="str">
        <f t="shared" si="149"/>
        <v>Bassin Niçois72</v>
      </c>
      <c r="E1868" s="53" t="s">
        <v>995</v>
      </c>
      <c r="F1868" t="str">
        <f t="shared" si="150"/>
        <v>Bassin Niçois72</v>
      </c>
      <c r="G1868" t="s">
        <v>295</v>
      </c>
      <c r="I1868" s="16">
        <v>37.590000000000003</v>
      </c>
      <c r="J1868" s="16">
        <v>19.27</v>
      </c>
      <c r="K1868" s="16">
        <v>19.309999999999999</v>
      </c>
      <c r="L1868" s="159">
        <f t="shared" si="151"/>
        <v>0.51263633945198184</v>
      </c>
      <c r="M1868" s="159">
        <f t="shared" si="151"/>
        <v>0.51370045224793826</v>
      </c>
    </row>
    <row r="1869" spans="2:13">
      <c r="B1869" t="s">
        <v>189</v>
      </c>
      <c r="C1869">
        <f t="shared" si="152"/>
        <v>73</v>
      </c>
      <c r="D1869" t="str">
        <f t="shared" si="149"/>
        <v>Bassin Niçois73</v>
      </c>
      <c r="E1869" s="53" t="s">
        <v>995</v>
      </c>
      <c r="F1869" t="str">
        <f t="shared" si="150"/>
        <v>Bassin Niçois73</v>
      </c>
      <c r="G1869" t="s">
        <v>330</v>
      </c>
      <c r="I1869" s="16">
        <v>37.33</v>
      </c>
      <c r="J1869" s="16">
        <v>26.36</v>
      </c>
      <c r="K1869" s="16">
        <v>0</v>
      </c>
      <c r="L1869" s="159">
        <f t="shared" si="151"/>
        <v>0.70613447629252613</v>
      </c>
      <c r="M1869" s="159">
        <f t="shared" si="151"/>
        <v>0</v>
      </c>
    </row>
    <row r="1870" spans="2:13">
      <c r="B1870" t="s">
        <v>189</v>
      </c>
      <c r="C1870">
        <f t="shared" si="152"/>
        <v>74</v>
      </c>
      <c r="D1870" t="str">
        <f t="shared" si="149"/>
        <v>Bassin Niçois74</v>
      </c>
      <c r="E1870" s="53" t="s">
        <v>995</v>
      </c>
      <c r="F1870" t="str">
        <f t="shared" si="150"/>
        <v>Bassin Niçois74</v>
      </c>
      <c r="G1870" t="s">
        <v>284</v>
      </c>
      <c r="I1870" s="16">
        <v>36.6</v>
      </c>
      <c r="J1870" s="16">
        <v>20.68</v>
      </c>
      <c r="K1870" s="16">
        <v>8.6999999999999993</v>
      </c>
      <c r="L1870" s="159">
        <f t="shared" si="151"/>
        <v>0.56502732240437159</v>
      </c>
      <c r="M1870" s="159">
        <f t="shared" si="151"/>
        <v>0.23770491803278684</v>
      </c>
    </row>
    <row r="1871" spans="2:13">
      <c r="B1871" t="s">
        <v>189</v>
      </c>
      <c r="C1871">
        <f t="shared" si="152"/>
        <v>75</v>
      </c>
      <c r="D1871" t="str">
        <f t="shared" si="149"/>
        <v>Bassin Niçois75</v>
      </c>
      <c r="E1871" s="53" t="s">
        <v>995</v>
      </c>
      <c r="F1871" t="str">
        <f t="shared" si="150"/>
        <v>Bassin Niçois75</v>
      </c>
      <c r="G1871" t="s">
        <v>287</v>
      </c>
      <c r="I1871" s="16">
        <v>34.340000000000003</v>
      </c>
      <c r="J1871" s="16">
        <v>12.84</v>
      </c>
      <c r="K1871" s="16">
        <v>0</v>
      </c>
      <c r="L1871" s="159">
        <f t="shared" si="151"/>
        <v>0.37390797903319739</v>
      </c>
      <c r="M1871" s="159">
        <f t="shared" si="151"/>
        <v>0</v>
      </c>
    </row>
    <row r="1872" spans="2:13">
      <c r="B1872" t="s">
        <v>189</v>
      </c>
      <c r="C1872">
        <f t="shared" si="152"/>
        <v>76</v>
      </c>
      <c r="D1872" t="str">
        <f t="shared" si="149"/>
        <v>Bassin Niçois76</v>
      </c>
      <c r="E1872" s="53" t="s">
        <v>995</v>
      </c>
      <c r="F1872" t="str">
        <f t="shared" si="150"/>
        <v>Bassin Niçois76</v>
      </c>
      <c r="G1872" t="s">
        <v>279</v>
      </c>
      <c r="I1872" s="16">
        <v>33.78</v>
      </c>
      <c r="J1872" s="16">
        <v>14.68</v>
      </c>
      <c r="K1872" s="16">
        <v>0</v>
      </c>
      <c r="L1872" s="159">
        <f t="shared" si="151"/>
        <v>0.43457667258732974</v>
      </c>
      <c r="M1872" s="159">
        <f t="shared" si="151"/>
        <v>0</v>
      </c>
    </row>
    <row r="1873" spans="2:13">
      <c r="B1873" t="s">
        <v>189</v>
      </c>
      <c r="C1873">
        <f t="shared" si="152"/>
        <v>77</v>
      </c>
      <c r="D1873" t="str">
        <f t="shared" si="149"/>
        <v>Bassin Niçois77</v>
      </c>
      <c r="E1873" s="53" t="s">
        <v>995</v>
      </c>
      <c r="F1873" t="str">
        <f t="shared" si="150"/>
        <v>Bassin Niçois77</v>
      </c>
      <c r="G1873" t="s">
        <v>308</v>
      </c>
      <c r="I1873" s="16">
        <v>32.880000000000003</v>
      </c>
      <c r="J1873" s="16">
        <v>10.96</v>
      </c>
      <c r="K1873" s="16">
        <v>0</v>
      </c>
      <c r="L1873" s="159">
        <f t="shared" si="151"/>
        <v>0.33333333333333331</v>
      </c>
      <c r="M1873" s="159">
        <f t="shared" si="151"/>
        <v>0</v>
      </c>
    </row>
    <row r="1874" spans="2:13">
      <c r="B1874" t="s">
        <v>189</v>
      </c>
      <c r="C1874">
        <f t="shared" si="152"/>
        <v>78</v>
      </c>
      <c r="D1874" t="str">
        <f t="shared" si="149"/>
        <v>Bassin Niçois78</v>
      </c>
      <c r="E1874" s="53" t="s">
        <v>995</v>
      </c>
      <c r="F1874" t="str">
        <f t="shared" si="150"/>
        <v>Bassin Niçois78</v>
      </c>
      <c r="G1874" t="s">
        <v>354</v>
      </c>
      <c r="H1874" t="s">
        <v>942</v>
      </c>
      <c r="I1874" s="16">
        <v>31.62</v>
      </c>
      <c r="J1874" s="16">
        <v>13.2</v>
      </c>
      <c r="K1874" s="16">
        <v>4.04</v>
      </c>
      <c r="L1874" s="159">
        <f t="shared" si="151"/>
        <v>0.41745730550284627</v>
      </c>
      <c r="M1874" s="159">
        <f t="shared" si="151"/>
        <v>0.12776723592662872</v>
      </c>
    </row>
    <row r="1875" spans="2:13">
      <c r="B1875" t="s">
        <v>189</v>
      </c>
      <c r="C1875">
        <f t="shared" si="152"/>
        <v>79</v>
      </c>
      <c r="D1875" t="str">
        <f t="shared" si="149"/>
        <v>Bassin Niçois79</v>
      </c>
      <c r="E1875" s="53" t="s">
        <v>995</v>
      </c>
      <c r="F1875" t="str">
        <f t="shared" si="150"/>
        <v>Bassin Niçois79</v>
      </c>
      <c r="G1875" t="s">
        <v>313</v>
      </c>
      <c r="I1875" s="16">
        <v>31.46</v>
      </c>
      <c r="J1875" s="16">
        <v>20.07</v>
      </c>
      <c r="K1875" s="16">
        <v>0</v>
      </c>
      <c r="L1875" s="159">
        <f t="shared" si="151"/>
        <v>0.63795295613477432</v>
      </c>
      <c r="M1875" s="159">
        <f t="shared" si="151"/>
        <v>0</v>
      </c>
    </row>
    <row r="1876" spans="2:13">
      <c r="B1876" t="s">
        <v>189</v>
      </c>
      <c r="C1876">
        <f t="shared" si="152"/>
        <v>80</v>
      </c>
      <c r="D1876" t="str">
        <f t="shared" si="149"/>
        <v>Bassin Niçois80</v>
      </c>
      <c r="E1876" s="53" t="s">
        <v>995</v>
      </c>
      <c r="F1876" t="str">
        <f t="shared" si="150"/>
        <v>Bassin Niçois80</v>
      </c>
      <c r="G1876" t="s">
        <v>282</v>
      </c>
      <c r="H1876" t="s">
        <v>920</v>
      </c>
      <c r="I1876" s="16">
        <v>31.03</v>
      </c>
      <c r="J1876" s="16">
        <v>21.39</v>
      </c>
      <c r="K1876" s="16">
        <v>6.26</v>
      </c>
      <c r="L1876" s="159">
        <f t="shared" si="151"/>
        <v>0.68933290364163713</v>
      </c>
      <c r="M1876" s="159">
        <f t="shared" si="151"/>
        <v>0.20174025136964227</v>
      </c>
    </row>
    <row r="1877" spans="2:13">
      <c r="B1877" t="s">
        <v>189</v>
      </c>
      <c r="C1877">
        <f t="shared" si="152"/>
        <v>81</v>
      </c>
      <c r="D1877" t="str">
        <f t="shared" si="149"/>
        <v>Bassin Niçois81</v>
      </c>
      <c r="E1877" s="53" t="s">
        <v>995</v>
      </c>
      <c r="F1877" t="str">
        <f t="shared" si="150"/>
        <v>Bassin Niçois81</v>
      </c>
      <c r="G1877" t="s">
        <v>433</v>
      </c>
      <c r="I1877" s="16">
        <v>30.96</v>
      </c>
      <c r="J1877" s="16">
        <v>10.96</v>
      </c>
      <c r="K1877" s="16">
        <v>30.96</v>
      </c>
      <c r="L1877" s="159">
        <f t="shared" si="151"/>
        <v>0.35400516795865633</v>
      </c>
      <c r="M1877" s="159">
        <f t="shared" si="151"/>
        <v>1</v>
      </c>
    </row>
    <row r="1878" spans="2:13">
      <c r="B1878" t="s">
        <v>189</v>
      </c>
      <c r="C1878">
        <f t="shared" si="152"/>
        <v>82</v>
      </c>
      <c r="D1878" t="str">
        <f t="shared" si="149"/>
        <v>Bassin Niçois82</v>
      </c>
      <c r="E1878" s="53" t="s">
        <v>995</v>
      </c>
      <c r="F1878" t="str">
        <f t="shared" si="150"/>
        <v>Bassin Niçois82</v>
      </c>
      <c r="G1878" t="s">
        <v>407</v>
      </c>
      <c r="I1878" s="16">
        <v>30.73</v>
      </c>
      <c r="J1878" s="16">
        <v>24.84</v>
      </c>
      <c r="K1878" s="16">
        <v>0</v>
      </c>
      <c r="L1878" s="159">
        <f t="shared" si="151"/>
        <v>0.8083306215424666</v>
      </c>
      <c r="M1878" s="159">
        <f t="shared" si="151"/>
        <v>0</v>
      </c>
    </row>
    <row r="1879" spans="2:13">
      <c r="B1879" t="s">
        <v>189</v>
      </c>
      <c r="C1879">
        <f t="shared" si="152"/>
        <v>83</v>
      </c>
      <c r="D1879" t="str">
        <f t="shared" si="149"/>
        <v>Bassin Niçois83</v>
      </c>
      <c r="E1879" s="53" t="s">
        <v>995</v>
      </c>
      <c r="F1879" t="str">
        <f t="shared" si="150"/>
        <v>Bassin Niçois83</v>
      </c>
      <c r="G1879" t="s">
        <v>363</v>
      </c>
      <c r="I1879" s="16">
        <v>30.68</v>
      </c>
      <c r="J1879" s="16">
        <v>14.37</v>
      </c>
      <c r="K1879" s="16">
        <v>0</v>
      </c>
      <c r="L1879" s="159">
        <f t="shared" si="151"/>
        <v>0.46838331160365054</v>
      </c>
      <c r="M1879" s="159">
        <f t="shared" si="151"/>
        <v>0</v>
      </c>
    </row>
    <row r="1880" spans="2:13">
      <c r="B1880" t="s">
        <v>189</v>
      </c>
      <c r="C1880">
        <f t="shared" si="152"/>
        <v>84</v>
      </c>
      <c r="D1880" t="str">
        <f t="shared" si="149"/>
        <v>Bassin Niçois84</v>
      </c>
      <c r="E1880" s="53" t="s">
        <v>995</v>
      </c>
      <c r="F1880" t="str">
        <f t="shared" si="150"/>
        <v>Bassin Niçois84</v>
      </c>
      <c r="G1880" t="s">
        <v>310</v>
      </c>
      <c r="I1880" s="16">
        <v>30.59</v>
      </c>
      <c r="J1880" s="16">
        <v>0</v>
      </c>
      <c r="K1880" s="16">
        <v>0</v>
      </c>
      <c r="L1880" s="159">
        <f t="shared" si="151"/>
        <v>0</v>
      </c>
      <c r="M1880" s="159">
        <f t="shared" si="151"/>
        <v>0</v>
      </c>
    </row>
    <row r="1881" spans="2:13">
      <c r="B1881" t="s">
        <v>189</v>
      </c>
      <c r="C1881">
        <f t="shared" si="152"/>
        <v>85</v>
      </c>
      <c r="D1881" t="str">
        <f t="shared" si="149"/>
        <v>Bassin Niçois85</v>
      </c>
      <c r="E1881" s="53" t="s">
        <v>995</v>
      </c>
      <c r="F1881" t="str">
        <f t="shared" si="150"/>
        <v>Bassin Niçois85</v>
      </c>
      <c r="G1881" t="s">
        <v>304</v>
      </c>
      <c r="I1881" s="16">
        <v>27.34</v>
      </c>
      <c r="J1881" s="16">
        <v>7.16</v>
      </c>
      <c r="K1881" s="16">
        <v>0</v>
      </c>
      <c r="L1881" s="159">
        <f t="shared" si="151"/>
        <v>0.26188734455010976</v>
      </c>
      <c r="M1881" s="159">
        <f t="shared" si="151"/>
        <v>0</v>
      </c>
    </row>
    <row r="1882" spans="2:13">
      <c r="B1882" t="s">
        <v>189</v>
      </c>
      <c r="C1882">
        <f t="shared" si="152"/>
        <v>86</v>
      </c>
      <c r="D1882" t="str">
        <f t="shared" si="149"/>
        <v>Bassin Niçois86</v>
      </c>
      <c r="E1882" s="53" t="s">
        <v>995</v>
      </c>
      <c r="F1882" t="str">
        <f t="shared" si="150"/>
        <v>Bassin Niçois86</v>
      </c>
      <c r="G1882" t="s">
        <v>326</v>
      </c>
      <c r="I1882" s="16">
        <v>25.88</v>
      </c>
      <c r="J1882" s="16">
        <v>22.57</v>
      </c>
      <c r="K1882" s="16">
        <v>0</v>
      </c>
      <c r="L1882" s="159">
        <f t="shared" si="151"/>
        <v>0.8721020092735704</v>
      </c>
      <c r="M1882" s="159">
        <f t="shared" si="151"/>
        <v>0</v>
      </c>
    </row>
    <row r="1883" spans="2:13">
      <c r="B1883" t="s">
        <v>189</v>
      </c>
      <c r="C1883">
        <f t="shared" si="152"/>
        <v>87</v>
      </c>
      <c r="D1883" t="str">
        <f t="shared" si="149"/>
        <v>Bassin Niçois87</v>
      </c>
      <c r="E1883" s="53" t="s">
        <v>995</v>
      </c>
      <c r="F1883" t="str">
        <f t="shared" si="150"/>
        <v>Bassin Niçois87</v>
      </c>
      <c r="G1883" t="s">
        <v>340</v>
      </c>
      <c r="H1883" t="s">
        <v>945</v>
      </c>
      <c r="I1883" s="16">
        <v>25.53</v>
      </c>
      <c r="J1883" s="16">
        <v>6.06</v>
      </c>
      <c r="K1883" s="16">
        <v>0</v>
      </c>
      <c r="L1883" s="159">
        <f t="shared" si="151"/>
        <v>0.23736780258519385</v>
      </c>
      <c r="M1883" s="159">
        <f t="shared" si="151"/>
        <v>0</v>
      </c>
    </row>
    <row r="1884" spans="2:13">
      <c r="B1884" t="s">
        <v>189</v>
      </c>
      <c r="C1884">
        <f t="shared" si="152"/>
        <v>88</v>
      </c>
      <c r="D1884" t="str">
        <f t="shared" si="149"/>
        <v>Bassin Niçois88</v>
      </c>
      <c r="E1884" s="53" t="s">
        <v>995</v>
      </c>
      <c r="F1884" t="str">
        <f t="shared" si="150"/>
        <v>Bassin Niçois88</v>
      </c>
      <c r="G1884" t="s">
        <v>345</v>
      </c>
      <c r="I1884" s="16">
        <v>24.96</v>
      </c>
      <c r="J1884" s="16">
        <v>13.1</v>
      </c>
      <c r="K1884" s="16">
        <v>0</v>
      </c>
      <c r="L1884" s="159">
        <f t="shared" si="151"/>
        <v>0.52483974358974361</v>
      </c>
      <c r="M1884" s="159">
        <f t="shared" si="151"/>
        <v>0</v>
      </c>
    </row>
    <row r="1885" spans="2:13">
      <c r="B1885" t="s">
        <v>189</v>
      </c>
      <c r="C1885">
        <f t="shared" si="152"/>
        <v>89</v>
      </c>
      <c r="D1885" t="str">
        <f t="shared" si="149"/>
        <v>Bassin Niçois89</v>
      </c>
      <c r="E1885" s="53" t="s">
        <v>995</v>
      </c>
      <c r="F1885" t="str">
        <f t="shared" si="150"/>
        <v>Bassin Niçois89</v>
      </c>
      <c r="G1885" t="s">
        <v>402</v>
      </c>
      <c r="H1885" t="s">
        <v>1790</v>
      </c>
      <c r="I1885" s="16">
        <v>24.64</v>
      </c>
      <c r="J1885" s="16">
        <v>8.89</v>
      </c>
      <c r="K1885" s="16">
        <v>0</v>
      </c>
      <c r="L1885" s="159">
        <f t="shared" si="151"/>
        <v>0.36079545454545459</v>
      </c>
      <c r="M1885" s="159">
        <f t="shared" si="151"/>
        <v>0</v>
      </c>
    </row>
    <row r="1886" spans="2:13">
      <c r="B1886" t="s">
        <v>189</v>
      </c>
      <c r="C1886">
        <f t="shared" si="152"/>
        <v>90</v>
      </c>
      <c r="D1886" t="str">
        <f t="shared" si="149"/>
        <v>Bassin Niçois90</v>
      </c>
      <c r="E1886" s="53" t="s">
        <v>995</v>
      </c>
      <c r="F1886" t="str">
        <f t="shared" si="150"/>
        <v>Bassin Niçois90</v>
      </c>
      <c r="G1886" t="s">
        <v>306</v>
      </c>
      <c r="H1886" t="s">
        <v>307</v>
      </c>
      <c r="I1886" s="16">
        <v>24.19</v>
      </c>
      <c r="J1886" s="16">
        <v>8.61</v>
      </c>
      <c r="K1886" s="16">
        <v>0</v>
      </c>
      <c r="L1886" s="159">
        <f t="shared" si="151"/>
        <v>0.35593220338983045</v>
      </c>
      <c r="M1886" s="159">
        <f t="shared" si="151"/>
        <v>0</v>
      </c>
    </row>
    <row r="1887" spans="2:13">
      <c r="B1887" t="s">
        <v>189</v>
      </c>
      <c r="C1887">
        <f t="shared" si="152"/>
        <v>91</v>
      </c>
      <c r="D1887" t="str">
        <f t="shared" si="149"/>
        <v>Bassin Niçois91</v>
      </c>
      <c r="E1887" s="53" t="s">
        <v>995</v>
      </c>
      <c r="F1887" t="str">
        <f t="shared" si="150"/>
        <v>Bassin Niçois91</v>
      </c>
      <c r="G1887" t="s">
        <v>262</v>
      </c>
      <c r="I1887" s="16">
        <v>23.92</v>
      </c>
      <c r="J1887" s="16">
        <v>0</v>
      </c>
      <c r="K1887" s="16">
        <v>10.96</v>
      </c>
      <c r="L1887" s="159">
        <f t="shared" si="151"/>
        <v>0</v>
      </c>
      <c r="M1887" s="159">
        <f t="shared" si="151"/>
        <v>0.4581939799331104</v>
      </c>
    </row>
    <row r="1888" spans="2:13">
      <c r="B1888" t="s">
        <v>189</v>
      </c>
      <c r="C1888">
        <f t="shared" si="152"/>
        <v>92</v>
      </c>
      <c r="D1888" t="str">
        <f t="shared" si="149"/>
        <v>Bassin Niçois92</v>
      </c>
      <c r="E1888" s="53" t="s">
        <v>995</v>
      </c>
      <c r="F1888" t="str">
        <f t="shared" si="150"/>
        <v>Bassin Niçois92</v>
      </c>
      <c r="G1888" t="s">
        <v>272</v>
      </c>
      <c r="I1888" s="16">
        <v>23.76</v>
      </c>
      <c r="J1888" s="16">
        <v>17.760000000000002</v>
      </c>
      <c r="K1888" s="16">
        <v>6</v>
      </c>
      <c r="L1888" s="159">
        <f t="shared" si="151"/>
        <v>0.74747474747474751</v>
      </c>
      <c r="M1888" s="159">
        <f t="shared" si="151"/>
        <v>0.25252525252525249</v>
      </c>
    </row>
    <row r="1889" spans="2:13">
      <c r="B1889" t="s">
        <v>189</v>
      </c>
      <c r="C1889">
        <f t="shared" si="152"/>
        <v>93</v>
      </c>
      <c r="D1889" t="str">
        <f t="shared" si="149"/>
        <v>Bassin Niçois93</v>
      </c>
      <c r="E1889" s="53" t="s">
        <v>995</v>
      </c>
      <c r="F1889" t="str">
        <f t="shared" si="150"/>
        <v>Bassin Niçois93</v>
      </c>
      <c r="G1889" t="s">
        <v>417</v>
      </c>
      <c r="I1889" s="16">
        <v>23.55</v>
      </c>
      <c r="J1889" s="16">
        <v>0</v>
      </c>
      <c r="K1889" s="16">
        <v>20</v>
      </c>
      <c r="L1889" s="159">
        <f t="shared" si="151"/>
        <v>0</v>
      </c>
      <c r="M1889" s="159">
        <f t="shared" si="151"/>
        <v>0.84925690021231415</v>
      </c>
    </row>
    <row r="1890" spans="2:13">
      <c r="B1890" t="s">
        <v>189</v>
      </c>
      <c r="C1890">
        <f t="shared" si="152"/>
        <v>94</v>
      </c>
      <c r="D1890" t="str">
        <f t="shared" si="149"/>
        <v>Bassin Niçois94</v>
      </c>
      <c r="E1890" s="53" t="s">
        <v>995</v>
      </c>
      <c r="F1890" t="str">
        <f t="shared" si="150"/>
        <v>Bassin Niçois94</v>
      </c>
      <c r="G1890" t="s">
        <v>334</v>
      </c>
      <c r="H1890" t="s">
        <v>946</v>
      </c>
      <c r="I1890" s="16">
        <v>23</v>
      </c>
      <c r="J1890" s="16">
        <v>0</v>
      </c>
      <c r="K1890" s="16">
        <v>22</v>
      </c>
      <c r="L1890" s="159">
        <f t="shared" si="151"/>
        <v>0</v>
      </c>
      <c r="M1890" s="159">
        <f t="shared" si="151"/>
        <v>0.95652173913043481</v>
      </c>
    </row>
    <row r="1891" spans="2:13">
      <c r="B1891" t="s">
        <v>189</v>
      </c>
      <c r="C1891">
        <f t="shared" si="152"/>
        <v>95</v>
      </c>
      <c r="D1891" t="str">
        <f t="shared" si="149"/>
        <v>Bassin Niçois95</v>
      </c>
      <c r="E1891" s="53" t="s">
        <v>995</v>
      </c>
      <c r="F1891" t="str">
        <f t="shared" si="150"/>
        <v>Bassin Niçois95</v>
      </c>
      <c r="G1891" t="s">
        <v>320</v>
      </c>
      <c r="I1891" s="16">
        <v>21.67</v>
      </c>
      <c r="J1891" s="16">
        <v>17.670000000000002</v>
      </c>
      <c r="K1891" s="16">
        <v>0</v>
      </c>
      <c r="L1891" s="159">
        <f t="shared" si="151"/>
        <v>0.81541301338255656</v>
      </c>
      <c r="M1891" s="159">
        <f t="shared" si="151"/>
        <v>0</v>
      </c>
    </row>
    <row r="1892" spans="2:13">
      <c r="B1892" t="s">
        <v>189</v>
      </c>
      <c r="C1892">
        <f t="shared" si="152"/>
        <v>96</v>
      </c>
      <c r="D1892" t="str">
        <f t="shared" si="149"/>
        <v>Bassin Niçois96</v>
      </c>
      <c r="E1892" s="53" t="s">
        <v>995</v>
      </c>
      <c r="F1892" t="str">
        <f t="shared" si="150"/>
        <v>Bassin Niçois96</v>
      </c>
      <c r="G1892" t="s">
        <v>328</v>
      </c>
      <c r="H1892" t="s">
        <v>939</v>
      </c>
      <c r="I1892" s="16">
        <v>21.6</v>
      </c>
      <c r="J1892" s="16">
        <v>15</v>
      </c>
      <c r="K1892" s="16">
        <v>0</v>
      </c>
      <c r="L1892" s="159">
        <f t="shared" si="151"/>
        <v>0.69444444444444442</v>
      </c>
      <c r="M1892" s="159">
        <f t="shared" si="151"/>
        <v>0</v>
      </c>
    </row>
    <row r="1893" spans="2:13">
      <c r="B1893" t="s">
        <v>189</v>
      </c>
      <c r="C1893">
        <f t="shared" ref="C1893:C1924" si="153">RANK(I1893,$I$1796:$I$1965,0)</f>
        <v>97</v>
      </c>
      <c r="D1893" t="str">
        <f t="shared" si="149"/>
        <v>Bassin Niçois97</v>
      </c>
      <c r="E1893" s="53" t="s">
        <v>995</v>
      </c>
      <c r="F1893" t="str">
        <f t="shared" si="150"/>
        <v>Bassin Niçois97</v>
      </c>
      <c r="G1893" t="s">
        <v>362</v>
      </c>
      <c r="H1893" t="s">
        <v>943</v>
      </c>
      <c r="I1893" s="16">
        <v>20.41</v>
      </c>
      <c r="J1893" s="16">
        <v>18.260000000000002</v>
      </c>
      <c r="K1893" s="16">
        <v>1</v>
      </c>
      <c r="L1893" s="159">
        <f t="shared" si="151"/>
        <v>0.89465948064674183</v>
      </c>
      <c r="M1893" s="159">
        <f t="shared" si="151"/>
        <v>4.8995590396864283E-2</v>
      </c>
    </row>
    <row r="1894" spans="2:13">
      <c r="B1894" t="s">
        <v>189</v>
      </c>
      <c r="C1894">
        <f t="shared" si="153"/>
        <v>98</v>
      </c>
      <c r="D1894" t="str">
        <f t="shared" si="149"/>
        <v>Bassin Niçois98</v>
      </c>
      <c r="E1894" s="53" t="s">
        <v>995</v>
      </c>
      <c r="F1894" t="str">
        <f t="shared" si="150"/>
        <v>Bassin Niçois98</v>
      </c>
      <c r="G1894" t="s">
        <v>353</v>
      </c>
      <c r="I1894" s="16">
        <v>20.39</v>
      </c>
      <c r="J1894" s="16">
        <v>12.01</v>
      </c>
      <c r="K1894" s="16">
        <v>0</v>
      </c>
      <c r="L1894" s="159">
        <f t="shared" si="151"/>
        <v>0.58901422265816572</v>
      </c>
      <c r="M1894" s="159">
        <f t="shared" si="151"/>
        <v>0</v>
      </c>
    </row>
    <row r="1895" spans="2:13">
      <c r="B1895" t="s">
        <v>189</v>
      </c>
      <c r="C1895">
        <f t="shared" si="153"/>
        <v>99</v>
      </c>
      <c r="D1895" t="str">
        <f t="shared" si="149"/>
        <v>Bassin Niçois99</v>
      </c>
      <c r="E1895" s="53" t="s">
        <v>995</v>
      </c>
      <c r="F1895" t="str">
        <f t="shared" si="150"/>
        <v>Bassin Niçois99</v>
      </c>
      <c r="G1895" t="s">
        <v>396</v>
      </c>
      <c r="I1895" s="16">
        <v>19.66</v>
      </c>
      <c r="J1895" s="16">
        <v>16.54</v>
      </c>
      <c r="K1895" s="16">
        <v>0</v>
      </c>
      <c r="L1895" s="159">
        <f t="shared" si="151"/>
        <v>0.8413021363173957</v>
      </c>
      <c r="M1895" s="159">
        <f t="shared" si="151"/>
        <v>0</v>
      </c>
    </row>
    <row r="1896" spans="2:13">
      <c r="B1896" t="s">
        <v>189</v>
      </c>
      <c r="C1896">
        <f t="shared" si="153"/>
        <v>100</v>
      </c>
      <c r="D1896" t="str">
        <f t="shared" si="149"/>
        <v>Bassin Niçois100</v>
      </c>
      <c r="E1896" s="53" t="s">
        <v>995</v>
      </c>
      <c r="F1896" t="str">
        <f t="shared" si="150"/>
        <v>Bassin Niçois100</v>
      </c>
      <c r="G1896" t="s">
        <v>379</v>
      </c>
      <c r="H1896" t="s">
        <v>944</v>
      </c>
      <c r="I1896" s="16">
        <v>19.63</v>
      </c>
      <c r="J1896" s="16">
        <v>4</v>
      </c>
      <c r="K1896" s="16">
        <v>12.51</v>
      </c>
      <c r="L1896" s="159">
        <f t="shared" si="151"/>
        <v>0.20376974019358127</v>
      </c>
      <c r="M1896" s="159">
        <f t="shared" si="151"/>
        <v>0.6372898624554254</v>
      </c>
    </row>
    <row r="1897" spans="2:13">
      <c r="B1897" t="s">
        <v>189</v>
      </c>
      <c r="C1897">
        <f t="shared" si="153"/>
        <v>101</v>
      </c>
      <c r="D1897" t="str">
        <f t="shared" si="149"/>
        <v>Bassin Niçois101</v>
      </c>
      <c r="E1897" s="53" t="s">
        <v>995</v>
      </c>
      <c r="F1897" t="str">
        <f t="shared" si="150"/>
        <v>Bassin Niçois101</v>
      </c>
      <c r="G1897" t="s">
        <v>321</v>
      </c>
      <c r="I1897" s="16">
        <v>19.47</v>
      </c>
      <c r="J1897" s="16">
        <v>4.04</v>
      </c>
      <c r="K1897" s="16">
        <v>0</v>
      </c>
      <c r="L1897" s="159">
        <f t="shared" si="151"/>
        <v>0.20749871597329225</v>
      </c>
      <c r="M1897" s="159">
        <f t="shared" si="151"/>
        <v>0</v>
      </c>
    </row>
    <row r="1898" spans="2:13">
      <c r="B1898" t="s">
        <v>189</v>
      </c>
      <c r="C1898">
        <f t="shared" si="153"/>
        <v>102</v>
      </c>
      <c r="D1898" t="str">
        <f t="shared" si="149"/>
        <v>Bassin Niçois102</v>
      </c>
      <c r="E1898" s="53" t="s">
        <v>995</v>
      </c>
      <c r="F1898" t="str">
        <f t="shared" si="150"/>
        <v>Bassin Niçois102</v>
      </c>
      <c r="G1898" t="s">
        <v>368</v>
      </c>
      <c r="I1898" s="16">
        <v>18.87</v>
      </c>
      <c r="J1898" s="16">
        <v>8.01</v>
      </c>
      <c r="K1898" s="16">
        <v>0</v>
      </c>
      <c r="L1898" s="159">
        <f t="shared" si="151"/>
        <v>0.42448330683624796</v>
      </c>
      <c r="M1898" s="159">
        <f t="shared" si="151"/>
        <v>0</v>
      </c>
    </row>
    <row r="1899" spans="2:13">
      <c r="B1899" t="s">
        <v>189</v>
      </c>
      <c r="C1899">
        <f t="shared" si="153"/>
        <v>103</v>
      </c>
      <c r="D1899" t="str">
        <f t="shared" si="149"/>
        <v>Bassin Niçois103</v>
      </c>
      <c r="E1899" s="53" t="s">
        <v>995</v>
      </c>
      <c r="F1899" t="str">
        <f t="shared" si="150"/>
        <v>Bassin Niçois103</v>
      </c>
      <c r="G1899" t="s">
        <v>341</v>
      </c>
      <c r="I1899" s="16">
        <v>18.190000000000001</v>
      </c>
      <c r="J1899" s="16">
        <v>11.37</v>
      </c>
      <c r="K1899" s="16">
        <v>0</v>
      </c>
      <c r="L1899" s="159">
        <f t="shared" si="151"/>
        <v>0.62506871907641548</v>
      </c>
      <c r="M1899" s="159">
        <f t="shared" si="151"/>
        <v>0</v>
      </c>
    </row>
    <row r="1900" spans="2:13">
      <c r="B1900" t="s">
        <v>189</v>
      </c>
      <c r="C1900">
        <f t="shared" si="153"/>
        <v>104</v>
      </c>
      <c r="D1900" t="str">
        <f t="shared" si="149"/>
        <v>Bassin Niçois104</v>
      </c>
      <c r="E1900" s="53" t="s">
        <v>995</v>
      </c>
      <c r="F1900" t="str">
        <f t="shared" si="150"/>
        <v>Bassin Niçois104</v>
      </c>
      <c r="G1900" t="s">
        <v>414</v>
      </c>
      <c r="I1900" s="16">
        <v>17.89</v>
      </c>
      <c r="J1900" s="16">
        <v>0</v>
      </c>
      <c r="K1900" s="16">
        <v>0</v>
      </c>
      <c r="L1900" s="159">
        <f t="shared" si="151"/>
        <v>0</v>
      </c>
      <c r="M1900" s="159">
        <f t="shared" si="151"/>
        <v>0</v>
      </c>
    </row>
    <row r="1901" spans="2:13">
      <c r="B1901" t="s">
        <v>189</v>
      </c>
      <c r="C1901">
        <f t="shared" si="153"/>
        <v>105</v>
      </c>
      <c r="D1901" t="str">
        <f t="shared" si="149"/>
        <v>Bassin Niçois105</v>
      </c>
      <c r="E1901" s="53" t="s">
        <v>995</v>
      </c>
      <c r="F1901" t="str">
        <f t="shared" si="150"/>
        <v>Bassin Niçois105</v>
      </c>
      <c r="G1901" t="s">
        <v>344</v>
      </c>
      <c r="I1901" s="16">
        <v>17.52</v>
      </c>
      <c r="J1901" s="16">
        <v>13.48</v>
      </c>
      <c r="K1901" s="16">
        <v>0</v>
      </c>
      <c r="L1901" s="159">
        <f t="shared" si="151"/>
        <v>0.76940639269406397</v>
      </c>
      <c r="M1901" s="159">
        <f t="shared" si="151"/>
        <v>0</v>
      </c>
    </row>
    <row r="1902" spans="2:13">
      <c r="B1902" t="s">
        <v>189</v>
      </c>
      <c r="C1902">
        <f t="shared" si="153"/>
        <v>106</v>
      </c>
      <c r="D1902" t="str">
        <f t="shared" si="149"/>
        <v>Bassin Niçois106</v>
      </c>
      <c r="E1902" s="53" t="s">
        <v>995</v>
      </c>
      <c r="F1902" t="str">
        <f t="shared" si="150"/>
        <v>Bassin Niçois106</v>
      </c>
      <c r="G1902" t="s">
        <v>336</v>
      </c>
      <c r="H1902" t="s">
        <v>941</v>
      </c>
      <c r="I1902" s="16">
        <v>17.39</v>
      </c>
      <c r="J1902" s="16">
        <v>1.44</v>
      </c>
      <c r="K1902" s="16">
        <v>0</v>
      </c>
      <c r="L1902" s="159">
        <f t="shared" si="151"/>
        <v>8.280621046578493E-2</v>
      </c>
      <c r="M1902" s="159">
        <f t="shared" si="151"/>
        <v>0</v>
      </c>
    </row>
    <row r="1903" spans="2:13">
      <c r="B1903" t="s">
        <v>189</v>
      </c>
      <c r="C1903">
        <f t="shared" si="153"/>
        <v>107</v>
      </c>
      <c r="D1903" t="str">
        <f t="shared" si="149"/>
        <v>Bassin Niçois107</v>
      </c>
      <c r="E1903" s="53" t="s">
        <v>995</v>
      </c>
      <c r="F1903" t="str">
        <f t="shared" si="150"/>
        <v>Bassin Niçois107</v>
      </c>
      <c r="G1903" t="s">
        <v>399</v>
      </c>
      <c r="I1903" s="16">
        <v>16.88</v>
      </c>
      <c r="J1903" s="16">
        <v>0</v>
      </c>
      <c r="K1903" s="16">
        <v>0</v>
      </c>
      <c r="L1903" s="159">
        <f t="shared" si="151"/>
        <v>0</v>
      </c>
      <c r="M1903" s="159">
        <f t="shared" si="151"/>
        <v>0</v>
      </c>
    </row>
    <row r="1904" spans="2:13">
      <c r="B1904" t="s">
        <v>189</v>
      </c>
      <c r="C1904">
        <f t="shared" si="153"/>
        <v>108</v>
      </c>
      <c r="D1904" t="str">
        <f t="shared" si="149"/>
        <v>Bassin Niçois108</v>
      </c>
      <c r="E1904" s="53" t="s">
        <v>995</v>
      </c>
      <c r="F1904" t="str">
        <f t="shared" si="150"/>
        <v>Bassin Niçois108</v>
      </c>
      <c r="G1904" t="s">
        <v>301</v>
      </c>
      <c r="H1904" t="s">
        <v>918</v>
      </c>
      <c r="I1904" s="16">
        <v>16.84</v>
      </c>
      <c r="J1904" s="16">
        <v>6.06</v>
      </c>
      <c r="K1904" s="16">
        <v>0</v>
      </c>
      <c r="L1904" s="159">
        <f t="shared" si="151"/>
        <v>0.35985748218527314</v>
      </c>
      <c r="M1904" s="159">
        <f t="shared" si="151"/>
        <v>0</v>
      </c>
    </row>
    <row r="1905" spans="2:13">
      <c r="B1905" t="s">
        <v>189</v>
      </c>
      <c r="C1905">
        <f t="shared" si="153"/>
        <v>109</v>
      </c>
      <c r="D1905" t="str">
        <f t="shared" si="149"/>
        <v>Bassin Niçois109</v>
      </c>
      <c r="E1905" s="53" t="s">
        <v>995</v>
      </c>
      <c r="F1905" t="str">
        <f t="shared" si="150"/>
        <v>Bassin Niçois109</v>
      </c>
      <c r="G1905" t="s">
        <v>329</v>
      </c>
      <c r="I1905" s="16">
        <v>16.57</v>
      </c>
      <c r="J1905" s="16">
        <v>0</v>
      </c>
      <c r="K1905" s="16">
        <v>15.57</v>
      </c>
      <c r="L1905" s="159">
        <f t="shared" si="151"/>
        <v>0</v>
      </c>
      <c r="M1905" s="159">
        <f t="shared" si="151"/>
        <v>0.93964996982498494</v>
      </c>
    </row>
    <row r="1906" spans="2:13">
      <c r="B1906" t="s">
        <v>189</v>
      </c>
      <c r="C1906">
        <f t="shared" si="153"/>
        <v>110</v>
      </c>
      <c r="D1906" t="str">
        <f t="shared" si="149"/>
        <v>Bassin Niçois110</v>
      </c>
      <c r="E1906" s="53" t="s">
        <v>995</v>
      </c>
      <c r="F1906" t="str">
        <f t="shared" si="150"/>
        <v>Bassin Niçois110</v>
      </c>
      <c r="G1906" t="s">
        <v>415</v>
      </c>
      <c r="I1906" s="16">
        <v>16.45</v>
      </c>
      <c r="J1906" s="16">
        <v>12.45</v>
      </c>
      <c r="K1906" s="16">
        <v>0</v>
      </c>
      <c r="L1906" s="159">
        <f t="shared" si="151"/>
        <v>0.75683890577507595</v>
      </c>
      <c r="M1906" s="159">
        <f t="shared" si="151"/>
        <v>0</v>
      </c>
    </row>
    <row r="1907" spans="2:13">
      <c r="B1907" t="s">
        <v>189</v>
      </c>
      <c r="C1907">
        <f t="shared" si="153"/>
        <v>111</v>
      </c>
      <c r="D1907" t="str">
        <f t="shared" si="149"/>
        <v>Bassin Niçois111</v>
      </c>
      <c r="E1907" s="53" t="s">
        <v>995</v>
      </c>
      <c r="F1907" t="str">
        <f t="shared" si="150"/>
        <v>Bassin Niçois111</v>
      </c>
      <c r="G1907" t="s">
        <v>378</v>
      </c>
      <c r="I1907" s="16">
        <v>16.190000000000001</v>
      </c>
      <c r="J1907" s="16">
        <v>15.19</v>
      </c>
      <c r="K1907" s="16">
        <v>0</v>
      </c>
      <c r="L1907" s="159">
        <f t="shared" si="151"/>
        <v>0.93823347745521912</v>
      </c>
      <c r="M1907" s="159">
        <f t="shared" si="151"/>
        <v>0</v>
      </c>
    </row>
    <row r="1908" spans="2:13">
      <c r="B1908" t="s">
        <v>189</v>
      </c>
      <c r="C1908">
        <f t="shared" si="153"/>
        <v>112</v>
      </c>
      <c r="D1908" t="str">
        <f t="shared" si="149"/>
        <v>Bassin Niçois112</v>
      </c>
      <c r="E1908" s="53" t="s">
        <v>995</v>
      </c>
      <c r="F1908" t="str">
        <f t="shared" si="150"/>
        <v>Bassin Niçois112</v>
      </c>
      <c r="G1908" t="s">
        <v>400</v>
      </c>
      <c r="I1908" s="16">
        <v>16.04</v>
      </c>
      <c r="J1908" s="16">
        <v>16.04</v>
      </c>
      <c r="K1908" s="16">
        <v>0</v>
      </c>
      <c r="L1908" s="159">
        <f t="shared" si="151"/>
        <v>1</v>
      </c>
      <c r="M1908" s="159">
        <f t="shared" si="151"/>
        <v>0</v>
      </c>
    </row>
    <row r="1909" spans="2:13">
      <c r="B1909" t="s">
        <v>189</v>
      </c>
      <c r="C1909">
        <f t="shared" si="153"/>
        <v>113</v>
      </c>
      <c r="D1909" t="str">
        <f t="shared" si="149"/>
        <v>Bassin Niçois113</v>
      </c>
      <c r="E1909" s="53" t="s">
        <v>995</v>
      </c>
      <c r="F1909" t="str">
        <f t="shared" si="150"/>
        <v>Bassin Niçois113</v>
      </c>
      <c r="G1909" t="s">
        <v>393</v>
      </c>
      <c r="I1909" s="16">
        <v>15.59</v>
      </c>
      <c r="J1909" s="16">
        <v>0</v>
      </c>
      <c r="K1909" s="16">
        <v>0</v>
      </c>
      <c r="L1909" s="159">
        <f t="shared" si="151"/>
        <v>0</v>
      </c>
      <c r="M1909" s="159">
        <f t="shared" si="151"/>
        <v>0</v>
      </c>
    </row>
    <row r="1910" spans="2:13">
      <c r="B1910" t="s">
        <v>189</v>
      </c>
      <c r="C1910">
        <f t="shared" si="153"/>
        <v>114</v>
      </c>
      <c r="D1910" t="str">
        <f t="shared" si="149"/>
        <v>Bassin Niçois114</v>
      </c>
      <c r="E1910" s="53" t="s">
        <v>995</v>
      </c>
      <c r="F1910" t="str">
        <f t="shared" si="150"/>
        <v>Bassin Niçois114</v>
      </c>
      <c r="G1910" t="s">
        <v>314</v>
      </c>
      <c r="I1910" s="16">
        <v>15</v>
      </c>
      <c r="J1910" s="16">
        <v>15</v>
      </c>
      <c r="K1910" s="16">
        <v>0</v>
      </c>
      <c r="L1910" s="159">
        <f t="shared" si="151"/>
        <v>1</v>
      </c>
      <c r="M1910" s="159">
        <f t="shared" si="151"/>
        <v>0</v>
      </c>
    </row>
    <row r="1911" spans="2:13">
      <c r="B1911" t="s">
        <v>189</v>
      </c>
      <c r="C1911">
        <f t="shared" si="153"/>
        <v>115</v>
      </c>
      <c r="D1911" t="str">
        <f t="shared" si="149"/>
        <v>Bassin Niçois115</v>
      </c>
      <c r="E1911" s="53" t="s">
        <v>995</v>
      </c>
      <c r="F1911" t="str">
        <f t="shared" si="150"/>
        <v>Bassin Niçois115</v>
      </c>
      <c r="G1911" t="s">
        <v>305</v>
      </c>
      <c r="H1911" t="s">
        <v>937</v>
      </c>
      <c r="I1911" s="16">
        <v>14.59</v>
      </c>
      <c r="J1911" s="16">
        <v>4.4000000000000004</v>
      </c>
      <c r="K1911" s="16">
        <v>0</v>
      </c>
      <c r="L1911" s="159">
        <f t="shared" si="151"/>
        <v>0.3015764222069911</v>
      </c>
      <c r="M1911" s="159">
        <f t="shared" si="151"/>
        <v>0</v>
      </c>
    </row>
    <row r="1912" spans="2:13">
      <c r="B1912" t="s">
        <v>189</v>
      </c>
      <c r="C1912">
        <f t="shared" si="153"/>
        <v>116</v>
      </c>
      <c r="D1912" t="str">
        <f t="shared" si="149"/>
        <v>Bassin Niçois116</v>
      </c>
      <c r="E1912" s="53" t="s">
        <v>995</v>
      </c>
      <c r="F1912" t="str">
        <f t="shared" si="150"/>
        <v>Bassin Niçois116</v>
      </c>
      <c r="G1912" t="s">
        <v>315</v>
      </c>
      <c r="I1912" s="16">
        <v>14.4</v>
      </c>
      <c r="J1912" s="16">
        <v>0</v>
      </c>
      <c r="K1912" s="16">
        <v>6.16</v>
      </c>
      <c r="L1912" s="159">
        <f t="shared" si="151"/>
        <v>0</v>
      </c>
      <c r="M1912" s="159">
        <f t="shared" si="151"/>
        <v>0.42777777777777776</v>
      </c>
    </row>
    <row r="1913" spans="2:13">
      <c r="B1913" t="s">
        <v>189</v>
      </c>
      <c r="C1913">
        <f t="shared" si="153"/>
        <v>117</v>
      </c>
      <c r="D1913" t="str">
        <f t="shared" si="149"/>
        <v>Bassin Niçois117</v>
      </c>
      <c r="E1913" s="53" t="s">
        <v>995</v>
      </c>
      <c r="F1913" t="str">
        <f t="shared" si="150"/>
        <v>Bassin Niçois117</v>
      </c>
      <c r="G1913" t="s">
        <v>288</v>
      </c>
      <c r="I1913" s="16">
        <v>13.62</v>
      </c>
      <c r="J1913" s="16">
        <v>9.4600000000000009</v>
      </c>
      <c r="K1913" s="16">
        <v>0</v>
      </c>
      <c r="L1913" s="159">
        <f t="shared" si="151"/>
        <v>0.69456681350954486</v>
      </c>
      <c r="M1913" s="159">
        <f t="shared" si="151"/>
        <v>0</v>
      </c>
    </row>
    <row r="1914" spans="2:13">
      <c r="B1914" t="s">
        <v>189</v>
      </c>
      <c r="C1914">
        <f t="shared" si="153"/>
        <v>118</v>
      </c>
      <c r="D1914" t="str">
        <f t="shared" si="149"/>
        <v>Bassin Niçois118</v>
      </c>
      <c r="E1914" s="53" t="s">
        <v>995</v>
      </c>
      <c r="F1914" t="str">
        <f t="shared" si="150"/>
        <v>Bassin Niçois118</v>
      </c>
      <c r="G1914" t="s">
        <v>427</v>
      </c>
      <c r="H1914" t="s">
        <v>1797</v>
      </c>
      <c r="I1914" s="16">
        <v>13.03</v>
      </c>
      <c r="J1914" s="16">
        <v>8.61</v>
      </c>
      <c r="K1914" s="16">
        <v>0</v>
      </c>
      <c r="L1914" s="159">
        <f t="shared" si="151"/>
        <v>0.6607828089025326</v>
      </c>
      <c r="M1914" s="159">
        <f t="shared" si="151"/>
        <v>0</v>
      </c>
    </row>
    <row r="1915" spans="2:13">
      <c r="B1915" t="s">
        <v>189</v>
      </c>
      <c r="C1915">
        <f t="shared" si="153"/>
        <v>119</v>
      </c>
      <c r="D1915" t="str">
        <f t="shared" si="149"/>
        <v>Bassin Niçois119</v>
      </c>
      <c r="E1915" s="53" t="s">
        <v>995</v>
      </c>
      <c r="F1915" t="str">
        <f t="shared" si="150"/>
        <v>Bassin Niçois119</v>
      </c>
      <c r="G1915" t="s">
        <v>349</v>
      </c>
      <c r="I1915" s="16">
        <v>12.76</v>
      </c>
      <c r="J1915" s="16">
        <v>4.6399999999999997</v>
      </c>
      <c r="K1915" s="16">
        <v>1</v>
      </c>
      <c r="L1915" s="159">
        <f t="shared" si="151"/>
        <v>0.36363636363636359</v>
      </c>
      <c r="M1915" s="159">
        <f t="shared" si="151"/>
        <v>7.8369905956112859E-2</v>
      </c>
    </row>
    <row r="1916" spans="2:13">
      <c r="B1916" t="s">
        <v>189</v>
      </c>
      <c r="C1916">
        <f t="shared" si="153"/>
        <v>120</v>
      </c>
      <c r="D1916" t="str">
        <f t="shared" si="149"/>
        <v>Bassin Niçois120</v>
      </c>
      <c r="E1916" s="53" t="s">
        <v>995</v>
      </c>
      <c r="F1916" t="str">
        <f t="shared" si="150"/>
        <v>Bassin Niçois120</v>
      </c>
      <c r="G1916" t="s">
        <v>316</v>
      </c>
      <c r="H1916" t="s">
        <v>317</v>
      </c>
      <c r="I1916" s="16">
        <v>12.73</v>
      </c>
      <c r="J1916" s="16">
        <v>0</v>
      </c>
      <c r="K1916" s="16">
        <v>12.73</v>
      </c>
      <c r="L1916" s="159">
        <f t="shared" si="151"/>
        <v>0</v>
      </c>
      <c r="M1916" s="159">
        <f t="shared" si="151"/>
        <v>1</v>
      </c>
    </row>
    <row r="1917" spans="2:13">
      <c r="B1917" t="s">
        <v>189</v>
      </c>
      <c r="C1917">
        <f t="shared" si="153"/>
        <v>121</v>
      </c>
      <c r="D1917" t="str">
        <f t="shared" si="149"/>
        <v>Bassin Niçois121</v>
      </c>
      <c r="E1917" s="53" t="s">
        <v>995</v>
      </c>
      <c r="F1917" t="str">
        <f t="shared" si="150"/>
        <v>Bassin Niçois121</v>
      </c>
      <c r="G1917" t="s">
        <v>419</v>
      </c>
      <c r="I1917" s="16">
        <v>12.68</v>
      </c>
      <c r="J1917" s="16">
        <v>0</v>
      </c>
      <c r="K1917" s="16">
        <v>0</v>
      </c>
      <c r="L1917" s="159">
        <f t="shared" si="151"/>
        <v>0</v>
      </c>
      <c r="M1917" s="159">
        <f t="shared" si="151"/>
        <v>0</v>
      </c>
    </row>
    <row r="1918" spans="2:13">
      <c r="B1918" t="s">
        <v>189</v>
      </c>
      <c r="C1918">
        <f t="shared" si="153"/>
        <v>122</v>
      </c>
      <c r="D1918" t="str">
        <f t="shared" si="149"/>
        <v>Bassin Niçois122</v>
      </c>
      <c r="E1918" s="53" t="s">
        <v>995</v>
      </c>
      <c r="F1918" t="str">
        <f t="shared" si="150"/>
        <v>Bassin Niçois122</v>
      </c>
      <c r="G1918" t="s">
        <v>454</v>
      </c>
      <c r="I1918" s="16">
        <v>12.4</v>
      </c>
      <c r="J1918" s="16">
        <v>12.4</v>
      </c>
      <c r="K1918" s="16">
        <v>0</v>
      </c>
      <c r="L1918" s="159">
        <f t="shared" si="151"/>
        <v>1</v>
      </c>
      <c r="M1918" s="159">
        <f t="shared" si="151"/>
        <v>0</v>
      </c>
    </row>
    <row r="1919" spans="2:13">
      <c r="B1919" t="s">
        <v>189</v>
      </c>
      <c r="C1919">
        <f t="shared" si="153"/>
        <v>123</v>
      </c>
      <c r="D1919" t="str">
        <f t="shared" si="149"/>
        <v>Bassin Niçois123</v>
      </c>
      <c r="E1919" s="53" t="s">
        <v>995</v>
      </c>
      <c r="F1919" t="str">
        <f t="shared" si="150"/>
        <v>Bassin Niçois123</v>
      </c>
      <c r="G1919" t="s">
        <v>448</v>
      </c>
      <c r="I1919" s="16">
        <v>12.33</v>
      </c>
      <c r="J1919" s="16">
        <v>0</v>
      </c>
      <c r="K1919" s="16">
        <v>0</v>
      </c>
      <c r="L1919" s="159">
        <f t="shared" si="151"/>
        <v>0</v>
      </c>
      <c r="M1919" s="159">
        <f t="shared" si="151"/>
        <v>0</v>
      </c>
    </row>
    <row r="1920" spans="2:13">
      <c r="B1920" t="s">
        <v>189</v>
      </c>
      <c r="C1920">
        <f t="shared" si="153"/>
        <v>124</v>
      </c>
      <c r="D1920" t="str">
        <f t="shared" si="149"/>
        <v>Bassin Niçois124</v>
      </c>
      <c r="E1920" s="53" t="s">
        <v>995</v>
      </c>
      <c r="F1920" t="str">
        <f t="shared" si="150"/>
        <v>Bassin Niçois124</v>
      </c>
      <c r="G1920" t="s">
        <v>432</v>
      </c>
      <c r="I1920" s="16">
        <v>11.99</v>
      </c>
      <c r="J1920" s="16">
        <v>7.82</v>
      </c>
      <c r="K1920" s="16">
        <v>0</v>
      </c>
      <c r="L1920" s="159">
        <f t="shared" si="151"/>
        <v>0.65221017514595503</v>
      </c>
      <c r="M1920" s="159">
        <f t="shared" si="151"/>
        <v>0</v>
      </c>
    </row>
    <row r="1921" spans="2:13">
      <c r="B1921" t="s">
        <v>189</v>
      </c>
      <c r="C1921">
        <f t="shared" si="153"/>
        <v>125</v>
      </c>
      <c r="D1921" t="str">
        <f t="shared" si="149"/>
        <v>Bassin Niçois125</v>
      </c>
      <c r="E1921" s="53" t="s">
        <v>995</v>
      </c>
      <c r="F1921" t="str">
        <f t="shared" si="150"/>
        <v>Bassin Niçois125</v>
      </c>
      <c r="G1921" t="s">
        <v>333</v>
      </c>
      <c r="I1921" s="16">
        <v>11.75</v>
      </c>
      <c r="J1921" s="16">
        <v>0</v>
      </c>
      <c r="K1921" s="16">
        <v>0</v>
      </c>
      <c r="L1921" s="159">
        <f t="shared" si="151"/>
        <v>0</v>
      </c>
      <c r="M1921" s="159">
        <f t="shared" si="151"/>
        <v>0</v>
      </c>
    </row>
    <row r="1922" spans="2:13">
      <c r="B1922" t="s">
        <v>189</v>
      </c>
      <c r="C1922">
        <f t="shared" si="153"/>
        <v>126</v>
      </c>
      <c r="D1922" t="str">
        <f t="shared" ref="D1922:D1985" si="154">CONCATENATE(E1922,C1922)</f>
        <v>Bassin Niçois126</v>
      </c>
      <c r="E1922" s="53" t="s">
        <v>995</v>
      </c>
      <c r="F1922" t="str">
        <f t="shared" si="150"/>
        <v>Bassin Niçois126</v>
      </c>
      <c r="G1922" t="s">
        <v>366</v>
      </c>
      <c r="I1922" s="16">
        <v>11.38</v>
      </c>
      <c r="J1922" s="16">
        <v>0</v>
      </c>
      <c r="K1922" s="16">
        <v>0</v>
      </c>
      <c r="L1922" s="159">
        <f t="shared" si="151"/>
        <v>0</v>
      </c>
      <c r="M1922" s="159">
        <f t="shared" si="151"/>
        <v>0</v>
      </c>
    </row>
    <row r="1923" spans="2:13">
      <c r="B1923" t="s">
        <v>189</v>
      </c>
      <c r="C1923">
        <f t="shared" si="153"/>
        <v>127</v>
      </c>
      <c r="D1923" t="str">
        <f t="shared" si="154"/>
        <v>Bassin Niçois127</v>
      </c>
      <c r="E1923" s="53" t="s">
        <v>995</v>
      </c>
      <c r="F1923" t="str">
        <f t="shared" ref="F1923:F1986" si="155">D1923</f>
        <v>Bassin Niçois127</v>
      </c>
      <c r="G1923" t="s">
        <v>357</v>
      </c>
      <c r="I1923" s="16">
        <v>10.73</v>
      </c>
      <c r="J1923" s="16">
        <v>0</v>
      </c>
      <c r="K1923" s="16">
        <v>0</v>
      </c>
      <c r="L1923" s="159">
        <f t="shared" ref="L1923:M1986" si="156">J1923/$I1923</f>
        <v>0</v>
      </c>
      <c r="M1923" s="159">
        <f t="shared" si="156"/>
        <v>0</v>
      </c>
    </row>
    <row r="1924" spans="2:13">
      <c r="B1924" t="s">
        <v>189</v>
      </c>
      <c r="C1924">
        <f t="shared" si="153"/>
        <v>128</v>
      </c>
      <c r="D1924" t="str">
        <f t="shared" si="154"/>
        <v>Bassin Niçois128</v>
      </c>
      <c r="E1924" s="53" t="s">
        <v>995</v>
      </c>
      <c r="F1924" t="str">
        <f t="shared" si="155"/>
        <v>Bassin Niçois128</v>
      </c>
      <c r="G1924" t="s">
        <v>337</v>
      </c>
      <c r="I1924" s="16">
        <v>10.029999999999999</v>
      </c>
      <c r="J1924" s="16">
        <v>2</v>
      </c>
      <c r="K1924" s="16">
        <v>1</v>
      </c>
      <c r="L1924" s="159">
        <f t="shared" si="156"/>
        <v>0.19940179461615157</v>
      </c>
      <c r="M1924" s="159">
        <f t="shared" si="156"/>
        <v>9.9700897308075784E-2</v>
      </c>
    </row>
    <row r="1925" spans="2:13">
      <c r="B1925" t="s">
        <v>189</v>
      </c>
      <c r="C1925">
        <f t="shared" ref="C1925:C1956" si="157">RANK(I1925,$I$1796:$I$1965,0)</f>
        <v>129</v>
      </c>
      <c r="D1925" t="str">
        <f t="shared" si="154"/>
        <v>Bassin Niçois129</v>
      </c>
      <c r="E1925" s="53" t="s">
        <v>995</v>
      </c>
      <c r="F1925" t="str">
        <f t="shared" si="155"/>
        <v>Bassin Niçois129</v>
      </c>
      <c r="G1925" t="s">
        <v>429</v>
      </c>
      <c r="I1925" s="16">
        <v>10</v>
      </c>
      <c r="J1925" s="16">
        <v>0</v>
      </c>
      <c r="K1925" s="16">
        <v>10</v>
      </c>
      <c r="L1925" s="159">
        <f t="shared" si="156"/>
        <v>0</v>
      </c>
      <c r="M1925" s="159">
        <f t="shared" si="156"/>
        <v>1</v>
      </c>
    </row>
    <row r="1926" spans="2:13">
      <c r="B1926" t="s">
        <v>189</v>
      </c>
      <c r="C1926">
        <f t="shared" si="157"/>
        <v>129</v>
      </c>
      <c r="D1926" t="str">
        <f t="shared" si="154"/>
        <v>Bassin Niçois129</v>
      </c>
      <c r="E1926" s="53" t="s">
        <v>995</v>
      </c>
      <c r="F1926" t="str">
        <f t="shared" si="155"/>
        <v>Bassin Niçois129</v>
      </c>
      <c r="G1926" t="s">
        <v>428</v>
      </c>
      <c r="I1926" s="16">
        <v>10</v>
      </c>
      <c r="J1926" s="16">
        <v>10</v>
      </c>
      <c r="K1926" s="16">
        <v>0</v>
      </c>
      <c r="L1926" s="159">
        <f t="shared" si="156"/>
        <v>1</v>
      </c>
      <c r="M1926" s="159">
        <f t="shared" si="156"/>
        <v>0</v>
      </c>
    </row>
    <row r="1927" spans="2:13">
      <c r="B1927" t="s">
        <v>189</v>
      </c>
      <c r="C1927">
        <f t="shared" si="157"/>
        <v>131</v>
      </c>
      <c r="D1927" t="str">
        <f t="shared" si="154"/>
        <v>Bassin Niçois131</v>
      </c>
      <c r="E1927" s="53" t="s">
        <v>995</v>
      </c>
      <c r="F1927" t="str">
        <f t="shared" si="155"/>
        <v>Bassin Niçois131</v>
      </c>
      <c r="G1927" t="s">
        <v>401</v>
      </c>
      <c r="I1927" s="16">
        <v>9.31</v>
      </c>
      <c r="J1927" s="16">
        <v>5</v>
      </c>
      <c r="K1927" s="16">
        <v>0</v>
      </c>
      <c r="L1927" s="159">
        <f t="shared" si="156"/>
        <v>0.53705692803437166</v>
      </c>
      <c r="M1927" s="159">
        <f t="shared" si="156"/>
        <v>0</v>
      </c>
    </row>
    <row r="1928" spans="2:13">
      <c r="B1928" t="s">
        <v>189</v>
      </c>
      <c r="C1928">
        <f t="shared" si="157"/>
        <v>132</v>
      </c>
      <c r="D1928" t="str">
        <f t="shared" si="154"/>
        <v>Bassin Niçois132</v>
      </c>
      <c r="E1928" s="53" t="s">
        <v>995</v>
      </c>
      <c r="F1928" t="str">
        <f t="shared" si="155"/>
        <v>Bassin Niçois132</v>
      </c>
      <c r="G1928" t="s">
        <v>441</v>
      </c>
      <c r="I1928" s="16">
        <v>9.01</v>
      </c>
      <c r="J1928" s="16">
        <v>9.01</v>
      </c>
      <c r="K1928" s="16">
        <v>0</v>
      </c>
      <c r="L1928" s="159">
        <f t="shared" si="156"/>
        <v>1</v>
      </c>
      <c r="M1928" s="159">
        <f t="shared" si="156"/>
        <v>0</v>
      </c>
    </row>
    <row r="1929" spans="2:13">
      <c r="B1929" t="s">
        <v>189</v>
      </c>
      <c r="C1929">
        <f t="shared" si="157"/>
        <v>133</v>
      </c>
      <c r="D1929" t="str">
        <f t="shared" si="154"/>
        <v>Bassin Niçois133</v>
      </c>
      <c r="E1929" s="53" t="s">
        <v>995</v>
      </c>
      <c r="F1929" t="str">
        <f t="shared" si="155"/>
        <v>Bassin Niçois133</v>
      </c>
      <c r="G1929" t="s">
        <v>381</v>
      </c>
      <c r="I1929" s="16">
        <v>8.61</v>
      </c>
      <c r="J1929" s="16">
        <v>4.3099999999999996</v>
      </c>
      <c r="K1929" s="16">
        <v>0</v>
      </c>
      <c r="L1929" s="159">
        <f t="shared" si="156"/>
        <v>0.50058072009291521</v>
      </c>
      <c r="M1929" s="159">
        <f t="shared" si="156"/>
        <v>0</v>
      </c>
    </row>
    <row r="1930" spans="2:13">
      <c r="B1930" t="s">
        <v>189</v>
      </c>
      <c r="C1930">
        <f t="shared" si="157"/>
        <v>133</v>
      </c>
      <c r="D1930" t="str">
        <f t="shared" si="154"/>
        <v>Bassin Niçois133</v>
      </c>
      <c r="E1930" s="53" t="s">
        <v>995</v>
      </c>
      <c r="F1930" t="str">
        <f t="shared" si="155"/>
        <v>Bassin Niçois133</v>
      </c>
      <c r="G1930" t="s">
        <v>355</v>
      </c>
      <c r="I1930" s="16">
        <v>8.61</v>
      </c>
      <c r="J1930" s="16">
        <v>8.61</v>
      </c>
      <c r="K1930" s="16">
        <v>0</v>
      </c>
      <c r="L1930" s="159">
        <f t="shared" si="156"/>
        <v>1</v>
      </c>
      <c r="M1930" s="159">
        <f t="shared" si="156"/>
        <v>0</v>
      </c>
    </row>
    <row r="1931" spans="2:13">
      <c r="B1931" t="s">
        <v>189</v>
      </c>
      <c r="C1931">
        <f t="shared" si="157"/>
        <v>133</v>
      </c>
      <c r="D1931" t="str">
        <f t="shared" si="154"/>
        <v>Bassin Niçois133</v>
      </c>
      <c r="E1931" s="53" t="s">
        <v>995</v>
      </c>
      <c r="F1931" t="str">
        <f t="shared" si="155"/>
        <v>Bassin Niçois133</v>
      </c>
      <c r="G1931" t="s">
        <v>421</v>
      </c>
      <c r="I1931" s="16">
        <v>8.61</v>
      </c>
      <c r="J1931" s="16">
        <v>0</v>
      </c>
      <c r="K1931" s="16">
        <v>0</v>
      </c>
      <c r="L1931" s="159">
        <f t="shared" si="156"/>
        <v>0</v>
      </c>
      <c r="M1931" s="159">
        <f t="shared" si="156"/>
        <v>0</v>
      </c>
    </row>
    <row r="1932" spans="2:13">
      <c r="B1932" t="s">
        <v>189</v>
      </c>
      <c r="C1932">
        <f t="shared" si="157"/>
        <v>133</v>
      </c>
      <c r="D1932" t="str">
        <f t="shared" si="154"/>
        <v>Bassin Niçois133</v>
      </c>
      <c r="E1932" s="53" t="s">
        <v>995</v>
      </c>
      <c r="F1932" t="str">
        <f t="shared" si="155"/>
        <v>Bassin Niçois133</v>
      </c>
      <c r="G1932" t="s">
        <v>323</v>
      </c>
      <c r="I1932" s="16">
        <v>8.61</v>
      </c>
      <c r="J1932" s="16">
        <v>0</v>
      </c>
      <c r="K1932" s="16">
        <v>0</v>
      </c>
      <c r="L1932" s="159">
        <f t="shared" si="156"/>
        <v>0</v>
      </c>
      <c r="M1932" s="159">
        <f t="shared" si="156"/>
        <v>0</v>
      </c>
    </row>
    <row r="1933" spans="2:13">
      <c r="B1933" t="s">
        <v>189</v>
      </c>
      <c r="C1933">
        <f t="shared" si="157"/>
        <v>133</v>
      </c>
      <c r="D1933" t="str">
        <f t="shared" si="154"/>
        <v>Bassin Niçois133</v>
      </c>
      <c r="E1933" s="53" t="s">
        <v>995</v>
      </c>
      <c r="F1933" t="str">
        <f t="shared" si="155"/>
        <v>Bassin Niçois133</v>
      </c>
      <c r="G1933" t="s">
        <v>418</v>
      </c>
      <c r="I1933" s="16">
        <v>8.61</v>
      </c>
      <c r="J1933" s="16">
        <v>8.61</v>
      </c>
      <c r="K1933" s="16">
        <v>0</v>
      </c>
      <c r="L1933" s="159">
        <f t="shared" si="156"/>
        <v>1</v>
      </c>
      <c r="M1933" s="159">
        <f t="shared" si="156"/>
        <v>0</v>
      </c>
    </row>
    <row r="1934" spans="2:13">
      <c r="B1934" t="s">
        <v>189</v>
      </c>
      <c r="C1934">
        <f t="shared" si="157"/>
        <v>138</v>
      </c>
      <c r="D1934" t="str">
        <f t="shared" si="154"/>
        <v>Bassin Niçois138</v>
      </c>
      <c r="E1934" s="53" t="s">
        <v>995</v>
      </c>
      <c r="F1934" t="str">
        <f t="shared" si="155"/>
        <v>Bassin Niçois138</v>
      </c>
      <c r="G1934" t="s">
        <v>426</v>
      </c>
      <c r="I1934" s="16">
        <v>8.24</v>
      </c>
      <c r="J1934" s="16">
        <v>0</v>
      </c>
      <c r="K1934" s="16">
        <v>0</v>
      </c>
      <c r="L1934" s="159">
        <f t="shared" si="156"/>
        <v>0</v>
      </c>
      <c r="M1934" s="159">
        <f t="shared" si="156"/>
        <v>0</v>
      </c>
    </row>
    <row r="1935" spans="2:13">
      <c r="B1935" t="s">
        <v>189</v>
      </c>
      <c r="C1935">
        <f t="shared" si="157"/>
        <v>139</v>
      </c>
      <c r="D1935" t="str">
        <f t="shared" si="154"/>
        <v>Bassin Niçois139</v>
      </c>
      <c r="E1935" s="53" t="s">
        <v>995</v>
      </c>
      <c r="F1935" t="str">
        <f t="shared" si="155"/>
        <v>Bassin Niçois139</v>
      </c>
      <c r="G1935" t="s">
        <v>327</v>
      </c>
      <c r="H1935" t="s">
        <v>1799</v>
      </c>
      <c r="I1935" s="16">
        <v>8.09</v>
      </c>
      <c r="J1935" s="16">
        <v>8.09</v>
      </c>
      <c r="K1935" s="16">
        <v>4.04</v>
      </c>
      <c r="L1935" s="159">
        <f t="shared" si="156"/>
        <v>1</v>
      </c>
      <c r="M1935" s="159">
        <f t="shared" si="156"/>
        <v>0.49938195302843019</v>
      </c>
    </row>
    <row r="1936" spans="2:13">
      <c r="B1936" t="s">
        <v>189</v>
      </c>
      <c r="C1936">
        <f t="shared" si="157"/>
        <v>139</v>
      </c>
      <c r="D1936" t="str">
        <f t="shared" si="154"/>
        <v>Bassin Niçois139</v>
      </c>
      <c r="E1936" s="53" t="s">
        <v>995</v>
      </c>
      <c r="F1936" t="str">
        <f t="shared" si="155"/>
        <v>Bassin Niçois139</v>
      </c>
      <c r="G1936" t="s">
        <v>412</v>
      </c>
      <c r="I1936" s="16">
        <v>8.09</v>
      </c>
      <c r="J1936" s="16">
        <v>0</v>
      </c>
      <c r="K1936" s="16">
        <v>0</v>
      </c>
      <c r="L1936" s="159">
        <f t="shared" si="156"/>
        <v>0</v>
      </c>
      <c r="M1936" s="159">
        <f t="shared" si="156"/>
        <v>0</v>
      </c>
    </row>
    <row r="1937" spans="2:13">
      <c r="B1937" t="s">
        <v>189</v>
      </c>
      <c r="C1937">
        <f t="shared" si="157"/>
        <v>141</v>
      </c>
      <c r="D1937" t="str">
        <f t="shared" si="154"/>
        <v>Bassin Niçois141</v>
      </c>
      <c r="E1937" s="53" t="s">
        <v>995</v>
      </c>
      <c r="F1937" t="str">
        <f t="shared" si="155"/>
        <v>Bassin Niçois141</v>
      </c>
      <c r="G1937" t="s">
        <v>365</v>
      </c>
      <c r="I1937" s="16">
        <v>8.02</v>
      </c>
      <c r="J1937" s="16">
        <v>0</v>
      </c>
      <c r="K1937" s="16">
        <v>8.02</v>
      </c>
      <c r="L1937" s="159">
        <f t="shared" si="156"/>
        <v>0</v>
      </c>
      <c r="M1937" s="159">
        <f t="shared" si="156"/>
        <v>1</v>
      </c>
    </row>
    <row r="1938" spans="2:13">
      <c r="B1938" t="s">
        <v>189</v>
      </c>
      <c r="C1938">
        <f t="shared" si="157"/>
        <v>142</v>
      </c>
      <c r="D1938" t="str">
        <f t="shared" si="154"/>
        <v>Bassin Niçois142</v>
      </c>
      <c r="E1938" s="53" t="s">
        <v>995</v>
      </c>
      <c r="F1938" t="str">
        <f t="shared" si="155"/>
        <v>Bassin Niçois142</v>
      </c>
      <c r="G1938" t="s">
        <v>391</v>
      </c>
      <c r="I1938" s="16">
        <v>7.43</v>
      </c>
      <c r="J1938" s="16">
        <v>4.3099999999999996</v>
      </c>
      <c r="K1938" s="16">
        <v>0</v>
      </c>
      <c r="L1938" s="159">
        <f t="shared" si="156"/>
        <v>0.58008075370121126</v>
      </c>
      <c r="M1938" s="159">
        <f t="shared" si="156"/>
        <v>0</v>
      </c>
    </row>
    <row r="1939" spans="2:13">
      <c r="B1939" t="s">
        <v>189</v>
      </c>
      <c r="C1939">
        <f t="shared" si="157"/>
        <v>142</v>
      </c>
      <c r="D1939" t="str">
        <f t="shared" si="154"/>
        <v>Bassin Niçois142</v>
      </c>
      <c r="E1939" s="53" t="s">
        <v>995</v>
      </c>
      <c r="F1939" t="str">
        <f t="shared" si="155"/>
        <v>Bassin Niçois142</v>
      </c>
      <c r="G1939" t="s">
        <v>293</v>
      </c>
      <c r="I1939" s="16">
        <v>7.43</v>
      </c>
      <c r="J1939" s="16">
        <v>4.3099999999999996</v>
      </c>
      <c r="K1939" s="16">
        <v>0</v>
      </c>
      <c r="L1939" s="159">
        <f t="shared" si="156"/>
        <v>0.58008075370121126</v>
      </c>
      <c r="M1939" s="159">
        <f t="shared" si="156"/>
        <v>0</v>
      </c>
    </row>
    <row r="1940" spans="2:13">
      <c r="B1940" t="s">
        <v>189</v>
      </c>
      <c r="C1940">
        <f t="shared" si="157"/>
        <v>144</v>
      </c>
      <c r="D1940" t="str">
        <f t="shared" si="154"/>
        <v>Bassin Niçois144</v>
      </c>
      <c r="E1940" s="53" t="s">
        <v>995</v>
      </c>
      <c r="F1940" t="str">
        <f t="shared" si="155"/>
        <v>Bassin Niçois144</v>
      </c>
      <c r="G1940" t="s">
        <v>436</v>
      </c>
      <c r="I1940" s="16">
        <v>6.92</v>
      </c>
      <c r="J1940" s="16">
        <v>6.92</v>
      </c>
      <c r="K1940" s="16">
        <v>0</v>
      </c>
      <c r="L1940" s="159">
        <f t="shared" si="156"/>
        <v>1</v>
      </c>
      <c r="M1940" s="159">
        <f t="shared" si="156"/>
        <v>0</v>
      </c>
    </row>
    <row r="1941" spans="2:13">
      <c r="B1941" t="s">
        <v>189</v>
      </c>
      <c r="C1941">
        <f t="shared" si="157"/>
        <v>145</v>
      </c>
      <c r="D1941" t="str">
        <f t="shared" si="154"/>
        <v>Bassin Niçois145</v>
      </c>
      <c r="E1941" s="53" t="s">
        <v>995</v>
      </c>
      <c r="F1941" t="str">
        <f t="shared" si="155"/>
        <v>Bassin Niçois145</v>
      </c>
      <c r="G1941" t="s">
        <v>217</v>
      </c>
      <c r="I1941" s="16">
        <v>6.7</v>
      </c>
      <c r="J1941" s="16">
        <v>0</v>
      </c>
      <c r="K1941" s="16">
        <v>0</v>
      </c>
      <c r="L1941" s="159">
        <f t="shared" si="156"/>
        <v>0</v>
      </c>
      <c r="M1941" s="159">
        <f t="shared" si="156"/>
        <v>0</v>
      </c>
    </row>
    <row r="1942" spans="2:13">
      <c r="B1942" t="s">
        <v>189</v>
      </c>
      <c r="C1942">
        <f t="shared" si="157"/>
        <v>146</v>
      </c>
      <c r="D1942" t="str">
        <f t="shared" si="154"/>
        <v>Bassin Niçois146</v>
      </c>
      <c r="E1942" s="53" t="s">
        <v>995</v>
      </c>
      <c r="F1942" t="str">
        <f t="shared" si="155"/>
        <v>Bassin Niçois146</v>
      </c>
      <c r="G1942" t="s">
        <v>383</v>
      </c>
      <c r="I1942" s="16">
        <v>6</v>
      </c>
      <c r="J1942" s="16">
        <v>6</v>
      </c>
      <c r="K1942" s="16">
        <v>3</v>
      </c>
      <c r="L1942" s="159">
        <f t="shared" si="156"/>
        <v>1</v>
      </c>
      <c r="M1942" s="159">
        <f t="shared" si="156"/>
        <v>0.5</v>
      </c>
    </row>
    <row r="1943" spans="2:13">
      <c r="B1943" t="s">
        <v>189</v>
      </c>
      <c r="C1943">
        <f t="shared" si="157"/>
        <v>146</v>
      </c>
      <c r="D1943" t="str">
        <f t="shared" si="154"/>
        <v>Bassin Niçois146</v>
      </c>
      <c r="E1943" s="53" t="s">
        <v>995</v>
      </c>
      <c r="F1943" t="str">
        <f t="shared" si="155"/>
        <v>Bassin Niçois146</v>
      </c>
      <c r="G1943" t="s">
        <v>437</v>
      </c>
      <c r="I1943" s="16">
        <v>6</v>
      </c>
      <c r="J1943" s="16">
        <v>6</v>
      </c>
      <c r="K1943" s="16">
        <v>6</v>
      </c>
      <c r="L1943" s="159">
        <f t="shared" si="156"/>
        <v>1</v>
      </c>
      <c r="M1943" s="159">
        <f t="shared" si="156"/>
        <v>1</v>
      </c>
    </row>
    <row r="1944" spans="2:13">
      <c r="B1944" t="s">
        <v>189</v>
      </c>
      <c r="C1944">
        <f t="shared" si="157"/>
        <v>148</v>
      </c>
      <c r="D1944" t="str">
        <f t="shared" si="154"/>
        <v>Bassin Niçois148</v>
      </c>
      <c r="E1944" s="53" t="s">
        <v>995</v>
      </c>
      <c r="F1944" t="str">
        <f t="shared" si="155"/>
        <v>Bassin Niçois148</v>
      </c>
      <c r="G1944" t="s">
        <v>397</v>
      </c>
      <c r="I1944" s="16">
        <v>5.89</v>
      </c>
      <c r="J1944" s="16">
        <v>0</v>
      </c>
      <c r="K1944" s="16">
        <v>0</v>
      </c>
      <c r="L1944" s="159">
        <f t="shared" si="156"/>
        <v>0</v>
      </c>
      <c r="M1944" s="159">
        <f t="shared" si="156"/>
        <v>0</v>
      </c>
    </row>
    <row r="1945" spans="2:13">
      <c r="B1945" t="s">
        <v>189</v>
      </c>
      <c r="C1945">
        <f t="shared" si="157"/>
        <v>149</v>
      </c>
      <c r="D1945" t="str">
        <f t="shared" si="154"/>
        <v>Bassin Niçois149</v>
      </c>
      <c r="E1945" s="53" t="s">
        <v>995</v>
      </c>
      <c r="F1945" t="str">
        <f t="shared" si="155"/>
        <v>Bassin Niçois149</v>
      </c>
      <c r="G1945" t="s">
        <v>352</v>
      </c>
      <c r="I1945" s="16">
        <v>5.84</v>
      </c>
      <c r="J1945" s="16">
        <v>0</v>
      </c>
      <c r="K1945" s="16">
        <v>0</v>
      </c>
      <c r="L1945" s="159">
        <f t="shared" si="156"/>
        <v>0</v>
      </c>
      <c r="M1945" s="159">
        <f t="shared" si="156"/>
        <v>0</v>
      </c>
    </row>
    <row r="1946" spans="2:13">
      <c r="B1946" t="s">
        <v>189</v>
      </c>
      <c r="C1946">
        <f t="shared" si="157"/>
        <v>150</v>
      </c>
      <c r="D1946" t="str">
        <f t="shared" si="154"/>
        <v>Bassin Niçois150</v>
      </c>
      <c r="E1946" s="53" t="s">
        <v>995</v>
      </c>
      <c r="F1946" t="str">
        <f t="shared" si="155"/>
        <v>Bassin Niçois150</v>
      </c>
      <c r="G1946" t="s">
        <v>435</v>
      </c>
      <c r="I1946" s="16">
        <v>5.71</v>
      </c>
      <c r="J1946" s="16">
        <v>5.71</v>
      </c>
      <c r="K1946" s="16">
        <v>0</v>
      </c>
      <c r="L1946" s="159">
        <f t="shared" si="156"/>
        <v>1</v>
      </c>
      <c r="M1946" s="159">
        <f t="shared" si="156"/>
        <v>0</v>
      </c>
    </row>
    <row r="1947" spans="2:13">
      <c r="B1947" t="s">
        <v>189</v>
      </c>
      <c r="C1947">
        <f t="shared" si="157"/>
        <v>150</v>
      </c>
      <c r="D1947" t="str">
        <f t="shared" si="154"/>
        <v>Bassin Niçois150</v>
      </c>
      <c r="E1947" s="53" t="s">
        <v>995</v>
      </c>
      <c r="F1947" t="str">
        <f t="shared" si="155"/>
        <v>Bassin Niçois150</v>
      </c>
      <c r="G1947" t="s">
        <v>384</v>
      </c>
      <c r="I1947" s="16">
        <v>5.71</v>
      </c>
      <c r="J1947" s="16">
        <v>5.71</v>
      </c>
      <c r="K1947" s="16">
        <v>0</v>
      </c>
      <c r="L1947" s="159">
        <f t="shared" si="156"/>
        <v>1</v>
      </c>
      <c r="M1947" s="159">
        <f t="shared" si="156"/>
        <v>0</v>
      </c>
    </row>
    <row r="1948" spans="2:13">
      <c r="B1948" t="s">
        <v>189</v>
      </c>
      <c r="C1948">
        <f t="shared" si="157"/>
        <v>152</v>
      </c>
      <c r="D1948" t="str">
        <f t="shared" si="154"/>
        <v>Bassin Niçois152</v>
      </c>
      <c r="E1948" s="53" t="s">
        <v>995</v>
      </c>
      <c r="F1948" t="str">
        <f t="shared" si="155"/>
        <v>Bassin Niçois152</v>
      </c>
      <c r="G1948" t="s">
        <v>285</v>
      </c>
      <c r="H1948" t="s">
        <v>286</v>
      </c>
      <c r="I1948" s="16">
        <v>5.66</v>
      </c>
      <c r="J1948" s="16">
        <v>0</v>
      </c>
      <c r="K1948" s="16">
        <v>1</v>
      </c>
      <c r="L1948" s="159">
        <f t="shared" si="156"/>
        <v>0</v>
      </c>
      <c r="M1948" s="159">
        <f t="shared" si="156"/>
        <v>0.17667844522968199</v>
      </c>
    </row>
    <row r="1949" spans="2:13">
      <c r="B1949" t="s">
        <v>189</v>
      </c>
      <c r="C1949">
        <f t="shared" si="157"/>
        <v>153</v>
      </c>
      <c r="D1949" t="str">
        <f t="shared" si="154"/>
        <v>Bassin Niçois153</v>
      </c>
      <c r="E1949" s="53" t="s">
        <v>995</v>
      </c>
      <c r="F1949" t="str">
        <f t="shared" si="155"/>
        <v>Bassin Niçois153</v>
      </c>
      <c r="G1949" t="s">
        <v>444</v>
      </c>
      <c r="I1949" s="16">
        <v>5.04</v>
      </c>
      <c r="J1949" s="16">
        <v>1</v>
      </c>
      <c r="K1949" s="16">
        <v>0</v>
      </c>
      <c r="L1949" s="159">
        <f t="shared" si="156"/>
        <v>0.1984126984126984</v>
      </c>
      <c r="M1949" s="159">
        <f t="shared" si="156"/>
        <v>0</v>
      </c>
    </row>
    <row r="1950" spans="2:13">
      <c r="B1950" t="s">
        <v>189</v>
      </c>
      <c r="C1950">
        <f t="shared" si="157"/>
        <v>154</v>
      </c>
      <c r="D1950" t="str">
        <f t="shared" si="154"/>
        <v>Bassin Niçois154</v>
      </c>
      <c r="E1950" s="53" t="s">
        <v>995</v>
      </c>
      <c r="F1950" t="str">
        <f t="shared" si="155"/>
        <v>Bassin Niçois154</v>
      </c>
      <c r="G1950" t="s">
        <v>377</v>
      </c>
      <c r="I1950" s="16">
        <v>5</v>
      </c>
      <c r="J1950" s="16">
        <v>0</v>
      </c>
      <c r="K1950" s="16">
        <v>5</v>
      </c>
      <c r="L1950" s="159">
        <f t="shared" si="156"/>
        <v>0</v>
      </c>
      <c r="M1950" s="159">
        <f t="shared" si="156"/>
        <v>1</v>
      </c>
    </row>
    <row r="1951" spans="2:13">
      <c r="B1951" t="s">
        <v>189</v>
      </c>
      <c r="C1951">
        <f t="shared" si="157"/>
        <v>155</v>
      </c>
      <c r="D1951" t="str">
        <f t="shared" si="154"/>
        <v>Bassin Niçois155</v>
      </c>
      <c r="E1951" s="53" t="s">
        <v>995</v>
      </c>
      <c r="F1951" t="str">
        <f t="shared" si="155"/>
        <v>Bassin Niçois155</v>
      </c>
      <c r="G1951" t="s">
        <v>445</v>
      </c>
      <c r="I1951" s="16">
        <v>4.51</v>
      </c>
      <c r="J1951" s="16">
        <v>4.51</v>
      </c>
      <c r="K1951" s="16">
        <v>0</v>
      </c>
      <c r="L1951" s="159">
        <f t="shared" si="156"/>
        <v>1</v>
      </c>
      <c r="M1951" s="159">
        <f t="shared" si="156"/>
        <v>0</v>
      </c>
    </row>
    <row r="1952" spans="2:13">
      <c r="B1952" t="s">
        <v>189</v>
      </c>
      <c r="C1952">
        <f t="shared" si="157"/>
        <v>156</v>
      </c>
      <c r="D1952" t="str">
        <f t="shared" si="154"/>
        <v>Bassin Niçois156</v>
      </c>
      <c r="E1952" s="53" t="s">
        <v>995</v>
      </c>
      <c r="F1952" t="str">
        <f t="shared" si="155"/>
        <v>Bassin Niçois156</v>
      </c>
      <c r="G1952" t="s">
        <v>367</v>
      </c>
      <c r="I1952" s="16">
        <v>4.3099999999999996</v>
      </c>
      <c r="J1952" s="16">
        <v>4.3099999999999996</v>
      </c>
      <c r="K1952" s="16">
        <v>0</v>
      </c>
      <c r="L1952" s="159">
        <f t="shared" si="156"/>
        <v>1</v>
      </c>
      <c r="M1952" s="159">
        <f t="shared" si="156"/>
        <v>0</v>
      </c>
    </row>
    <row r="1953" spans="2:13">
      <c r="B1953" t="s">
        <v>189</v>
      </c>
      <c r="C1953">
        <f t="shared" si="157"/>
        <v>156</v>
      </c>
      <c r="D1953" t="str">
        <f t="shared" si="154"/>
        <v>Bassin Niçois156</v>
      </c>
      <c r="E1953" s="53" t="s">
        <v>995</v>
      </c>
      <c r="F1953" t="str">
        <f t="shared" si="155"/>
        <v>Bassin Niçois156</v>
      </c>
      <c r="G1953" t="s">
        <v>389</v>
      </c>
      <c r="I1953" s="16">
        <v>4.3099999999999996</v>
      </c>
      <c r="J1953" s="16">
        <v>4.3099999999999996</v>
      </c>
      <c r="K1953" s="16">
        <v>0</v>
      </c>
      <c r="L1953" s="159">
        <f t="shared" si="156"/>
        <v>1</v>
      </c>
      <c r="M1953" s="159">
        <f t="shared" si="156"/>
        <v>0</v>
      </c>
    </row>
    <row r="1954" spans="2:13">
      <c r="B1954" t="s">
        <v>189</v>
      </c>
      <c r="C1954">
        <f t="shared" si="157"/>
        <v>158</v>
      </c>
      <c r="D1954" t="str">
        <f t="shared" si="154"/>
        <v>Bassin Niçois158</v>
      </c>
      <c r="E1954" s="53" t="s">
        <v>995</v>
      </c>
      <c r="F1954" t="str">
        <f t="shared" si="155"/>
        <v>Bassin Niçois158</v>
      </c>
      <c r="G1954" t="s">
        <v>409</v>
      </c>
      <c r="I1954" s="16">
        <v>4.25</v>
      </c>
      <c r="J1954" s="16">
        <v>1.25</v>
      </c>
      <c r="K1954" s="16">
        <v>3</v>
      </c>
      <c r="L1954" s="159">
        <f t="shared" si="156"/>
        <v>0.29411764705882354</v>
      </c>
      <c r="M1954" s="159">
        <f t="shared" si="156"/>
        <v>0.70588235294117652</v>
      </c>
    </row>
    <row r="1955" spans="2:13">
      <c r="B1955" t="s">
        <v>189</v>
      </c>
      <c r="C1955">
        <f t="shared" si="157"/>
        <v>159</v>
      </c>
      <c r="D1955" t="str">
        <f t="shared" si="154"/>
        <v>Bassin Niçois159</v>
      </c>
      <c r="E1955" s="53" t="s">
        <v>995</v>
      </c>
      <c r="F1955" t="str">
        <f t="shared" si="155"/>
        <v>Bassin Niçois159</v>
      </c>
      <c r="G1955" t="s">
        <v>398</v>
      </c>
      <c r="I1955" s="16">
        <v>4.12</v>
      </c>
      <c r="J1955" s="16">
        <v>0</v>
      </c>
      <c r="K1955" s="16">
        <v>0</v>
      </c>
      <c r="L1955" s="159">
        <f t="shared" si="156"/>
        <v>0</v>
      </c>
      <c r="M1955" s="159">
        <f t="shared" si="156"/>
        <v>0</v>
      </c>
    </row>
    <row r="1956" spans="2:13">
      <c r="B1956" t="s">
        <v>189</v>
      </c>
      <c r="C1956">
        <f t="shared" si="157"/>
        <v>160</v>
      </c>
      <c r="D1956" t="str">
        <f t="shared" si="154"/>
        <v>Bassin Niçois160</v>
      </c>
      <c r="E1956" s="53" t="s">
        <v>995</v>
      </c>
      <c r="F1956" t="str">
        <f t="shared" si="155"/>
        <v>Bassin Niçois160</v>
      </c>
      <c r="G1956" t="s">
        <v>416</v>
      </c>
      <c r="I1956" s="16">
        <v>3.81</v>
      </c>
      <c r="J1956" s="16">
        <v>3.81</v>
      </c>
      <c r="K1956" s="16">
        <v>0</v>
      </c>
      <c r="L1956" s="159">
        <f t="shared" si="156"/>
        <v>1</v>
      </c>
      <c r="M1956" s="159">
        <f t="shared" si="156"/>
        <v>0</v>
      </c>
    </row>
    <row r="1957" spans="2:13">
      <c r="B1957" t="s">
        <v>189</v>
      </c>
      <c r="C1957">
        <f t="shared" ref="C1957:C1965" si="158">RANK(I1957,$I$1796:$I$1965,0)</f>
        <v>161</v>
      </c>
      <c r="D1957" t="str">
        <f t="shared" si="154"/>
        <v>Bassin Niçois161</v>
      </c>
      <c r="E1957" s="53" t="s">
        <v>995</v>
      </c>
      <c r="F1957" t="str">
        <f t="shared" si="155"/>
        <v>Bassin Niçois161</v>
      </c>
      <c r="G1957" t="s">
        <v>359</v>
      </c>
      <c r="I1957" s="16">
        <v>3.34</v>
      </c>
      <c r="J1957" s="16">
        <v>3.34</v>
      </c>
      <c r="K1957" s="16">
        <v>0</v>
      </c>
      <c r="L1957" s="159">
        <f t="shared" si="156"/>
        <v>1</v>
      </c>
      <c r="M1957" s="159">
        <f t="shared" si="156"/>
        <v>0</v>
      </c>
    </row>
    <row r="1958" spans="2:13">
      <c r="B1958" t="s">
        <v>189</v>
      </c>
      <c r="C1958">
        <f t="shared" si="158"/>
        <v>162</v>
      </c>
      <c r="D1958" t="str">
        <f t="shared" si="154"/>
        <v>Bassin Niçois162</v>
      </c>
      <c r="E1958" s="53" t="s">
        <v>995</v>
      </c>
      <c r="F1958" t="str">
        <f t="shared" si="155"/>
        <v>Bassin Niçois162</v>
      </c>
      <c r="G1958" t="s">
        <v>411</v>
      </c>
      <c r="I1958" s="16">
        <v>3.05</v>
      </c>
      <c r="J1958" s="16">
        <v>3.05</v>
      </c>
      <c r="K1958" s="16">
        <v>0</v>
      </c>
      <c r="L1958" s="159">
        <f t="shared" si="156"/>
        <v>1</v>
      </c>
      <c r="M1958" s="159">
        <f t="shared" si="156"/>
        <v>0</v>
      </c>
    </row>
    <row r="1959" spans="2:13">
      <c r="B1959" t="s">
        <v>189</v>
      </c>
      <c r="C1959">
        <f t="shared" si="158"/>
        <v>163</v>
      </c>
      <c r="D1959" t="str">
        <f t="shared" si="154"/>
        <v>Bassin Niçois163</v>
      </c>
      <c r="E1959" s="53" t="s">
        <v>995</v>
      </c>
      <c r="F1959" t="str">
        <f t="shared" si="155"/>
        <v>Bassin Niçois163</v>
      </c>
      <c r="G1959" t="s">
        <v>370</v>
      </c>
      <c r="I1959" s="16">
        <v>3</v>
      </c>
      <c r="J1959" s="16">
        <v>3</v>
      </c>
      <c r="K1959" s="16">
        <v>0</v>
      </c>
      <c r="L1959" s="159">
        <f t="shared" si="156"/>
        <v>1</v>
      </c>
      <c r="M1959" s="159">
        <f t="shared" si="156"/>
        <v>0</v>
      </c>
    </row>
    <row r="1960" spans="2:13">
      <c r="B1960" t="s">
        <v>189</v>
      </c>
      <c r="C1960">
        <f t="shared" si="158"/>
        <v>164</v>
      </c>
      <c r="D1960" t="str">
        <f t="shared" si="154"/>
        <v>Bassin Niçois164</v>
      </c>
      <c r="E1960" s="53" t="s">
        <v>995</v>
      </c>
      <c r="F1960" t="str">
        <f t="shared" si="155"/>
        <v>Bassin Niçois164</v>
      </c>
      <c r="G1960" t="s">
        <v>404</v>
      </c>
      <c r="I1960" s="16">
        <v>2.1800000000000002</v>
      </c>
      <c r="J1960" s="16">
        <v>2.1800000000000002</v>
      </c>
      <c r="K1960" s="16">
        <v>0</v>
      </c>
      <c r="L1960" s="159">
        <f t="shared" si="156"/>
        <v>1</v>
      </c>
      <c r="M1960" s="159">
        <f t="shared" si="156"/>
        <v>0</v>
      </c>
    </row>
    <row r="1961" spans="2:13">
      <c r="B1961" t="s">
        <v>189</v>
      </c>
      <c r="C1961">
        <f t="shared" si="158"/>
        <v>164</v>
      </c>
      <c r="D1961" t="str">
        <f t="shared" si="154"/>
        <v>Bassin Niçois164</v>
      </c>
      <c r="E1961" s="53" t="s">
        <v>995</v>
      </c>
      <c r="F1961" t="str">
        <f t="shared" si="155"/>
        <v>Bassin Niçois164</v>
      </c>
      <c r="G1961" t="s">
        <v>424</v>
      </c>
      <c r="I1961" s="16">
        <v>2.1800000000000002</v>
      </c>
      <c r="J1961" s="16">
        <v>2.1800000000000002</v>
      </c>
      <c r="K1961" s="16">
        <v>0</v>
      </c>
      <c r="L1961" s="159">
        <f t="shared" si="156"/>
        <v>1</v>
      </c>
      <c r="M1961" s="159">
        <f t="shared" si="156"/>
        <v>0</v>
      </c>
    </row>
    <row r="1962" spans="2:13">
      <c r="B1962" t="s">
        <v>189</v>
      </c>
      <c r="C1962">
        <f t="shared" si="158"/>
        <v>166</v>
      </c>
      <c r="D1962" t="str">
        <f t="shared" si="154"/>
        <v>Bassin Niçois166</v>
      </c>
      <c r="E1962" s="53" t="s">
        <v>995</v>
      </c>
      <c r="F1962" t="str">
        <f t="shared" si="155"/>
        <v>Bassin Niçois166</v>
      </c>
      <c r="G1962" t="s">
        <v>425</v>
      </c>
      <c r="I1962" s="16">
        <v>2.0099999999999998</v>
      </c>
      <c r="J1962" s="16">
        <v>0</v>
      </c>
      <c r="K1962" s="16">
        <v>0</v>
      </c>
      <c r="L1962" s="159">
        <f t="shared" si="156"/>
        <v>0</v>
      </c>
      <c r="M1962" s="159">
        <f t="shared" si="156"/>
        <v>0</v>
      </c>
    </row>
    <row r="1963" spans="2:13">
      <c r="B1963" t="s">
        <v>189</v>
      </c>
      <c r="C1963">
        <f t="shared" si="158"/>
        <v>167</v>
      </c>
      <c r="D1963" t="str">
        <f t="shared" si="154"/>
        <v>Bassin Niçois167</v>
      </c>
      <c r="E1963" s="53" t="s">
        <v>995</v>
      </c>
      <c r="F1963" t="str">
        <f t="shared" si="155"/>
        <v>Bassin Niçois167</v>
      </c>
      <c r="G1963" t="s">
        <v>343</v>
      </c>
      <c r="I1963" s="16">
        <v>2</v>
      </c>
      <c r="J1963" s="16">
        <v>0</v>
      </c>
      <c r="K1963" s="16">
        <v>0</v>
      </c>
      <c r="L1963" s="159">
        <f t="shared" si="156"/>
        <v>0</v>
      </c>
      <c r="M1963" s="159">
        <f t="shared" si="156"/>
        <v>0</v>
      </c>
    </row>
    <row r="1964" spans="2:13">
      <c r="B1964" t="s">
        <v>189</v>
      </c>
      <c r="C1964">
        <f t="shared" si="158"/>
        <v>167</v>
      </c>
      <c r="D1964" t="str">
        <f t="shared" si="154"/>
        <v>Bassin Niçois167</v>
      </c>
      <c r="E1964" s="53" t="s">
        <v>995</v>
      </c>
      <c r="F1964" t="str">
        <f t="shared" si="155"/>
        <v>Bassin Niçois167</v>
      </c>
      <c r="G1964" t="s">
        <v>339</v>
      </c>
      <c r="I1964" s="16">
        <v>2</v>
      </c>
      <c r="J1964" s="16">
        <v>0</v>
      </c>
      <c r="K1964" s="16">
        <v>2</v>
      </c>
      <c r="L1964" s="159">
        <f t="shared" si="156"/>
        <v>0</v>
      </c>
      <c r="M1964" s="159">
        <f t="shared" si="156"/>
        <v>1</v>
      </c>
    </row>
    <row r="1965" spans="2:13">
      <c r="B1965" t="s">
        <v>189</v>
      </c>
      <c r="C1965">
        <f t="shared" si="158"/>
        <v>169</v>
      </c>
      <c r="D1965" t="str">
        <f t="shared" si="154"/>
        <v>Bassin Niçois169</v>
      </c>
      <c r="E1965" s="53" t="s">
        <v>995</v>
      </c>
      <c r="F1965" t="str">
        <f t="shared" si="155"/>
        <v>Bassin Niçois169</v>
      </c>
      <c r="G1965" t="s">
        <v>458</v>
      </c>
      <c r="I1965" s="16">
        <v>1</v>
      </c>
      <c r="J1965" s="16">
        <v>0</v>
      </c>
      <c r="K1965" s="16">
        <v>0</v>
      </c>
      <c r="L1965" s="159">
        <f t="shared" si="156"/>
        <v>0</v>
      </c>
      <c r="M1965" s="159">
        <f t="shared" si="156"/>
        <v>0</v>
      </c>
    </row>
    <row r="1966" spans="2:13">
      <c r="B1966" t="s">
        <v>192</v>
      </c>
      <c r="C1966">
        <f t="shared" ref="C1966:C1997" si="159">RANK(I1966,$I$1965:$I$2128,0)</f>
        <v>1</v>
      </c>
      <c r="D1966" t="str">
        <f t="shared" si="154"/>
        <v>MARSEILLE1</v>
      </c>
      <c r="E1966" t="s">
        <v>193</v>
      </c>
      <c r="F1966" t="str">
        <f t="shared" si="155"/>
        <v>MARSEILLE1</v>
      </c>
      <c r="G1966" t="s">
        <v>216</v>
      </c>
      <c r="H1966" t="s">
        <v>910</v>
      </c>
      <c r="I1966" s="16">
        <v>1597.89</v>
      </c>
      <c r="J1966" s="16">
        <v>1282.45</v>
      </c>
      <c r="K1966" s="16">
        <v>145.33000000000001</v>
      </c>
      <c r="L1966" s="159">
        <f t="shared" si="156"/>
        <v>0.80258966512087815</v>
      </c>
      <c r="M1966" s="159">
        <f t="shared" si="156"/>
        <v>9.0951191884297414E-2</v>
      </c>
    </row>
    <row r="1967" spans="2:13">
      <c r="B1967" t="s">
        <v>192</v>
      </c>
      <c r="C1967">
        <f t="shared" si="159"/>
        <v>2</v>
      </c>
      <c r="D1967" t="str">
        <f t="shared" si="154"/>
        <v>MARSEILLE2</v>
      </c>
      <c r="E1967" t="s">
        <v>193</v>
      </c>
      <c r="F1967" t="str">
        <f t="shared" si="155"/>
        <v>MARSEILLE2</v>
      </c>
      <c r="G1967" t="s">
        <v>235</v>
      </c>
      <c r="H1967" t="s">
        <v>236</v>
      </c>
      <c r="I1967" s="16">
        <v>1115.1300000000001</v>
      </c>
      <c r="J1967" s="16">
        <v>9</v>
      </c>
      <c r="K1967" s="16">
        <v>450</v>
      </c>
      <c r="L1967" s="159">
        <f t="shared" si="156"/>
        <v>8.0708078878695758E-3</v>
      </c>
      <c r="M1967" s="159">
        <f t="shared" si="156"/>
        <v>0.40354039439347877</v>
      </c>
    </row>
    <row r="1968" spans="2:13">
      <c r="B1968" t="s">
        <v>192</v>
      </c>
      <c r="C1968">
        <f t="shared" si="159"/>
        <v>3</v>
      </c>
      <c r="D1968" t="str">
        <f t="shared" si="154"/>
        <v>MARSEILLE3</v>
      </c>
      <c r="E1968" t="s">
        <v>193</v>
      </c>
      <c r="F1968" t="str">
        <f t="shared" si="155"/>
        <v>MARSEILLE3</v>
      </c>
      <c r="G1968" t="s">
        <v>225</v>
      </c>
      <c r="H1968" t="s">
        <v>1779</v>
      </c>
      <c r="I1968" s="16">
        <v>1050.67</v>
      </c>
      <c r="J1968" s="16">
        <v>186.81</v>
      </c>
      <c r="K1968" s="16">
        <v>145.1</v>
      </c>
      <c r="L1968" s="159">
        <f t="shared" si="156"/>
        <v>0.17780083185015275</v>
      </c>
      <c r="M1968" s="159">
        <f t="shared" si="156"/>
        <v>0.13810235373618737</v>
      </c>
    </row>
    <row r="1969" spans="2:13">
      <c r="B1969" t="s">
        <v>192</v>
      </c>
      <c r="C1969">
        <f t="shared" si="159"/>
        <v>4</v>
      </c>
      <c r="D1969" t="str">
        <f t="shared" si="154"/>
        <v>MARSEILLE4</v>
      </c>
      <c r="E1969" t="s">
        <v>193</v>
      </c>
      <c r="F1969" t="str">
        <f t="shared" si="155"/>
        <v>MARSEILLE4</v>
      </c>
      <c r="G1969" t="s">
        <v>207</v>
      </c>
      <c r="H1969" t="s">
        <v>906</v>
      </c>
      <c r="I1969" s="16">
        <v>992.81</v>
      </c>
      <c r="J1969" s="16">
        <v>355.39</v>
      </c>
      <c r="K1969" s="16">
        <v>663.7</v>
      </c>
      <c r="L1969" s="159">
        <f t="shared" si="156"/>
        <v>0.3579637594303039</v>
      </c>
      <c r="M1969" s="159">
        <f t="shared" si="156"/>
        <v>0.66850656218208926</v>
      </c>
    </row>
    <row r="1970" spans="2:13">
      <c r="B1970" t="s">
        <v>192</v>
      </c>
      <c r="C1970">
        <f t="shared" si="159"/>
        <v>5</v>
      </c>
      <c r="D1970" t="str">
        <f t="shared" si="154"/>
        <v>MARSEILLE5</v>
      </c>
      <c r="E1970" t="s">
        <v>193</v>
      </c>
      <c r="F1970" t="str">
        <f t="shared" si="155"/>
        <v>MARSEILLE5</v>
      </c>
      <c r="G1970" t="s">
        <v>208</v>
      </c>
      <c r="H1970" t="s">
        <v>907</v>
      </c>
      <c r="I1970" s="16">
        <v>926.61</v>
      </c>
      <c r="J1970" s="16">
        <v>273.11</v>
      </c>
      <c r="K1970" s="16">
        <v>305.70999999999998</v>
      </c>
      <c r="L1970" s="159">
        <f t="shared" si="156"/>
        <v>0.29474104531572076</v>
      </c>
      <c r="M1970" s="159">
        <f t="shared" si="156"/>
        <v>0.32992305284855544</v>
      </c>
    </row>
    <row r="1971" spans="2:13">
      <c r="B1971" t="s">
        <v>192</v>
      </c>
      <c r="C1971">
        <f t="shared" si="159"/>
        <v>6</v>
      </c>
      <c r="D1971" t="str">
        <f t="shared" si="154"/>
        <v>MARSEILLE6</v>
      </c>
      <c r="E1971" t="s">
        <v>193</v>
      </c>
      <c r="F1971" t="str">
        <f t="shared" si="155"/>
        <v>MARSEILLE6</v>
      </c>
      <c r="G1971" t="s">
        <v>211</v>
      </c>
      <c r="H1971" t="s">
        <v>908</v>
      </c>
      <c r="I1971" s="16">
        <v>754.06</v>
      </c>
      <c r="J1971" s="16">
        <v>448.69</v>
      </c>
      <c r="K1971" s="16">
        <v>316.24</v>
      </c>
      <c r="L1971" s="159">
        <f t="shared" si="156"/>
        <v>0.59503222555234336</v>
      </c>
      <c r="M1971" s="159">
        <f t="shared" si="156"/>
        <v>0.41938307296501609</v>
      </c>
    </row>
    <row r="1972" spans="2:13">
      <c r="B1972" t="s">
        <v>192</v>
      </c>
      <c r="C1972">
        <f t="shared" si="159"/>
        <v>7</v>
      </c>
      <c r="D1972" t="str">
        <f t="shared" si="154"/>
        <v>MARSEILLE7</v>
      </c>
      <c r="E1972" t="s">
        <v>193</v>
      </c>
      <c r="F1972" t="str">
        <f t="shared" si="155"/>
        <v>MARSEILLE7</v>
      </c>
      <c r="G1972" t="s">
        <v>218</v>
      </c>
      <c r="H1972" t="s">
        <v>911</v>
      </c>
      <c r="I1972" s="16">
        <v>734.85</v>
      </c>
      <c r="J1972" s="16">
        <v>361.79</v>
      </c>
      <c r="K1972" s="16">
        <v>350.38</v>
      </c>
      <c r="L1972" s="159">
        <f t="shared" si="156"/>
        <v>0.49233176838810644</v>
      </c>
      <c r="M1972" s="159">
        <f t="shared" si="156"/>
        <v>0.4768047900932163</v>
      </c>
    </row>
    <row r="1973" spans="2:13">
      <c r="B1973" t="s">
        <v>192</v>
      </c>
      <c r="C1973">
        <f t="shared" si="159"/>
        <v>8</v>
      </c>
      <c r="D1973" t="str">
        <f t="shared" si="154"/>
        <v>MARSEILLE8</v>
      </c>
      <c r="E1973" t="s">
        <v>193</v>
      </c>
      <c r="F1973" t="str">
        <f t="shared" si="155"/>
        <v>MARSEILLE8</v>
      </c>
      <c r="G1973" t="s">
        <v>212</v>
      </c>
      <c r="H1973" t="s">
        <v>909</v>
      </c>
      <c r="I1973" s="16">
        <v>712.5</v>
      </c>
      <c r="J1973" s="16">
        <v>11.84</v>
      </c>
      <c r="K1973" s="16">
        <v>101.91</v>
      </c>
      <c r="L1973" s="159">
        <f t="shared" si="156"/>
        <v>1.6617543859649121E-2</v>
      </c>
      <c r="M1973" s="159">
        <f t="shared" si="156"/>
        <v>0.14303157894736843</v>
      </c>
    </row>
    <row r="1974" spans="2:13">
      <c r="B1974" t="s">
        <v>192</v>
      </c>
      <c r="C1974">
        <f t="shared" si="159"/>
        <v>9</v>
      </c>
      <c r="D1974" t="str">
        <f t="shared" si="154"/>
        <v>MARSEILLE9</v>
      </c>
      <c r="E1974" t="s">
        <v>193</v>
      </c>
      <c r="F1974" t="str">
        <f t="shared" si="155"/>
        <v>MARSEILLE9</v>
      </c>
      <c r="G1974" t="s">
        <v>224</v>
      </c>
      <c r="H1974" t="s">
        <v>917</v>
      </c>
      <c r="I1974" s="16">
        <v>709.56</v>
      </c>
      <c r="J1974" s="16">
        <v>190.76</v>
      </c>
      <c r="K1974" s="16">
        <v>48.84</v>
      </c>
      <c r="L1974" s="159">
        <f t="shared" si="156"/>
        <v>0.268842663058797</v>
      </c>
      <c r="M1974" s="159">
        <f t="shared" si="156"/>
        <v>6.8831388466091672E-2</v>
      </c>
    </row>
    <row r="1975" spans="2:13">
      <c r="B1975" t="s">
        <v>192</v>
      </c>
      <c r="C1975">
        <f t="shared" si="159"/>
        <v>10</v>
      </c>
      <c r="D1975" t="str">
        <f t="shared" si="154"/>
        <v>MARSEILLE10</v>
      </c>
      <c r="E1975" t="s">
        <v>193</v>
      </c>
      <c r="F1975" t="str">
        <f t="shared" si="155"/>
        <v>MARSEILLE10</v>
      </c>
      <c r="G1975" t="s">
        <v>266</v>
      </c>
      <c r="H1975" t="s">
        <v>267</v>
      </c>
      <c r="I1975" s="16">
        <v>589.54999999999995</v>
      </c>
      <c r="J1975" s="16">
        <v>147.35</v>
      </c>
      <c r="K1975" s="16">
        <v>61.42</v>
      </c>
      <c r="L1975" s="159">
        <f t="shared" si="156"/>
        <v>0.24993639216351454</v>
      </c>
      <c r="M1975" s="159">
        <f t="shared" si="156"/>
        <v>0.10418115511831058</v>
      </c>
    </row>
    <row r="1976" spans="2:13">
      <c r="B1976" t="s">
        <v>192</v>
      </c>
      <c r="C1976">
        <f t="shared" si="159"/>
        <v>11</v>
      </c>
      <c r="D1976" t="str">
        <f t="shared" si="154"/>
        <v>MARSEILLE11</v>
      </c>
      <c r="E1976" t="s">
        <v>193</v>
      </c>
      <c r="F1976" t="str">
        <f t="shared" si="155"/>
        <v>MARSEILLE11</v>
      </c>
      <c r="G1976" t="s">
        <v>214</v>
      </c>
      <c r="H1976" t="s">
        <v>215</v>
      </c>
      <c r="I1976" s="16">
        <v>573.13</v>
      </c>
      <c r="J1976" s="16">
        <v>312.48</v>
      </c>
      <c r="K1976" s="16">
        <v>238.26</v>
      </c>
      <c r="L1976" s="159">
        <f t="shared" si="156"/>
        <v>0.54521661752133033</v>
      </c>
      <c r="M1976" s="159">
        <f t="shared" si="156"/>
        <v>0.4157172020309528</v>
      </c>
    </row>
    <row r="1977" spans="2:13">
      <c r="B1977" t="s">
        <v>192</v>
      </c>
      <c r="C1977">
        <f t="shared" si="159"/>
        <v>12</v>
      </c>
      <c r="D1977" t="str">
        <f t="shared" si="154"/>
        <v>MARSEILLE12</v>
      </c>
      <c r="E1977" t="s">
        <v>193</v>
      </c>
      <c r="F1977" t="str">
        <f t="shared" si="155"/>
        <v>MARSEILLE12</v>
      </c>
      <c r="G1977" t="s">
        <v>234</v>
      </c>
      <c r="H1977" t="s">
        <v>923</v>
      </c>
      <c r="I1977" s="16">
        <v>569.63</v>
      </c>
      <c r="J1977" s="16">
        <v>183.42</v>
      </c>
      <c r="K1977" s="16">
        <v>44.14</v>
      </c>
      <c r="L1977" s="159">
        <f t="shared" si="156"/>
        <v>0.32199849024805571</v>
      </c>
      <c r="M1977" s="159">
        <f t="shared" si="156"/>
        <v>7.7488896301107738E-2</v>
      </c>
    </row>
    <row r="1978" spans="2:13">
      <c r="B1978" t="s">
        <v>192</v>
      </c>
      <c r="C1978">
        <f t="shared" si="159"/>
        <v>13</v>
      </c>
      <c r="D1978" t="str">
        <f t="shared" si="154"/>
        <v>MARSEILLE13</v>
      </c>
      <c r="E1978" t="s">
        <v>193</v>
      </c>
      <c r="F1978" t="str">
        <f t="shared" si="155"/>
        <v>MARSEILLE13</v>
      </c>
      <c r="G1978" t="s">
        <v>219</v>
      </c>
      <c r="H1978" t="s">
        <v>912</v>
      </c>
      <c r="I1978" s="16">
        <v>553.55999999999995</v>
      </c>
      <c r="J1978" s="16">
        <v>322.67</v>
      </c>
      <c r="K1978" s="16">
        <v>224.1</v>
      </c>
      <c r="L1978" s="159">
        <f t="shared" si="156"/>
        <v>0.58289977599537546</v>
      </c>
      <c r="M1978" s="159">
        <f t="shared" si="156"/>
        <v>0.4048341643182311</v>
      </c>
    </row>
    <row r="1979" spans="2:13">
      <c r="B1979" t="s">
        <v>192</v>
      </c>
      <c r="C1979">
        <f t="shared" si="159"/>
        <v>14</v>
      </c>
      <c r="D1979" t="str">
        <f t="shared" si="154"/>
        <v>MARSEILLE14</v>
      </c>
      <c r="E1979" t="s">
        <v>193</v>
      </c>
      <c r="F1979" t="str">
        <f t="shared" si="155"/>
        <v>MARSEILLE14</v>
      </c>
      <c r="G1979" t="s">
        <v>221</v>
      </c>
      <c r="H1979" t="s">
        <v>914</v>
      </c>
      <c r="I1979" s="16">
        <v>543.09</v>
      </c>
      <c r="J1979" s="16">
        <v>52.45</v>
      </c>
      <c r="K1979" s="16">
        <v>227.28</v>
      </c>
      <c r="L1979" s="159">
        <f t="shared" si="156"/>
        <v>9.6576994604945773E-2</v>
      </c>
      <c r="M1979" s="159">
        <f t="shared" si="156"/>
        <v>0.41849417223664581</v>
      </c>
    </row>
    <row r="1980" spans="2:13">
      <c r="B1980" t="s">
        <v>192</v>
      </c>
      <c r="C1980">
        <f t="shared" si="159"/>
        <v>15</v>
      </c>
      <c r="D1980" t="str">
        <f t="shared" si="154"/>
        <v>MARSEILLE15</v>
      </c>
      <c r="E1980" t="s">
        <v>193</v>
      </c>
      <c r="F1980" t="str">
        <f t="shared" si="155"/>
        <v>MARSEILLE15</v>
      </c>
      <c r="G1980" t="s">
        <v>213</v>
      </c>
      <c r="H1980" t="s">
        <v>919</v>
      </c>
      <c r="I1980" s="16">
        <v>538.28</v>
      </c>
      <c r="J1980" s="16">
        <v>156.91999999999999</v>
      </c>
      <c r="K1980" s="16">
        <v>280.69</v>
      </c>
      <c r="L1980" s="159">
        <f t="shared" si="156"/>
        <v>0.29152114141339081</v>
      </c>
      <c r="M1980" s="159">
        <f t="shared" si="156"/>
        <v>0.52145723415322887</v>
      </c>
    </row>
    <row r="1981" spans="2:13">
      <c r="B1981" t="s">
        <v>192</v>
      </c>
      <c r="C1981">
        <f t="shared" si="159"/>
        <v>16</v>
      </c>
      <c r="D1981" t="str">
        <f t="shared" si="154"/>
        <v>MARSEILLE16</v>
      </c>
      <c r="E1981" t="s">
        <v>193</v>
      </c>
      <c r="F1981" t="str">
        <f t="shared" si="155"/>
        <v>MARSEILLE16</v>
      </c>
      <c r="G1981" t="s">
        <v>238</v>
      </c>
      <c r="H1981" t="s">
        <v>924</v>
      </c>
      <c r="I1981" s="16">
        <v>437.32</v>
      </c>
      <c r="J1981" s="16">
        <v>141.49</v>
      </c>
      <c r="K1981" s="16">
        <v>23.59</v>
      </c>
      <c r="L1981" s="159">
        <f t="shared" si="156"/>
        <v>0.3235388274032745</v>
      </c>
      <c r="M1981" s="159">
        <f t="shared" si="156"/>
        <v>5.3942193359553643E-2</v>
      </c>
    </row>
    <row r="1982" spans="2:13">
      <c r="B1982" t="s">
        <v>192</v>
      </c>
      <c r="C1982">
        <f t="shared" si="159"/>
        <v>17</v>
      </c>
      <c r="D1982" t="str">
        <f t="shared" si="154"/>
        <v>MARSEILLE17</v>
      </c>
      <c r="E1982" t="s">
        <v>193</v>
      </c>
      <c r="F1982" t="str">
        <f t="shared" si="155"/>
        <v>MARSEILLE17</v>
      </c>
      <c r="G1982" t="s">
        <v>229</v>
      </c>
      <c r="H1982" t="s">
        <v>921</v>
      </c>
      <c r="I1982" s="16">
        <v>421.79</v>
      </c>
      <c r="J1982" s="16">
        <v>268.07</v>
      </c>
      <c r="K1982" s="16">
        <v>211.57</v>
      </c>
      <c r="L1982" s="159">
        <f t="shared" si="156"/>
        <v>0.63555323739301539</v>
      </c>
      <c r="M1982" s="159">
        <f t="shared" si="156"/>
        <v>0.50160032243533503</v>
      </c>
    </row>
    <row r="1983" spans="2:13">
      <c r="B1983" t="s">
        <v>192</v>
      </c>
      <c r="C1983">
        <f t="shared" si="159"/>
        <v>18</v>
      </c>
      <c r="D1983" t="str">
        <f t="shared" si="154"/>
        <v>MARSEILLE18</v>
      </c>
      <c r="E1983" t="s">
        <v>193</v>
      </c>
      <c r="F1983" t="str">
        <f t="shared" si="155"/>
        <v>MARSEILLE18</v>
      </c>
      <c r="G1983" t="s">
        <v>228</v>
      </c>
      <c r="I1983" s="16">
        <v>401.73</v>
      </c>
      <c r="J1983" s="16">
        <v>192.27</v>
      </c>
      <c r="K1983" s="16">
        <v>9</v>
      </c>
      <c r="L1983" s="159">
        <f t="shared" si="156"/>
        <v>0.47860503323127473</v>
      </c>
      <c r="M1983" s="159">
        <f t="shared" si="156"/>
        <v>2.2403106564110223E-2</v>
      </c>
    </row>
    <row r="1984" spans="2:13">
      <c r="B1984" t="s">
        <v>192</v>
      </c>
      <c r="C1984">
        <f t="shared" si="159"/>
        <v>19</v>
      </c>
      <c r="D1984" t="str">
        <f t="shared" si="154"/>
        <v>MARSEILLE19</v>
      </c>
      <c r="E1984" t="s">
        <v>193</v>
      </c>
      <c r="F1984" t="str">
        <f t="shared" si="155"/>
        <v>MARSEILLE19</v>
      </c>
      <c r="G1984" t="s">
        <v>246</v>
      </c>
      <c r="H1984" t="s">
        <v>928</v>
      </c>
      <c r="I1984" s="16">
        <v>365.43</v>
      </c>
      <c r="J1984" s="16">
        <v>92.57</v>
      </c>
      <c r="K1984" s="16">
        <v>44.96</v>
      </c>
      <c r="L1984" s="159">
        <f t="shared" si="156"/>
        <v>0.25331800892099715</v>
      </c>
      <c r="M1984" s="159">
        <f t="shared" si="156"/>
        <v>0.12303313904167693</v>
      </c>
    </row>
    <row r="1985" spans="2:13">
      <c r="B1985" t="s">
        <v>192</v>
      </c>
      <c r="C1985">
        <f t="shared" si="159"/>
        <v>20</v>
      </c>
      <c r="D1985" t="str">
        <f t="shared" si="154"/>
        <v>MARSEILLE20</v>
      </c>
      <c r="E1985" t="s">
        <v>193</v>
      </c>
      <c r="F1985" t="str">
        <f t="shared" si="155"/>
        <v>MARSEILLE20</v>
      </c>
      <c r="G1985" t="s">
        <v>290</v>
      </c>
      <c r="H1985" t="s">
        <v>291</v>
      </c>
      <c r="I1985" s="16">
        <v>362.32</v>
      </c>
      <c r="J1985" s="16">
        <v>319.95999999999998</v>
      </c>
      <c r="K1985" s="16">
        <v>30.57</v>
      </c>
      <c r="L1985" s="159">
        <f t="shared" si="156"/>
        <v>0.88308677412232273</v>
      </c>
      <c r="M1985" s="159">
        <f t="shared" si="156"/>
        <v>8.4372930006623978E-2</v>
      </c>
    </row>
    <row r="1986" spans="2:13">
      <c r="B1986" t="s">
        <v>192</v>
      </c>
      <c r="C1986">
        <f t="shared" si="159"/>
        <v>21</v>
      </c>
      <c r="D1986" t="str">
        <f t="shared" ref="D1986:D2049" si="160">CONCATENATE(E1986,C1986)</f>
        <v>MARSEILLE21</v>
      </c>
      <c r="E1986" t="s">
        <v>193</v>
      </c>
      <c r="F1986" t="str">
        <f t="shared" si="155"/>
        <v>MARSEILLE21</v>
      </c>
      <c r="G1986" t="s">
        <v>209</v>
      </c>
      <c r="H1986" t="s">
        <v>210</v>
      </c>
      <c r="I1986" s="16">
        <v>333.36</v>
      </c>
      <c r="J1986" s="16">
        <v>87.45</v>
      </c>
      <c r="K1986" s="16">
        <v>126.85</v>
      </c>
      <c r="L1986" s="159">
        <f t="shared" si="156"/>
        <v>0.26232901367890571</v>
      </c>
      <c r="M1986" s="159">
        <f t="shared" si="156"/>
        <v>0.38051955843532514</v>
      </c>
    </row>
    <row r="1987" spans="2:13">
      <c r="B1987" t="s">
        <v>192</v>
      </c>
      <c r="C1987">
        <f t="shared" si="159"/>
        <v>22</v>
      </c>
      <c r="D1987" t="str">
        <f t="shared" si="160"/>
        <v>MARSEILLE22</v>
      </c>
      <c r="E1987" t="s">
        <v>193</v>
      </c>
      <c r="F1987" t="str">
        <f t="shared" ref="F1987:F2050" si="161">D1987</f>
        <v>MARSEILLE22</v>
      </c>
      <c r="G1987" t="s">
        <v>249</v>
      </c>
      <c r="I1987" s="16">
        <v>332.74</v>
      </c>
      <c r="J1987" s="16">
        <v>46.77</v>
      </c>
      <c r="K1987" s="16">
        <v>8.83</v>
      </c>
      <c r="L1987" s="159">
        <f t="shared" ref="L1987:M2050" si="162">J1987/$I1987</f>
        <v>0.14056019715092866</v>
      </c>
      <c r="M1987" s="159">
        <f t="shared" si="162"/>
        <v>2.653723628057943E-2</v>
      </c>
    </row>
    <row r="1988" spans="2:13">
      <c r="B1988" t="s">
        <v>192</v>
      </c>
      <c r="C1988">
        <f t="shared" si="159"/>
        <v>23</v>
      </c>
      <c r="D1988" t="str">
        <f t="shared" si="160"/>
        <v>MARSEILLE23</v>
      </c>
      <c r="E1988" t="s">
        <v>193</v>
      </c>
      <c r="F1988" t="str">
        <f t="shared" si="161"/>
        <v>MARSEILLE23</v>
      </c>
      <c r="G1988" t="s">
        <v>230</v>
      </c>
      <c r="H1988" t="s">
        <v>231</v>
      </c>
      <c r="I1988" s="16">
        <v>331.07</v>
      </c>
      <c r="J1988" s="16">
        <v>161.13999999999999</v>
      </c>
      <c r="K1988" s="16">
        <v>155.18</v>
      </c>
      <c r="L1988" s="159">
        <f t="shared" si="162"/>
        <v>0.48672486181170144</v>
      </c>
      <c r="M1988" s="159">
        <f t="shared" si="162"/>
        <v>0.46872262663485065</v>
      </c>
    </row>
    <row r="1989" spans="2:13">
      <c r="B1989" t="s">
        <v>192</v>
      </c>
      <c r="C1989">
        <f t="shared" si="159"/>
        <v>24</v>
      </c>
      <c r="D1989" t="str">
        <f t="shared" si="160"/>
        <v>MARSEILLE24</v>
      </c>
      <c r="E1989" t="s">
        <v>193</v>
      </c>
      <c r="F1989" t="str">
        <f t="shared" si="161"/>
        <v>MARSEILLE24</v>
      </c>
      <c r="G1989" t="s">
        <v>320</v>
      </c>
      <c r="I1989" s="16">
        <v>323.52999999999997</v>
      </c>
      <c r="J1989" s="16">
        <v>63.2</v>
      </c>
      <c r="K1989" s="16">
        <v>30.42</v>
      </c>
      <c r="L1989" s="159">
        <f t="shared" si="162"/>
        <v>0.19534509937254663</v>
      </c>
      <c r="M1989" s="159">
        <f t="shared" si="162"/>
        <v>9.4025283590393485E-2</v>
      </c>
    </row>
    <row r="1990" spans="2:13">
      <c r="B1990" t="s">
        <v>192</v>
      </c>
      <c r="C1990">
        <f t="shared" si="159"/>
        <v>25</v>
      </c>
      <c r="D1990" t="str">
        <f t="shared" si="160"/>
        <v>MARSEILLE25</v>
      </c>
      <c r="E1990" t="s">
        <v>193</v>
      </c>
      <c r="F1990" t="str">
        <f t="shared" si="161"/>
        <v>MARSEILLE25</v>
      </c>
      <c r="G1990" t="s">
        <v>220</v>
      </c>
      <c r="H1990" t="s">
        <v>913</v>
      </c>
      <c r="I1990" s="16">
        <v>323.52</v>
      </c>
      <c r="J1990" s="16">
        <v>50.14</v>
      </c>
      <c r="K1990" s="16">
        <v>72.34</v>
      </c>
      <c r="L1990" s="159">
        <f t="shared" si="162"/>
        <v>0.15498269040553908</v>
      </c>
      <c r="M1990" s="159">
        <f t="shared" si="162"/>
        <v>0.22360286844708213</v>
      </c>
    </row>
    <row r="1991" spans="2:13">
      <c r="B1991" t="s">
        <v>192</v>
      </c>
      <c r="C1991">
        <f t="shared" si="159"/>
        <v>26</v>
      </c>
      <c r="D1991" t="str">
        <f t="shared" si="160"/>
        <v>MARSEILLE26</v>
      </c>
      <c r="E1991" t="s">
        <v>193</v>
      </c>
      <c r="F1991" t="str">
        <f t="shared" si="161"/>
        <v>MARSEILLE26</v>
      </c>
      <c r="G1991" t="s">
        <v>241</v>
      </c>
      <c r="H1991" t="s">
        <v>927</v>
      </c>
      <c r="I1991" s="16">
        <v>305.87</v>
      </c>
      <c r="J1991" s="16">
        <v>153.38999999999999</v>
      </c>
      <c r="K1991" s="16">
        <v>68.86</v>
      </c>
      <c r="L1991" s="159">
        <f t="shared" si="162"/>
        <v>0.50148756007454143</v>
      </c>
      <c r="M1991" s="159">
        <f t="shared" si="162"/>
        <v>0.22512832248994671</v>
      </c>
    </row>
    <row r="1992" spans="2:13">
      <c r="B1992" t="s">
        <v>192</v>
      </c>
      <c r="C1992">
        <f t="shared" si="159"/>
        <v>27</v>
      </c>
      <c r="D1992" t="str">
        <f t="shared" si="160"/>
        <v>MARSEILLE27</v>
      </c>
      <c r="E1992" t="s">
        <v>193</v>
      </c>
      <c r="F1992" t="str">
        <f t="shared" si="161"/>
        <v>MARSEILLE27</v>
      </c>
      <c r="G1992" t="s">
        <v>223</v>
      </c>
      <c r="H1992" t="s">
        <v>916</v>
      </c>
      <c r="I1992" s="16">
        <v>280.04000000000002</v>
      </c>
      <c r="J1992" s="16">
        <v>36.049999999999997</v>
      </c>
      <c r="K1992" s="16">
        <v>170.6</v>
      </c>
      <c r="L1992" s="159">
        <f t="shared" si="162"/>
        <v>0.12873160977003284</v>
      </c>
      <c r="M1992" s="159">
        <f t="shared" si="162"/>
        <v>0.60919868590201398</v>
      </c>
    </row>
    <row r="1993" spans="2:13">
      <c r="B1993" t="s">
        <v>192</v>
      </c>
      <c r="C1993">
        <f t="shared" si="159"/>
        <v>28</v>
      </c>
      <c r="D1993" t="str">
        <f t="shared" si="160"/>
        <v>MARSEILLE28</v>
      </c>
      <c r="E1993" t="s">
        <v>193</v>
      </c>
      <c r="F1993" t="str">
        <f t="shared" si="161"/>
        <v>MARSEILLE28</v>
      </c>
      <c r="G1993" t="s">
        <v>239</v>
      </c>
      <c r="H1993" t="s">
        <v>925</v>
      </c>
      <c r="I1993" s="16">
        <v>265.52999999999997</v>
      </c>
      <c r="J1993" s="16">
        <v>26.98</v>
      </c>
      <c r="K1993" s="16">
        <v>58.66</v>
      </c>
      <c r="L1993" s="159">
        <f t="shared" si="162"/>
        <v>0.10160810454562574</v>
      </c>
      <c r="M1993" s="159">
        <f t="shared" si="162"/>
        <v>0.22091665725153467</v>
      </c>
    </row>
    <row r="1994" spans="2:13">
      <c r="B1994" t="s">
        <v>192</v>
      </c>
      <c r="C1994">
        <f t="shared" si="159"/>
        <v>29</v>
      </c>
      <c r="D1994" t="str">
        <f t="shared" si="160"/>
        <v>MARSEILLE29</v>
      </c>
      <c r="E1994" t="s">
        <v>193</v>
      </c>
      <c r="F1994" t="str">
        <f t="shared" si="161"/>
        <v>MARSEILLE29</v>
      </c>
      <c r="G1994" t="s">
        <v>354</v>
      </c>
      <c r="H1994" t="s">
        <v>942</v>
      </c>
      <c r="I1994" s="16">
        <v>251.33</v>
      </c>
      <c r="J1994" s="16">
        <v>146.61000000000001</v>
      </c>
      <c r="K1994" s="16">
        <v>17</v>
      </c>
      <c r="L1994" s="159">
        <f t="shared" si="162"/>
        <v>0.58333664902717541</v>
      </c>
      <c r="M1994" s="159">
        <f t="shared" si="162"/>
        <v>6.7640154378705283E-2</v>
      </c>
    </row>
    <row r="1995" spans="2:13">
      <c r="B1995" t="s">
        <v>192</v>
      </c>
      <c r="C1995">
        <f t="shared" si="159"/>
        <v>30</v>
      </c>
      <c r="D1995" t="str">
        <f t="shared" si="160"/>
        <v>MARSEILLE30</v>
      </c>
      <c r="E1995" t="s">
        <v>193</v>
      </c>
      <c r="F1995" t="str">
        <f t="shared" si="161"/>
        <v>MARSEILLE30</v>
      </c>
      <c r="G1995" t="s">
        <v>289</v>
      </c>
      <c r="H1995" t="s">
        <v>935</v>
      </c>
      <c r="I1995" s="16">
        <v>222.57</v>
      </c>
      <c r="J1995" s="16">
        <v>192.98</v>
      </c>
      <c r="K1995" s="16">
        <v>9.76</v>
      </c>
      <c r="L1995" s="159">
        <f t="shared" si="162"/>
        <v>0.86705306195803566</v>
      </c>
      <c r="M1995" s="159">
        <f t="shared" si="162"/>
        <v>4.3851372601878061E-2</v>
      </c>
    </row>
    <row r="1996" spans="2:13">
      <c r="B1996" t="s">
        <v>192</v>
      </c>
      <c r="C1996">
        <f t="shared" si="159"/>
        <v>31</v>
      </c>
      <c r="D1996" t="str">
        <f t="shared" si="160"/>
        <v>MARSEILLE31</v>
      </c>
      <c r="E1996" t="s">
        <v>193</v>
      </c>
      <c r="F1996" t="str">
        <f t="shared" si="161"/>
        <v>MARSEILLE31</v>
      </c>
      <c r="G1996" t="s">
        <v>226</v>
      </c>
      <c r="H1996" t="s">
        <v>227</v>
      </c>
      <c r="I1996" s="16">
        <v>207.98</v>
      </c>
      <c r="J1996" s="16">
        <v>102.1</v>
      </c>
      <c r="K1996" s="16">
        <v>98.12</v>
      </c>
      <c r="L1996" s="159">
        <f t="shared" si="162"/>
        <v>0.49091258774882202</v>
      </c>
      <c r="M1996" s="159">
        <f t="shared" si="162"/>
        <v>0.47177613232041549</v>
      </c>
    </row>
    <row r="1997" spans="2:13">
      <c r="B1997" t="s">
        <v>192</v>
      </c>
      <c r="C1997">
        <f t="shared" si="159"/>
        <v>32</v>
      </c>
      <c r="D1997" t="str">
        <f t="shared" si="160"/>
        <v>MARSEILLE32</v>
      </c>
      <c r="E1997" t="s">
        <v>193</v>
      </c>
      <c r="F1997" t="str">
        <f t="shared" si="161"/>
        <v>MARSEILLE32</v>
      </c>
      <c r="G1997" t="s">
        <v>337</v>
      </c>
      <c r="I1997" s="16">
        <v>206.88</v>
      </c>
      <c r="J1997" s="16">
        <v>0</v>
      </c>
      <c r="K1997" s="16">
        <v>1</v>
      </c>
      <c r="L1997" s="159">
        <f t="shared" si="162"/>
        <v>0</v>
      </c>
      <c r="M1997" s="159">
        <f t="shared" si="162"/>
        <v>4.8337200309358083E-3</v>
      </c>
    </row>
    <row r="1998" spans="2:13">
      <c r="B1998" t="s">
        <v>192</v>
      </c>
      <c r="C1998">
        <f t="shared" ref="C1998:C2029" si="163">RANK(I1998,$I$1965:$I$2128,0)</f>
        <v>33</v>
      </c>
      <c r="D1998" t="str">
        <f t="shared" si="160"/>
        <v>MARSEILLE33</v>
      </c>
      <c r="E1998" t="s">
        <v>193</v>
      </c>
      <c r="F1998" t="str">
        <f t="shared" si="161"/>
        <v>MARSEILLE33</v>
      </c>
      <c r="G1998" t="s">
        <v>222</v>
      </c>
      <c r="H1998" t="s">
        <v>915</v>
      </c>
      <c r="I1998" s="16">
        <v>196.75</v>
      </c>
      <c r="J1998" s="16">
        <v>29.86</v>
      </c>
      <c r="K1998" s="16">
        <v>131.12</v>
      </c>
      <c r="L1998" s="159">
        <f t="shared" si="162"/>
        <v>0.15176620076238881</v>
      </c>
      <c r="M1998" s="159">
        <f t="shared" si="162"/>
        <v>0.66642947903430749</v>
      </c>
    </row>
    <row r="1999" spans="2:13">
      <c r="B1999" t="s">
        <v>192</v>
      </c>
      <c r="C1999">
        <f t="shared" si="163"/>
        <v>34</v>
      </c>
      <c r="D1999" t="str">
        <f t="shared" si="160"/>
        <v>MARSEILLE34</v>
      </c>
      <c r="E1999" t="s">
        <v>193</v>
      </c>
      <c r="F1999" t="str">
        <f t="shared" si="161"/>
        <v>MARSEILLE34</v>
      </c>
      <c r="G1999" t="s">
        <v>325</v>
      </c>
      <c r="H1999" t="s">
        <v>938</v>
      </c>
      <c r="I1999" s="16">
        <v>195.33</v>
      </c>
      <c r="J1999" s="16">
        <v>21.36</v>
      </c>
      <c r="K1999" s="16">
        <v>40</v>
      </c>
      <c r="L1999" s="159">
        <f t="shared" si="162"/>
        <v>0.1093534019351866</v>
      </c>
      <c r="M1999" s="159">
        <f t="shared" si="162"/>
        <v>0.20478165156401984</v>
      </c>
    </row>
    <row r="2000" spans="2:13">
      <c r="B2000" t="s">
        <v>192</v>
      </c>
      <c r="C2000">
        <f t="shared" si="163"/>
        <v>35</v>
      </c>
      <c r="D2000" t="str">
        <f t="shared" si="160"/>
        <v>MARSEILLE35</v>
      </c>
      <c r="E2000" t="s">
        <v>193</v>
      </c>
      <c r="F2000" t="str">
        <f t="shared" si="161"/>
        <v>MARSEILLE35</v>
      </c>
      <c r="G2000" t="s">
        <v>244</v>
      </c>
      <c r="I2000" s="16">
        <v>189.81</v>
      </c>
      <c r="J2000" s="16">
        <v>39.85</v>
      </c>
      <c r="K2000" s="16">
        <v>39.82</v>
      </c>
      <c r="L2000" s="159">
        <f t="shared" si="162"/>
        <v>0.20994678889415733</v>
      </c>
      <c r="M2000" s="159">
        <f t="shared" si="162"/>
        <v>0.20978873610452559</v>
      </c>
    </row>
    <row r="2001" spans="2:13">
      <c r="B2001" t="s">
        <v>192</v>
      </c>
      <c r="C2001">
        <f t="shared" si="163"/>
        <v>36</v>
      </c>
      <c r="D2001" t="str">
        <f t="shared" si="160"/>
        <v>MARSEILLE36</v>
      </c>
      <c r="E2001" t="s">
        <v>193</v>
      </c>
      <c r="F2001" t="str">
        <f t="shared" si="161"/>
        <v>MARSEILLE36</v>
      </c>
      <c r="G2001" t="s">
        <v>252</v>
      </c>
      <c r="H2001" t="s">
        <v>930</v>
      </c>
      <c r="I2001" s="16">
        <v>181.63</v>
      </c>
      <c r="J2001" s="16">
        <v>59.56</v>
      </c>
      <c r="K2001" s="16">
        <v>0</v>
      </c>
      <c r="L2001" s="159">
        <f t="shared" si="162"/>
        <v>0.3279193965754556</v>
      </c>
      <c r="M2001" s="159">
        <f t="shared" si="162"/>
        <v>0</v>
      </c>
    </row>
    <row r="2002" spans="2:13">
      <c r="B2002" t="s">
        <v>192</v>
      </c>
      <c r="C2002">
        <f t="shared" si="163"/>
        <v>37</v>
      </c>
      <c r="D2002" t="str">
        <f t="shared" si="160"/>
        <v>MARSEILLE37</v>
      </c>
      <c r="E2002" t="s">
        <v>193</v>
      </c>
      <c r="F2002" t="str">
        <f t="shared" si="161"/>
        <v>MARSEILLE37</v>
      </c>
      <c r="G2002" t="s">
        <v>402</v>
      </c>
      <c r="H2002" t="s">
        <v>1790</v>
      </c>
      <c r="I2002" s="16">
        <v>175.01</v>
      </c>
      <c r="J2002" s="16">
        <v>142.09</v>
      </c>
      <c r="K2002" s="16">
        <v>7</v>
      </c>
      <c r="L2002" s="159">
        <f t="shared" si="162"/>
        <v>0.81189646305925378</v>
      </c>
      <c r="M2002" s="159">
        <f t="shared" si="162"/>
        <v>3.9997714416319066E-2</v>
      </c>
    </row>
    <row r="2003" spans="2:13">
      <c r="B2003" t="s">
        <v>192</v>
      </c>
      <c r="C2003">
        <f t="shared" si="163"/>
        <v>38</v>
      </c>
      <c r="D2003" t="str">
        <f t="shared" si="160"/>
        <v>MARSEILLE38</v>
      </c>
      <c r="E2003" t="s">
        <v>193</v>
      </c>
      <c r="F2003" t="str">
        <f t="shared" si="161"/>
        <v>MARSEILLE38</v>
      </c>
      <c r="G2003" t="s">
        <v>270</v>
      </c>
      <c r="I2003" s="16">
        <v>173.34</v>
      </c>
      <c r="J2003" s="16">
        <v>169.62</v>
      </c>
      <c r="K2003" s="16">
        <v>21.87</v>
      </c>
      <c r="L2003" s="159">
        <f t="shared" si="162"/>
        <v>0.97853928695050196</v>
      </c>
      <c r="M2003" s="159">
        <f t="shared" si="162"/>
        <v>0.12616822429906543</v>
      </c>
    </row>
    <row r="2004" spans="2:13">
      <c r="B2004" t="s">
        <v>192</v>
      </c>
      <c r="C2004">
        <f t="shared" si="163"/>
        <v>39</v>
      </c>
      <c r="D2004" t="str">
        <f t="shared" si="160"/>
        <v>MARSEILLE39</v>
      </c>
      <c r="E2004" t="s">
        <v>193</v>
      </c>
      <c r="F2004" t="str">
        <f t="shared" si="161"/>
        <v>MARSEILLE39</v>
      </c>
      <c r="G2004" t="s">
        <v>277</v>
      </c>
      <c r="I2004" s="16">
        <v>172.26</v>
      </c>
      <c r="J2004" s="16">
        <v>123.85</v>
      </c>
      <c r="K2004" s="16">
        <v>48.32</v>
      </c>
      <c r="L2004" s="159">
        <f t="shared" si="162"/>
        <v>0.71897132241959827</v>
      </c>
      <c r="M2004" s="159">
        <f t="shared" si="162"/>
        <v>0.28050621154069433</v>
      </c>
    </row>
    <row r="2005" spans="2:13">
      <c r="B2005" t="s">
        <v>192</v>
      </c>
      <c r="C2005">
        <f t="shared" si="163"/>
        <v>40</v>
      </c>
      <c r="D2005" t="str">
        <f t="shared" si="160"/>
        <v>MARSEILLE40</v>
      </c>
      <c r="E2005" t="s">
        <v>193</v>
      </c>
      <c r="F2005" t="str">
        <f t="shared" si="161"/>
        <v>MARSEILLE40</v>
      </c>
      <c r="G2005" t="s">
        <v>312</v>
      </c>
      <c r="I2005" s="16">
        <v>169.97</v>
      </c>
      <c r="J2005" s="16">
        <v>64.010000000000005</v>
      </c>
      <c r="K2005" s="16">
        <v>22.02</v>
      </c>
      <c r="L2005" s="159">
        <f t="shared" si="162"/>
        <v>0.37659586985938698</v>
      </c>
      <c r="M2005" s="159">
        <f t="shared" si="162"/>
        <v>0.12955227393069366</v>
      </c>
    </row>
    <row r="2006" spans="2:13">
      <c r="B2006" t="s">
        <v>192</v>
      </c>
      <c r="C2006">
        <f t="shared" si="163"/>
        <v>41</v>
      </c>
      <c r="D2006" t="str">
        <f t="shared" si="160"/>
        <v>MARSEILLE41</v>
      </c>
      <c r="E2006" t="s">
        <v>193</v>
      </c>
      <c r="F2006" t="str">
        <f t="shared" si="161"/>
        <v>MARSEILLE41</v>
      </c>
      <c r="G2006" t="s">
        <v>247</v>
      </c>
      <c r="H2006" t="s">
        <v>248</v>
      </c>
      <c r="I2006" s="16">
        <v>168.06</v>
      </c>
      <c r="J2006" s="16">
        <v>55</v>
      </c>
      <c r="K2006" s="16">
        <v>15.23</v>
      </c>
      <c r="L2006" s="159">
        <f t="shared" si="162"/>
        <v>0.32726407235511129</v>
      </c>
      <c r="M2006" s="159">
        <f t="shared" si="162"/>
        <v>9.0622396763060817E-2</v>
      </c>
    </row>
    <row r="2007" spans="2:13">
      <c r="B2007" t="s">
        <v>192</v>
      </c>
      <c r="C2007">
        <f t="shared" si="163"/>
        <v>42</v>
      </c>
      <c r="D2007" t="str">
        <f t="shared" si="160"/>
        <v>MARSEILLE42</v>
      </c>
      <c r="E2007" t="s">
        <v>193</v>
      </c>
      <c r="F2007" t="str">
        <f t="shared" si="161"/>
        <v>MARSEILLE42</v>
      </c>
      <c r="G2007" t="s">
        <v>303</v>
      </c>
      <c r="H2007" t="s">
        <v>936</v>
      </c>
      <c r="I2007" s="16">
        <v>140.6</v>
      </c>
      <c r="J2007" s="16">
        <v>32.770000000000003</v>
      </c>
      <c r="K2007" s="16">
        <v>8.4600000000000009</v>
      </c>
      <c r="L2007" s="159">
        <f t="shared" si="162"/>
        <v>0.23307254623044099</v>
      </c>
      <c r="M2007" s="159">
        <f t="shared" si="162"/>
        <v>6.0170697012802282E-2</v>
      </c>
    </row>
    <row r="2008" spans="2:13">
      <c r="B2008" t="s">
        <v>192</v>
      </c>
      <c r="C2008">
        <f t="shared" si="163"/>
        <v>43</v>
      </c>
      <c r="D2008" t="str">
        <f t="shared" si="160"/>
        <v>MARSEILLE43</v>
      </c>
      <c r="E2008" t="s">
        <v>193</v>
      </c>
      <c r="F2008" t="str">
        <f t="shared" si="161"/>
        <v>MARSEILLE43</v>
      </c>
      <c r="G2008" t="s">
        <v>268</v>
      </c>
      <c r="H2008" t="s">
        <v>269</v>
      </c>
      <c r="I2008" s="16">
        <v>138.37</v>
      </c>
      <c r="J2008" s="16">
        <v>64.510000000000005</v>
      </c>
      <c r="K2008" s="16">
        <v>6.32</v>
      </c>
      <c r="L2008" s="159">
        <f t="shared" si="162"/>
        <v>0.46621377466213776</v>
      </c>
      <c r="M2008" s="159">
        <f t="shared" si="162"/>
        <v>4.5674640456746407E-2</v>
      </c>
    </row>
    <row r="2009" spans="2:13">
      <c r="B2009" t="s">
        <v>192</v>
      </c>
      <c r="C2009">
        <f t="shared" si="163"/>
        <v>44</v>
      </c>
      <c r="D2009" t="str">
        <f t="shared" si="160"/>
        <v>MARSEILLE44</v>
      </c>
      <c r="E2009" t="s">
        <v>193</v>
      </c>
      <c r="F2009" t="str">
        <f t="shared" si="161"/>
        <v>MARSEILLE44</v>
      </c>
      <c r="G2009" t="s">
        <v>262</v>
      </c>
      <c r="I2009" s="16">
        <v>135.88</v>
      </c>
      <c r="J2009" s="16">
        <v>7.28</v>
      </c>
      <c r="K2009" s="16">
        <v>6.32</v>
      </c>
      <c r="L2009" s="159">
        <f t="shared" si="162"/>
        <v>5.3576685310568153E-2</v>
      </c>
      <c r="M2009" s="159">
        <f t="shared" si="162"/>
        <v>4.651162790697675E-2</v>
      </c>
    </row>
    <row r="2010" spans="2:13">
      <c r="B2010" t="s">
        <v>192</v>
      </c>
      <c r="C2010">
        <f t="shared" si="163"/>
        <v>45</v>
      </c>
      <c r="D2010" t="str">
        <f t="shared" si="160"/>
        <v>MARSEILLE45</v>
      </c>
      <c r="E2010" t="s">
        <v>193</v>
      </c>
      <c r="F2010" t="str">
        <f t="shared" si="161"/>
        <v>MARSEILLE45</v>
      </c>
      <c r="G2010" t="s">
        <v>318</v>
      </c>
      <c r="I2010" s="16">
        <v>131.18</v>
      </c>
      <c r="J2010" s="16">
        <v>111.95</v>
      </c>
      <c r="K2010" s="16">
        <v>0</v>
      </c>
      <c r="L2010" s="159">
        <f t="shared" si="162"/>
        <v>0.85340753163592009</v>
      </c>
      <c r="M2010" s="159">
        <f t="shared" si="162"/>
        <v>0</v>
      </c>
    </row>
    <row r="2011" spans="2:13">
      <c r="B2011" t="s">
        <v>192</v>
      </c>
      <c r="C2011">
        <f t="shared" si="163"/>
        <v>46</v>
      </c>
      <c r="D2011" t="str">
        <f t="shared" si="160"/>
        <v>MARSEILLE46</v>
      </c>
      <c r="E2011" t="s">
        <v>193</v>
      </c>
      <c r="F2011" t="str">
        <f t="shared" si="161"/>
        <v>MARSEILLE46</v>
      </c>
      <c r="G2011" t="s">
        <v>232</v>
      </c>
      <c r="H2011" t="s">
        <v>922</v>
      </c>
      <c r="I2011" s="16">
        <v>128.69</v>
      </c>
      <c r="J2011" s="16">
        <v>22.03</v>
      </c>
      <c r="K2011" s="16">
        <v>17.43</v>
      </c>
      <c r="L2011" s="159">
        <f t="shared" si="162"/>
        <v>0.17118657238324658</v>
      </c>
      <c r="M2011" s="159">
        <f t="shared" si="162"/>
        <v>0.13544175926645427</v>
      </c>
    </row>
    <row r="2012" spans="2:13">
      <c r="B2012" t="s">
        <v>192</v>
      </c>
      <c r="C2012">
        <f t="shared" si="163"/>
        <v>47</v>
      </c>
      <c r="D2012" t="str">
        <f t="shared" si="160"/>
        <v>MARSEILLE47</v>
      </c>
      <c r="E2012" t="s">
        <v>193</v>
      </c>
      <c r="F2012" t="str">
        <f t="shared" si="161"/>
        <v>MARSEILLE47</v>
      </c>
      <c r="G2012" t="s">
        <v>242</v>
      </c>
      <c r="H2012" t="s">
        <v>243</v>
      </c>
      <c r="I2012" s="16">
        <v>128.1</v>
      </c>
      <c r="J2012" s="16">
        <v>23.01</v>
      </c>
      <c r="K2012" s="16">
        <v>0</v>
      </c>
      <c r="L2012" s="159">
        <f t="shared" si="162"/>
        <v>0.17962529274004685</v>
      </c>
      <c r="M2012" s="159">
        <f t="shared" si="162"/>
        <v>0</v>
      </c>
    </row>
    <row r="2013" spans="2:13">
      <c r="B2013" t="s">
        <v>192</v>
      </c>
      <c r="C2013">
        <f t="shared" si="163"/>
        <v>48</v>
      </c>
      <c r="D2013" t="str">
        <f t="shared" si="160"/>
        <v>MARSEILLE48</v>
      </c>
      <c r="E2013" t="s">
        <v>193</v>
      </c>
      <c r="F2013" t="str">
        <f t="shared" si="161"/>
        <v>MARSEILLE48</v>
      </c>
      <c r="G2013" t="s">
        <v>332</v>
      </c>
      <c r="H2013" t="s">
        <v>940</v>
      </c>
      <c r="I2013" s="16">
        <v>127.28</v>
      </c>
      <c r="J2013" s="16">
        <v>10</v>
      </c>
      <c r="K2013" s="16">
        <v>12.87</v>
      </c>
      <c r="L2013" s="159">
        <f t="shared" si="162"/>
        <v>7.8566939032055305E-2</v>
      </c>
      <c r="M2013" s="159">
        <f t="shared" si="162"/>
        <v>0.10111565053425518</v>
      </c>
    </row>
    <row r="2014" spans="2:13">
      <c r="B2014" t="s">
        <v>192</v>
      </c>
      <c r="C2014">
        <f t="shared" si="163"/>
        <v>49</v>
      </c>
      <c r="D2014" t="str">
        <f t="shared" si="160"/>
        <v>MARSEILLE49</v>
      </c>
      <c r="E2014" t="s">
        <v>193</v>
      </c>
      <c r="F2014" t="str">
        <f t="shared" si="161"/>
        <v>MARSEILLE49</v>
      </c>
      <c r="G2014" t="s">
        <v>276</v>
      </c>
      <c r="H2014" t="s">
        <v>933</v>
      </c>
      <c r="I2014" s="16">
        <v>126.22</v>
      </c>
      <c r="J2014" s="16">
        <v>19.95</v>
      </c>
      <c r="K2014" s="16">
        <v>12.18</v>
      </c>
      <c r="L2014" s="159">
        <f t="shared" si="162"/>
        <v>0.15805736016479163</v>
      </c>
      <c r="M2014" s="159">
        <f t="shared" si="162"/>
        <v>9.6498177784820158E-2</v>
      </c>
    </row>
    <row r="2015" spans="2:13">
      <c r="B2015" t="s">
        <v>192</v>
      </c>
      <c r="C2015">
        <f t="shared" si="163"/>
        <v>50</v>
      </c>
      <c r="D2015" t="str">
        <f t="shared" si="160"/>
        <v>MARSEILLE50</v>
      </c>
      <c r="E2015" t="s">
        <v>193</v>
      </c>
      <c r="F2015" t="str">
        <f t="shared" si="161"/>
        <v>MARSEILLE50</v>
      </c>
      <c r="G2015" t="s">
        <v>257</v>
      </c>
      <c r="I2015" s="16">
        <v>112.88</v>
      </c>
      <c r="J2015" s="16">
        <v>54.95</v>
      </c>
      <c r="K2015" s="16">
        <v>15.59</v>
      </c>
      <c r="L2015" s="159">
        <f t="shared" si="162"/>
        <v>0.48680014174344444</v>
      </c>
      <c r="M2015" s="159">
        <f t="shared" si="162"/>
        <v>0.13811126860382708</v>
      </c>
    </row>
    <row r="2016" spans="2:13">
      <c r="B2016" t="s">
        <v>192</v>
      </c>
      <c r="C2016">
        <f t="shared" si="163"/>
        <v>51</v>
      </c>
      <c r="D2016" t="str">
        <f t="shared" si="160"/>
        <v>MARSEILLE51</v>
      </c>
      <c r="E2016" t="s">
        <v>193</v>
      </c>
      <c r="F2016" t="str">
        <f t="shared" si="161"/>
        <v>MARSEILLE51</v>
      </c>
      <c r="G2016" t="s">
        <v>287</v>
      </c>
      <c r="I2016" s="16">
        <v>111.07</v>
      </c>
      <c r="J2016" s="16">
        <v>22.42</v>
      </c>
      <c r="K2016" s="16">
        <v>4.2300000000000004</v>
      </c>
      <c r="L2016" s="159">
        <f t="shared" si="162"/>
        <v>0.20185468623390657</v>
      </c>
      <c r="M2016" s="159">
        <f t="shared" si="162"/>
        <v>3.8084091113712082E-2</v>
      </c>
    </row>
    <row r="2017" spans="2:13">
      <c r="B2017" t="s">
        <v>192</v>
      </c>
      <c r="C2017">
        <f t="shared" si="163"/>
        <v>52</v>
      </c>
      <c r="D2017" t="str">
        <f t="shared" si="160"/>
        <v>MARSEILLE52</v>
      </c>
      <c r="E2017" t="s">
        <v>193</v>
      </c>
      <c r="F2017" t="str">
        <f t="shared" si="161"/>
        <v>MARSEILLE52</v>
      </c>
      <c r="G2017" t="s">
        <v>298</v>
      </c>
      <c r="I2017" s="16">
        <v>105.02</v>
      </c>
      <c r="J2017" s="16">
        <v>36.58</v>
      </c>
      <c r="K2017" s="16">
        <v>13.46</v>
      </c>
      <c r="L2017" s="159">
        <f t="shared" si="162"/>
        <v>0.34831460674157305</v>
      </c>
      <c r="M2017" s="159">
        <f t="shared" si="162"/>
        <v>0.12816606360693203</v>
      </c>
    </row>
    <row r="2018" spans="2:13">
      <c r="B2018" t="s">
        <v>192</v>
      </c>
      <c r="C2018">
        <f t="shared" si="163"/>
        <v>53</v>
      </c>
      <c r="D2018" t="str">
        <f t="shared" si="160"/>
        <v>MARSEILLE53</v>
      </c>
      <c r="E2018" t="s">
        <v>193</v>
      </c>
      <c r="F2018" t="str">
        <f t="shared" si="161"/>
        <v>MARSEILLE53</v>
      </c>
      <c r="G2018" t="s">
        <v>251</v>
      </c>
      <c r="H2018" t="s">
        <v>929</v>
      </c>
      <c r="I2018" s="16">
        <v>104.53</v>
      </c>
      <c r="J2018" s="16">
        <v>35.729999999999997</v>
      </c>
      <c r="K2018" s="16">
        <v>15</v>
      </c>
      <c r="L2018" s="159">
        <f t="shared" si="162"/>
        <v>0.3418157466755955</v>
      </c>
      <c r="M2018" s="159">
        <f t="shared" si="162"/>
        <v>0.1434994738352626</v>
      </c>
    </row>
    <row r="2019" spans="2:13">
      <c r="B2019" t="s">
        <v>192</v>
      </c>
      <c r="C2019">
        <f t="shared" si="163"/>
        <v>54</v>
      </c>
      <c r="D2019" t="str">
        <f t="shared" si="160"/>
        <v>MARSEILLE54</v>
      </c>
      <c r="E2019" t="s">
        <v>193</v>
      </c>
      <c r="F2019" t="str">
        <f t="shared" si="161"/>
        <v>MARSEILLE54</v>
      </c>
      <c r="G2019" t="s">
        <v>263</v>
      </c>
      <c r="I2019" s="16">
        <v>103</v>
      </c>
      <c r="J2019" s="16">
        <v>0</v>
      </c>
      <c r="K2019" s="16">
        <v>0</v>
      </c>
      <c r="L2019" s="159">
        <f t="shared" si="162"/>
        <v>0</v>
      </c>
      <c r="M2019" s="159">
        <f t="shared" si="162"/>
        <v>0</v>
      </c>
    </row>
    <row r="2020" spans="2:13">
      <c r="B2020" t="s">
        <v>192</v>
      </c>
      <c r="C2020">
        <f t="shared" si="163"/>
        <v>55</v>
      </c>
      <c r="D2020" t="str">
        <f t="shared" si="160"/>
        <v>MARSEILLE55</v>
      </c>
      <c r="E2020" t="s">
        <v>193</v>
      </c>
      <c r="F2020" t="str">
        <f t="shared" si="161"/>
        <v>MARSEILLE55</v>
      </c>
      <c r="G2020" t="s">
        <v>326</v>
      </c>
      <c r="I2020" s="16">
        <v>102.58</v>
      </c>
      <c r="J2020" s="16">
        <v>90.66</v>
      </c>
      <c r="K2020" s="16">
        <v>8.5</v>
      </c>
      <c r="L2020" s="159">
        <f t="shared" si="162"/>
        <v>0.8837980113082472</v>
      </c>
      <c r="M2020" s="159">
        <f t="shared" si="162"/>
        <v>8.2862156365763315E-2</v>
      </c>
    </row>
    <row r="2021" spans="2:13">
      <c r="B2021" t="s">
        <v>192</v>
      </c>
      <c r="C2021">
        <f t="shared" si="163"/>
        <v>56</v>
      </c>
      <c r="D2021" t="str">
        <f t="shared" si="160"/>
        <v>MARSEILLE56</v>
      </c>
      <c r="E2021" t="s">
        <v>193</v>
      </c>
      <c r="F2021" t="str">
        <f t="shared" si="161"/>
        <v>MARSEILLE56</v>
      </c>
      <c r="G2021" t="s">
        <v>272</v>
      </c>
      <c r="I2021" s="16">
        <v>99.39</v>
      </c>
      <c r="J2021" s="16">
        <v>7.36</v>
      </c>
      <c r="K2021" s="16">
        <v>0</v>
      </c>
      <c r="L2021" s="159">
        <f t="shared" si="162"/>
        <v>7.4051715464332424E-2</v>
      </c>
      <c r="M2021" s="159">
        <f t="shared" si="162"/>
        <v>0</v>
      </c>
    </row>
    <row r="2022" spans="2:13">
      <c r="B2022" t="s">
        <v>192</v>
      </c>
      <c r="C2022">
        <f t="shared" si="163"/>
        <v>57</v>
      </c>
      <c r="D2022" t="str">
        <f t="shared" si="160"/>
        <v>MARSEILLE57</v>
      </c>
      <c r="E2022" t="s">
        <v>193</v>
      </c>
      <c r="F2022" t="str">
        <f t="shared" si="161"/>
        <v>MARSEILLE57</v>
      </c>
      <c r="G2022" t="s">
        <v>282</v>
      </c>
      <c r="H2022" t="s">
        <v>920</v>
      </c>
      <c r="I2022" s="16">
        <v>98.51</v>
      </c>
      <c r="J2022" s="16">
        <v>42.41</v>
      </c>
      <c r="K2022" s="16">
        <v>1</v>
      </c>
      <c r="L2022" s="159">
        <f t="shared" si="162"/>
        <v>0.43051466856156728</v>
      </c>
      <c r="M2022" s="159">
        <f t="shared" si="162"/>
        <v>1.0151253679829459E-2</v>
      </c>
    </row>
    <row r="2023" spans="2:13">
      <c r="B2023" t="s">
        <v>192</v>
      </c>
      <c r="C2023">
        <f t="shared" si="163"/>
        <v>58</v>
      </c>
      <c r="D2023" t="str">
        <f t="shared" si="160"/>
        <v>MARSEILLE58</v>
      </c>
      <c r="E2023" t="s">
        <v>193</v>
      </c>
      <c r="F2023" t="str">
        <f t="shared" si="161"/>
        <v>MARSEILLE58</v>
      </c>
      <c r="G2023" t="s">
        <v>308</v>
      </c>
      <c r="I2023" s="16">
        <v>94.05</v>
      </c>
      <c r="J2023" s="16">
        <v>41.2</v>
      </c>
      <c r="K2023" s="16">
        <v>6.32</v>
      </c>
      <c r="L2023" s="159">
        <f t="shared" si="162"/>
        <v>0.43806485911749071</v>
      </c>
      <c r="M2023" s="159">
        <f t="shared" si="162"/>
        <v>6.7198298777246146E-2</v>
      </c>
    </row>
    <row r="2024" spans="2:13">
      <c r="B2024" t="s">
        <v>192</v>
      </c>
      <c r="C2024">
        <f t="shared" si="163"/>
        <v>59</v>
      </c>
      <c r="D2024" t="str">
        <f t="shared" si="160"/>
        <v>MARSEILLE59</v>
      </c>
      <c r="E2024" t="s">
        <v>193</v>
      </c>
      <c r="F2024" t="str">
        <f t="shared" si="161"/>
        <v>MARSEILLE59</v>
      </c>
      <c r="G2024" t="s">
        <v>299</v>
      </c>
      <c r="H2024" t="s">
        <v>1800</v>
      </c>
      <c r="I2024" s="16">
        <v>90.43</v>
      </c>
      <c r="J2024" s="16">
        <v>30</v>
      </c>
      <c r="K2024" s="16">
        <v>30</v>
      </c>
      <c r="L2024" s="159">
        <f t="shared" si="162"/>
        <v>0.3317483136127391</v>
      </c>
      <c r="M2024" s="159">
        <f t="shared" si="162"/>
        <v>0.3317483136127391</v>
      </c>
    </row>
    <row r="2025" spans="2:13">
      <c r="B2025" t="s">
        <v>192</v>
      </c>
      <c r="C2025">
        <f t="shared" si="163"/>
        <v>60</v>
      </c>
      <c r="D2025" t="str">
        <f t="shared" si="160"/>
        <v>MARSEILLE60</v>
      </c>
      <c r="E2025" t="s">
        <v>193</v>
      </c>
      <c r="F2025" t="str">
        <f t="shared" si="161"/>
        <v>MARSEILLE60</v>
      </c>
      <c r="G2025" t="s">
        <v>302</v>
      </c>
      <c r="I2025" s="16">
        <v>90.24</v>
      </c>
      <c r="J2025" s="16">
        <v>20.45</v>
      </c>
      <c r="K2025" s="16">
        <v>47.9</v>
      </c>
      <c r="L2025" s="159">
        <f t="shared" si="162"/>
        <v>0.22661790780141844</v>
      </c>
      <c r="M2025" s="159">
        <f t="shared" si="162"/>
        <v>0.53080673758865249</v>
      </c>
    </row>
    <row r="2026" spans="2:13">
      <c r="B2026" t="s">
        <v>192</v>
      </c>
      <c r="C2026">
        <f t="shared" si="163"/>
        <v>61</v>
      </c>
      <c r="D2026" t="str">
        <f t="shared" si="160"/>
        <v>MARSEILLE61</v>
      </c>
      <c r="E2026" t="s">
        <v>193</v>
      </c>
      <c r="F2026" t="str">
        <f t="shared" si="161"/>
        <v>MARSEILLE61</v>
      </c>
      <c r="G2026" t="s">
        <v>260</v>
      </c>
      <c r="H2026" t="s">
        <v>932</v>
      </c>
      <c r="I2026" s="16">
        <v>90.17</v>
      </c>
      <c r="J2026" s="16">
        <v>4.37</v>
      </c>
      <c r="K2026" s="16">
        <v>6.32</v>
      </c>
      <c r="L2026" s="159">
        <f t="shared" si="162"/>
        <v>4.846401242098259E-2</v>
      </c>
      <c r="M2026" s="159">
        <f t="shared" si="162"/>
        <v>7.0089830320505711E-2</v>
      </c>
    </row>
    <row r="2027" spans="2:13">
      <c r="B2027" t="s">
        <v>192</v>
      </c>
      <c r="C2027">
        <f t="shared" si="163"/>
        <v>62</v>
      </c>
      <c r="D2027" t="str">
        <f t="shared" si="160"/>
        <v>MARSEILLE62</v>
      </c>
      <c r="E2027" t="s">
        <v>193</v>
      </c>
      <c r="F2027" t="str">
        <f t="shared" si="161"/>
        <v>MARSEILLE62</v>
      </c>
      <c r="G2027" t="s">
        <v>341</v>
      </c>
      <c r="I2027" s="16">
        <v>87.99</v>
      </c>
      <c r="J2027" s="16">
        <v>50.52</v>
      </c>
      <c r="K2027" s="16">
        <v>0</v>
      </c>
      <c r="L2027" s="159">
        <f t="shared" si="162"/>
        <v>0.57415615410842147</v>
      </c>
      <c r="M2027" s="159">
        <f t="shared" si="162"/>
        <v>0</v>
      </c>
    </row>
    <row r="2028" spans="2:13">
      <c r="B2028" t="s">
        <v>192</v>
      </c>
      <c r="C2028">
        <f t="shared" si="163"/>
        <v>63</v>
      </c>
      <c r="D2028" t="str">
        <f t="shared" si="160"/>
        <v>MARSEILLE63</v>
      </c>
      <c r="E2028" t="s">
        <v>193</v>
      </c>
      <c r="F2028" t="str">
        <f t="shared" si="161"/>
        <v>MARSEILLE63</v>
      </c>
      <c r="G2028" t="s">
        <v>340</v>
      </c>
      <c r="H2028" t="s">
        <v>945</v>
      </c>
      <c r="I2028" s="16">
        <v>87.83</v>
      </c>
      <c r="J2028" s="16">
        <v>42.04</v>
      </c>
      <c r="K2028" s="16">
        <v>0</v>
      </c>
      <c r="L2028" s="159">
        <f t="shared" si="162"/>
        <v>0.47865194125014232</v>
      </c>
      <c r="M2028" s="159">
        <f t="shared" si="162"/>
        <v>0</v>
      </c>
    </row>
    <row r="2029" spans="2:13">
      <c r="B2029" t="s">
        <v>192</v>
      </c>
      <c r="C2029">
        <f t="shared" si="163"/>
        <v>64</v>
      </c>
      <c r="D2029" t="str">
        <f t="shared" si="160"/>
        <v>MARSEILLE64</v>
      </c>
      <c r="E2029" t="s">
        <v>193</v>
      </c>
      <c r="F2029" t="str">
        <f t="shared" si="161"/>
        <v>MARSEILLE64</v>
      </c>
      <c r="G2029" t="s">
        <v>305</v>
      </c>
      <c r="H2029" t="s">
        <v>937</v>
      </c>
      <c r="I2029" s="16">
        <v>84.97</v>
      </c>
      <c r="J2029" s="16">
        <v>24</v>
      </c>
      <c r="K2029" s="16">
        <v>1.36</v>
      </c>
      <c r="L2029" s="159">
        <f t="shared" si="162"/>
        <v>0.28245263034012003</v>
      </c>
      <c r="M2029" s="159">
        <f t="shared" si="162"/>
        <v>1.6005649052606805E-2</v>
      </c>
    </row>
    <row r="2030" spans="2:13">
      <c r="B2030" t="s">
        <v>192</v>
      </c>
      <c r="C2030">
        <f t="shared" ref="C2030:C2061" si="164">RANK(I2030,$I$1965:$I$2128,0)</f>
        <v>65</v>
      </c>
      <c r="D2030" t="str">
        <f t="shared" si="160"/>
        <v>MARSEILLE65</v>
      </c>
      <c r="E2030" t="s">
        <v>193</v>
      </c>
      <c r="F2030" t="str">
        <f t="shared" si="161"/>
        <v>MARSEILLE65</v>
      </c>
      <c r="G2030" t="s">
        <v>233</v>
      </c>
      <c r="I2030" s="16">
        <v>81.44</v>
      </c>
      <c r="J2030" s="16">
        <v>7.61</v>
      </c>
      <c r="K2030" s="16">
        <v>80.44</v>
      </c>
      <c r="L2030" s="159">
        <f t="shared" si="162"/>
        <v>9.344302554027506E-2</v>
      </c>
      <c r="M2030" s="159">
        <f t="shared" si="162"/>
        <v>0.98772102161100195</v>
      </c>
    </row>
    <row r="2031" spans="2:13">
      <c r="B2031" t="s">
        <v>192</v>
      </c>
      <c r="C2031">
        <f t="shared" si="164"/>
        <v>66</v>
      </c>
      <c r="D2031" t="str">
        <f t="shared" si="160"/>
        <v>MARSEILLE66</v>
      </c>
      <c r="E2031" t="s">
        <v>193</v>
      </c>
      <c r="F2031" t="str">
        <f t="shared" si="161"/>
        <v>MARSEILLE66</v>
      </c>
      <c r="G2031" t="s">
        <v>363</v>
      </c>
      <c r="I2031" s="16">
        <v>76.430000000000007</v>
      </c>
      <c r="J2031" s="16">
        <v>40.89</v>
      </c>
      <c r="K2031" s="16">
        <v>20.11</v>
      </c>
      <c r="L2031" s="159">
        <f t="shared" si="162"/>
        <v>0.53499934580662045</v>
      </c>
      <c r="M2031" s="159">
        <f t="shared" si="162"/>
        <v>0.26311657726023807</v>
      </c>
    </row>
    <row r="2032" spans="2:13">
      <c r="B2032" t="s">
        <v>192</v>
      </c>
      <c r="C2032">
        <f t="shared" si="164"/>
        <v>67</v>
      </c>
      <c r="D2032" t="str">
        <f t="shared" si="160"/>
        <v>MARSEILLE67</v>
      </c>
      <c r="E2032" t="s">
        <v>193</v>
      </c>
      <c r="F2032" t="str">
        <f t="shared" si="161"/>
        <v>MARSEILLE67</v>
      </c>
      <c r="G2032" t="s">
        <v>330</v>
      </c>
      <c r="I2032" s="16">
        <v>76.099999999999994</v>
      </c>
      <c r="J2032" s="16">
        <v>20.04</v>
      </c>
      <c r="K2032" s="16">
        <v>18.87</v>
      </c>
      <c r="L2032" s="159">
        <f t="shared" si="162"/>
        <v>0.2633377135348226</v>
      </c>
      <c r="M2032" s="159">
        <f t="shared" si="162"/>
        <v>0.24796320630749016</v>
      </c>
    </row>
    <row r="2033" spans="2:13">
      <c r="B2033" t="s">
        <v>192</v>
      </c>
      <c r="C2033">
        <f t="shared" si="164"/>
        <v>68</v>
      </c>
      <c r="D2033" t="str">
        <f t="shared" si="160"/>
        <v>MARSEILLE68</v>
      </c>
      <c r="E2033" t="s">
        <v>193</v>
      </c>
      <c r="F2033" t="str">
        <f t="shared" si="161"/>
        <v>MARSEILLE68</v>
      </c>
      <c r="G2033" t="s">
        <v>254</v>
      </c>
      <c r="H2033" t="s">
        <v>931</v>
      </c>
      <c r="I2033" s="16">
        <v>74.89</v>
      </c>
      <c r="J2033" s="16">
        <v>0</v>
      </c>
      <c r="K2033" s="16">
        <v>0</v>
      </c>
      <c r="L2033" s="159">
        <f t="shared" si="162"/>
        <v>0</v>
      </c>
      <c r="M2033" s="159">
        <f t="shared" si="162"/>
        <v>0</v>
      </c>
    </row>
    <row r="2034" spans="2:13">
      <c r="B2034" t="s">
        <v>192</v>
      </c>
      <c r="C2034">
        <f t="shared" si="164"/>
        <v>69</v>
      </c>
      <c r="D2034" t="str">
        <f t="shared" si="160"/>
        <v>MARSEILLE69</v>
      </c>
      <c r="E2034" t="s">
        <v>193</v>
      </c>
      <c r="F2034" t="str">
        <f t="shared" si="161"/>
        <v>MARSEILLE69</v>
      </c>
      <c r="G2034" t="s">
        <v>306</v>
      </c>
      <c r="H2034" t="s">
        <v>307</v>
      </c>
      <c r="I2034" s="16">
        <v>71.92</v>
      </c>
      <c r="J2034" s="16">
        <v>0</v>
      </c>
      <c r="K2034" s="16">
        <v>0</v>
      </c>
      <c r="L2034" s="159">
        <f t="shared" si="162"/>
        <v>0</v>
      </c>
      <c r="M2034" s="159">
        <f t="shared" si="162"/>
        <v>0</v>
      </c>
    </row>
    <row r="2035" spans="2:13">
      <c r="B2035" t="s">
        <v>192</v>
      </c>
      <c r="C2035">
        <f t="shared" si="164"/>
        <v>70</v>
      </c>
      <c r="D2035" t="str">
        <f t="shared" si="160"/>
        <v>MARSEILLE70</v>
      </c>
      <c r="E2035" t="s">
        <v>193</v>
      </c>
      <c r="F2035" t="str">
        <f t="shared" si="161"/>
        <v>MARSEILLE70</v>
      </c>
      <c r="G2035" t="s">
        <v>278</v>
      </c>
      <c r="H2035" t="s">
        <v>934</v>
      </c>
      <c r="I2035" s="16">
        <v>70.03</v>
      </c>
      <c r="J2035" s="16">
        <v>12.18</v>
      </c>
      <c r="K2035" s="16">
        <v>0</v>
      </c>
      <c r="L2035" s="159">
        <f t="shared" si="162"/>
        <v>0.17392546051692132</v>
      </c>
      <c r="M2035" s="159">
        <f t="shared" si="162"/>
        <v>0</v>
      </c>
    </row>
    <row r="2036" spans="2:13">
      <c r="B2036" t="s">
        <v>192</v>
      </c>
      <c r="C2036">
        <f t="shared" si="164"/>
        <v>71</v>
      </c>
      <c r="D2036" t="str">
        <f t="shared" si="160"/>
        <v>MARSEILLE71</v>
      </c>
      <c r="E2036" t="s">
        <v>193</v>
      </c>
      <c r="F2036" t="str">
        <f t="shared" si="161"/>
        <v>MARSEILLE71</v>
      </c>
      <c r="G2036" t="s">
        <v>407</v>
      </c>
      <c r="I2036" s="16">
        <v>69.260000000000005</v>
      </c>
      <c r="J2036" s="16">
        <v>35.909999999999997</v>
      </c>
      <c r="K2036" s="16">
        <v>32.08</v>
      </c>
      <c r="L2036" s="159">
        <f t="shared" si="162"/>
        <v>0.51848108576378849</v>
      </c>
      <c r="M2036" s="159">
        <f t="shared" si="162"/>
        <v>0.46318221195495229</v>
      </c>
    </row>
    <row r="2037" spans="2:13">
      <c r="B2037" t="s">
        <v>192</v>
      </c>
      <c r="C2037">
        <f t="shared" si="164"/>
        <v>72</v>
      </c>
      <c r="D2037" t="str">
        <f t="shared" si="160"/>
        <v>MARSEILLE72</v>
      </c>
      <c r="E2037" t="s">
        <v>193</v>
      </c>
      <c r="F2037" t="str">
        <f t="shared" si="161"/>
        <v>MARSEILLE72</v>
      </c>
      <c r="G2037" t="s">
        <v>321</v>
      </c>
      <c r="I2037" s="16">
        <v>69.03</v>
      </c>
      <c r="J2037" s="16">
        <v>12.28</v>
      </c>
      <c r="K2037" s="16">
        <v>7.16</v>
      </c>
      <c r="L2037" s="159">
        <f t="shared" si="162"/>
        <v>0.17789366941909313</v>
      </c>
      <c r="M2037" s="159">
        <f t="shared" si="162"/>
        <v>0.10372301897725626</v>
      </c>
    </row>
    <row r="2038" spans="2:13">
      <c r="B2038" t="s">
        <v>192</v>
      </c>
      <c r="C2038">
        <f t="shared" si="164"/>
        <v>73</v>
      </c>
      <c r="D2038" t="str">
        <f t="shared" si="160"/>
        <v>MARSEILLE73</v>
      </c>
      <c r="E2038" t="s">
        <v>193</v>
      </c>
      <c r="F2038" t="str">
        <f t="shared" si="161"/>
        <v>MARSEILLE73</v>
      </c>
      <c r="G2038" t="s">
        <v>374</v>
      </c>
      <c r="I2038" s="16">
        <v>66.930000000000007</v>
      </c>
      <c r="J2038" s="16">
        <v>19.079999999999998</v>
      </c>
      <c r="K2038" s="16">
        <v>26.23</v>
      </c>
      <c r="L2038" s="159">
        <f t="shared" si="162"/>
        <v>0.28507395786642753</v>
      </c>
      <c r="M2038" s="159">
        <f t="shared" si="162"/>
        <v>0.39190198715075447</v>
      </c>
    </row>
    <row r="2039" spans="2:13">
      <c r="B2039" t="s">
        <v>192</v>
      </c>
      <c r="C2039">
        <f t="shared" si="164"/>
        <v>74</v>
      </c>
      <c r="D2039" t="str">
        <f t="shared" si="160"/>
        <v>MARSEILLE74</v>
      </c>
      <c r="E2039" t="s">
        <v>193</v>
      </c>
      <c r="F2039" t="str">
        <f t="shared" si="161"/>
        <v>MARSEILLE74</v>
      </c>
      <c r="G2039" t="s">
        <v>245</v>
      </c>
      <c r="I2039" s="16">
        <v>66.040000000000006</v>
      </c>
      <c r="J2039" s="16">
        <v>18.010000000000002</v>
      </c>
      <c r="K2039" s="16">
        <v>8</v>
      </c>
      <c r="L2039" s="159">
        <f t="shared" si="162"/>
        <v>0.27271350696547547</v>
      </c>
      <c r="M2039" s="159">
        <f t="shared" si="162"/>
        <v>0.12113870381586916</v>
      </c>
    </row>
    <row r="2040" spans="2:13">
      <c r="B2040" t="s">
        <v>192</v>
      </c>
      <c r="C2040">
        <f t="shared" si="164"/>
        <v>75</v>
      </c>
      <c r="D2040" t="str">
        <f t="shared" si="160"/>
        <v>MARSEILLE75</v>
      </c>
      <c r="E2040" t="s">
        <v>193</v>
      </c>
      <c r="F2040" t="str">
        <f t="shared" si="161"/>
        <v>MARSEILLE75</v>
      </c>
      <c r="G2040" t="s">
        <v>255</v>
      </c>
      <c r="H2040" t="s">
        <v>256</v>
      </c>
      <c r="I2040" s="16">
        <v>65.349999999999994</v>
      </c>
      <c r="J2040" s="16">
        <v>25.46</v>
      </c>
      <c r="K2040" s="16">
        <v>54.92</v>
      </c>
      <c r="L2040" s="159">
        <f t="shared" si="162"/>
        <v>0.38959449120122425</v>
      </c>
      <c r="M2040" s="159">
        <f t="shared" si="162"/>
        <v>0.84039785768936504</v>
      </c>
    </row>
    <row r="2041" spans="2:13">
      <c r="B2041" t="s">
        <v>192</v>
      </c>
      <c r="C2041">
        <f t="shared" si="164"/>
        <v>76</v>
      </c>
      <c r="D2041" t="str">
        <f t="shared" si="160"/>
        <v>MARSEILLE76</v>
      </c>
      <c r="E2041" t="s">
        <v>193</v>
      </c>
      <c r="F2041" t="str">
        <f t="shared" si="161"/>
        <v>MARSEILLE76</v>
      </c>
      <c r="G2041" t="s">
        <v>280</v>
      </c>
      <c r="I2041" s="16">
        <v>63.92</v>
      </c>
      <c r="J2041" s="16">
        <v>49.17</v>
      </c>
      <c r="K2041" s="16">
        <v>8.4</v>
      </c>
      <c r="L2041" s="159">
        <f t="shared" si="162"/>
        <v>0.76924280350438046</v>
      </c>
      <c r="M2041" s="159">
        <f t="shared" si="162"/>
        <v>0.13141426783479349</v>
      </c>
    </row>
    <row r="2042" spans="2:13">
      <c r="B2042" t="s">
        <v>192</v>
      </c>
      <c r="C2042">
        <f t="shared" si="164"/>
        <v>77</v>
      </c>
      <c r="D2042" t="str">
        <f t="shared" si="160"/>
        <v>MARSEILLE77</v>
      </c>
      <c r="E2042" t="s">
        <v>193</v>
      </c>
      <c r="F2042" t="str">
        <f t="shared" si="161"/>
        <v>MARSEILLE77</v>
      </c>
      <c r="G2042" t="s">
        <v>279</v>
      </c>
      <c r="I2042" s="16">
        <v>61.37</v>
      </c>
      <c r="J2042" s="16">
        <v>24.08</v>
      </c>
      <c r="K2042" s="16">
        <v>2</v>
      </c>
      <c r="L2042" s="159">
        <f t="shared" si="162"/>
        <v>0.39237412416490142</v>
      </c>
      <c r="M2042" s="159">
        <f t="shared" si="162"/>
        <v>3.2589212970506765E-2</v>
      </c>
    </row>
    <row r="2043" spans="2:13">
      <c r="B2043" t="s">
        <v>192</v>
      </c>
      <c r="C2043">
        <f t="shared" si="164"/>
        <v>78</v>
      </c>
      <c r="D2043" t="str">
        <f t="shared" si="160"/>
        <v>MARSEILLE78</v>
      </c>
      <c r="E2043" t="s">
        <v>193</v>
      </c>
      <c r="F2043" t="str">
        <f t="shared" si="161"/>
        <v>MARSEILLE78</v>
      </c>
      <c r="G2043" t="s">
        <v>310</v>
      </c>
      <c r="I2043" s="16">
        <v>58.27</v>
      </c>
      <c r="J2043" s="16">
        <v>20.04</v>
      </c>
      <c r="K2043" s="16">
        <v>17.309999999999999</v>
      </c>
      <c r="L2043" s="159">
        <f t="shared" si="162"/>
        <v>0.34391625193066755</v>
      </c>
      <c r="M2043" s="159">
        <f t="shared" si="162"/>
        <v>0.29706538527544185</v>
      </c>
    </row>
    <row r="2044" spans="2:13">
      <c r="B2044" t="s">
        <v>192</v>
      </c>
      <c r="C2044">
        <f t="shared" si="164"/>
        <v>79</v>
      </c>
      <c r="D2044" t="str">
        <f t="shared" si="160"/>
        <v>MARSEILLE79</v>
      </c>
      <c r="E2044" t="s">
        <v>193</v>
      </c>
      <c r="F2044" t="str">
        <f t="shared" si="161"/>
        <v>MARSEILLE79</v>
      </c>
      <c r="G2044" t="s">
        <v>388</v>
      </c>
      <c r="I2044" s="16">
        <v>57.51</v>
      </c>
      <c r="J2044" s="16">
        <v>0</v>
      </c>
      <c r="K2044" s="16">
        <v>0</v>
      </c>
      <c r="L2044" s="159">
        <f t="shared" si="162"/>
        <v>0</v>
      </c>
      <c r="M2044" s="159">
        <f t="shared" si="162"/>
        <v>0</v>
      </c>
    </row>
    <row r="2045" spans="2:13">
      <c r="B2045" t="s">
        <v>192</v>
      </c>
      <c r="C2045">
        <f t="shared" si="164"/>
        <v>80</v>
      </c>
      <c r="D2045" t="str">
        <f t="shared" si="160"/>
        <v>MARSEILLE80</v>
      </c>
      <c r="E2045" t="s">
        <v>193</v>
      </c>
      <c r="F2045" t="str">
        <f t="shared" si="161"/>
        <v>MARSEILLE80</v>
      </c>
      <c r="G2045" t="s">
        <v>353</v>
      </c>
      <c r="I2045" s="16">
        <v>56.21</v>
      </c>
      <c r="J2045" s="16">
        <v>17.97</v>
      </c>
      <c r="K2045" s="16">
        <v>1.36</v>
      </c>
      <c r="L2045" s="159">
        <f t="shared" si="162"/>
        <v>0.31969400462551145</v>
      </c>
      <c r="M2045" s="159">
        <f t="shared" si="162"/>
        <v>2.4194983099092689E-2</v>
      </c>
    </row>
    <row r="2046" spans="2:13">
      <c r="B2046" t="s">
        <v>192</v>
      </c>
      <c r="C2046">
        <f t="shared" si="164"/>
        <v>81</v>
      </c>
      <c r="D2046" t="str">
        <f t="shared" si="160"/>
        <v>MARSEILLE81</v>
      </c>
      <c r="E2046" t="s">
        <v>193</v>
      </c>
      <c r="F2046" t="str">
        <f t="shared" si="161"/>
        <v>MARSEILLE81</v>
      </c>
      <c r="G2046" t="s">
        <v>346</v>
      </c>
      <c r="I2046" s="16">
        <v>52.36</v>
      </c>
      <c r="J2046" s="16">
        <v>4.92</v>
      </c>
      <c r="K2046" s="16">
        <v>28.28</v>
      </c>
      <c r="L2046" s="159">
        <f t="shared" si="162"/>
        <v>9.3964858670741017E-2</v>
      </c>
      <c r="M2046" s="159">
        <f t="shared" si="162"/>
        <v>0.5401069518716578</v>
      </c>
    </row>
    <row r="2047" spans="2:13">
      <c r="B2047" t="s">
        <v>192</v>
      </c>
      <c r="C2047">
        <f t="shared" si="164"/>
        <v>82</v>
      </c>
      <c r="D2047" t="str">
        <f t="shared" si="160"/>
        <v>MARSEILLE82</v>
      </c>
      <c r="E2047" t="s">
        <v>193</v>
      </c>
      <c r="F2047" t="str">
        <f t="shared" si="161"/>
        <v>MARSEILLE82</v>
      </c>
      <c r="G2047" t="s">
        <v>378</v>
      </c>
      <c r="I2047" s="16">
        <v>51.83</v>
      </c>
      <c r="J2047" s="16">
        <v>0</v>
      </c>
      <c r="K2047" s="16">
        <v>0</v>
      </c>
      <c r="L2047" s="159">
        <f t="shared" si="162"/>
        <v>0</v>
      </c>
      <c r="M2047" s="159">
        <f t="shared" si="162"/>
        <v>0</v>
      </c>
    </row>
    <row r="2048" spans="2:13">
      <c r="B2048" t="s">
        <v>192</v>
      </c>
      <c r="C2048">
        <f t="shared" si="164"/>
        <v>83</v>
      </c>
      <c r="D2048" t="str">
        <f t="shared" si="160"/>
        <v>MARSEILLE83</v>
      </c>
      <c r="E2048" t="s">
        <v>193</v>
      </c>
      <c r="F2048" t="str">
        <f t="shared" si="161"/>
        <v>MARSEILLE83</v>
      </c>
      <c r="G2048" t="s">
        <v>357</v>
      </c>
      <c r="I2048" s="16">
        <v>51.82</v>
      </c>
      <c r="J2048" s="16">
        <v>5</v>
      </c>
      <c r="K2048" s="16">
        <v>0</v>
      </c>
      <c r="L2048" s="159">
        <f t="shared" si="162"/>
        <v>9.6487842531840992E-2</v>
      </c>
      <c r="M2048" s="159">
        <f t="shared" si="162"/>
        <v>0</v>
      </c>
    </row>
    <row r="2049" spans="2:13">
      <c r="B2049" t="s">
        <v>192</v>
      </c>
      <c r="C2049">
        <f t="shared" si="164"/>
        <v>84</v>
      </c>
      <c r="D2049" t="str">
        <f t="shared" si="160"/>
        <v>MARSEILLE84</v>
      </c>
      <c r="E2049" t="s">
        <v>193</v>
      </c>
      <c r="F2049" t="str">
        <f t="shared" si="161"/>
        <v>MARSEILLE84</v>
      </c>
      <c r="G2049" t="s">
        <v>253</v>
      </c>
      <c r="I2049" s="16">
        <v>51.1</v>
      </c>
      <c r="J2049" s="16">
        <v>30.18</v>
      </c>
      <c r="K2049" s="16">
        <v>21.93</v>
      </c>
      <c r="L2049" s="159">
        <f t="shared" si="162"/>
        <v>0.59060665362035225</v>
      </c>
      <c r="M2049" s="159">
        <f t="shared" si="162"/>
        <v>0.42915851272015654</v>
      </c>
    </row>
    <row r="2050" spans="2:13">
      <c r="B2050" t="s">
        <v>192</v>
      </c>
      <c r="C2050">
        <f t="shared" si="164"/>
        <v>85</v>
      </c>
      <c r="D2050" t="str">
        <f t="shared" ref="D2050:D2113" si="165">CONCATENATE(E2050,C2050)</f>
        <v>MARSEILLE85</v>
      </c>
      <c r="E2050" t="s">
        <v>193</v>
      </c>
      <c r="F2050" t="str">
        <f t="shared" si="161"/>
        <v>MARSEILLE85</v>
      </c>
      <c r="G2050" t="s">
        <v>344</v>
      </c>
      <c r="I2050" s="16">
        <v>49.98</v>
      </c>
      <c r="J2050" s="16">
        <v>15.22</v>
      </c>
      <c r="K2050" s="16">
        <v>6.11</v>
      </c>
      <c r="L2050" s="159">
        <f t="shared" si="162"/>
        <v>0.30452180872348944</v>
      </c>
      <c r="M2050" s="159">
        <f t="shared" si="162"/>
        <v>0.12224889955982395</v>
      </c>
    </row>
    <row r="2051" spans="2:13">
      <c r="B2051" t="s">
        <v>192</v>
      </c>
      <c r="C2051">
        <f t="shared" si="164"/>
        <v>86</v>
      </c>
      <c r="D2051" t="str">
        <f t="shared" si="165"/>
        <v>MARSEILLE86</v>
      </c>
      <c r="E2051" t="s">
        <v>193</v>
      </c>
      <c r="F2051" t="str">
        <f t="shared" ref="F2051:F2114" si="166">D2051</f>
        <v>MARSEILLE86</v>
      </c>
      <c r="G2051" t="s">
        <v>259</v>
      </c>
      <c r="I2051" s="16">
        <v>47.18</v>
      </c>
      <c r="J2051" s="16">
        <v>16.25</v>
      </c>
      <c r="K2051" s="16">
        <v>14.41</v>
      </c>
      <c r="L2051" s="159">
        <f t="shared" ref="L2051:M2114" si="167">J2051/$I2051</f>
        <v>0.344425604069521</v>
      </c>
      <c r="M2051" s="159">
        <f t="shared" si="167"/>
        <v>0.30542602797795676</v>
      </c>
    </row>
    <row r="2052" spans="2:13">
      <c r="B2052" t="s">
        <v>192</v>
      </c>
      <c r="C2052">
        <f t="shared" si="164"/>
        <v>87</v>
      </c>
      <c r="D2052" t="str">
        <f t="shared" si="165"/>
        <v>MARSEILLE87</v>
      </c>
      <c r="E2052" t="s">
        <v>193</v>
      </c>
      <c r="F2052" t="str">
        <f t="shared" si="166"/>
        <v>MARSEILLE87</v>
      </c>
      <c r="G2052" t="s">
        <v>355</v>
      </c>
      <c r="I2052" s="16">
        <v>46.44</v>
      </c>
      <c r="J2052" s="16">
        <v>26.15</v>
      </c>
      <c r="K2052" s="16">
        <v>0</v>
      </c>
      <c r="L2052" s="159">
        <f t="shared" si="167"/>
        <v>0.56309216192937128</v>
      </c>
      <c r="M2052" s="159">
        <f t="shared" si="167"/>
        <v>0</v>
      </c>
    </row>
    <row r="2053" spans="2:13">
      <c r="B2053" t="s">
        <v>192</v>
      </c>
      <c r="C2053">
        <f t="shared" si="164"/>
        <v>88</v>
      </c>
      <c r="D2053" t="str">
        <f t="shared" si="165"/>
        <v>MARSEILLE88</v>
      </c>
      <c r="E2053" t="s">
        <v>193</v>
      </c>
      <c r="F2053" t="str">
        <f t="shared" si="166"/>
        <v>MARSEILLE88</v>
      </c>
      <c r="G2053" t="s">
        <v>265</v>
      </c>
      <c r="I2053" s="16">
        <v>41.96</v>
      </c>
      <c r="J2053" s="16">
        <v>31.56</v>
      </c>
      <c r="K2053" s="16">
        <v>8.4</v>
      </c>
      <c r="L2053" s="159">
        <f t="shared" si="167"/>
        <v>0.75214489990467104</v>
      </c>
      <c r="M2053" s="159">
        <f t="shared" si="167"/>
        <v>0.20019065776930411</v>
      </c>
    </row>
    <row r="2054" spans="2:13">
      <c r="B2054" t="s">
        <v>192</v>
      </c>
      <c r="C2054">
        <f t="shared" si="164"/>
        <v>89</v>
      </c>
      <c r="D2054" t="str">
        <f t="shared" si="165"/>
        <v>MARSEILLE89</v>
      </c>
      <c r="E2054" t="s">
        <v>193</v>
      </c>
      <c r="F2054" t="str">
        <f t="shared" si="166"/>
        <v>MARSEILLE89</v>
      </c>
      <c r="G2054" t="s">
        <v>373</v>
      </c>
      <c r="I2054" s="16">
        <v>40.369999999999997</v>
      </c>
      <c r="J2054" s="16">
        <v>1</v>
      </c>
      <c r="K2054" s="16">
        <v>40.369999999999997</v>
      </c>
      <c r="L2054" s="159">
        <f t="shared" si="167"/>
        <v>2.4770869457517962E-2</v>
      </c>
      <c r="M2054" s="159">
        <f t="shared" si="167"/>
        <v>1</v>
      </c>
    </row>
    <row r="2055" spans="2:13">
      <c r="B2055" t="s">
        <v>192</v>
      </c>
      <c r="C2055">
        <f t="shared" si="164"/>
        <v>90</v>
      </c>
      <c r="D2055" t="str">
        <f t="shared" si="165"/>
        <v>MARSEILLE90</v>
      </c>
      <c r="E2055" t="s">
        <v>193</v>
      </c>
      <c r="F2055" t="str">
        <f t="shared" si="166"/>
        <v>MARSEILLE90</v>
      </c>
      <c r="G2055" t="s">
        <v>398</v>
      </c>
      <c r="I2055" s="16">
        <v>40.15</v>
      </c>
      <c r="J2055" s="16">
        <v>8.4600000000000009</v>
      </c>
      <c r="K2055" s="16">
        <v>0</v>
      </c>
      <c r="L2055" s="159">
        <f t="shared" si="167"/>
        <v>0.2107098381070984</v>
      </c>
      <c r="M2055" s="159">
        <f t="shared" si="167"/>
        <v>0</v>
      </c>
    </row>
    <row r="2056" spans="2:13">
      <c r="B2056" t="s">
        <v>192</v>
      </c>
      <c r="C2056">
        <f t="shared" si="164"/>
        <v>91</v>
      </c>
      <c r="D2056" t="str">
        <f t="shared" si="165"/>
        <v>MARSEILLE91</v>
      </c>
      <c r="E2056" t="s">
        <v>193</v>
      </c>
      <c r="F2056" t="str">
        <f t="shared" si="166"/>
        <v>MARSEILLE91</v>
      </c>
      <c r="G2056" t="s">
        <v>379</v>
      </c>
      <c r="H2056" t="s">
        <v>944</v>
      </c>
      <c r="I2056" s="16">
        <v>37.82</v>
      </c>
      <c r="J2056" s="16">
        <v>10.24</v>
      </c>
      <c r="K2056" s="16">
        <v>0</v>
      </c>
      <c r="L2056" s="159">
        <f t="shared" si="167"/>
        <v>0.27075621364357483</v>
      </c>
      <c r="M2056" s="159">
        <f t="shared" si="167"/>
        <v>0</v>
      </c>
    </row>
    <row r="2057" spans="2:13">
      <c r="B2057" t="s">
        <v>192</v>
      </c>
      <c r="C2057">
        <f t="shared" si="164"/>
        <v>92</v>
      </c>
      <c r="D2057" t="str">
        <f t="shared" si="165"/>
        <v>MARSEILLE92</v>
      </c>
      <c r="E2057" t="s">
        <v>193</v>
      </c>
      <c r="F2057" t="str">
        <f t="shared" si="166"/>
        <v>MARSEILLE92</v>
      </c>
      <c r="G2057" t="s">
        <v>417</v>
      </c>
      <c r="I2057" s="16">
        <v>35.380000000000003</v>
      </c>
      <c r="J2057" s="16">
        <v>8.41</v>
      </c>
      <c r="K2057" s="16">
        <v>0</v>
      </c>
      <c r="L2057" s="159">
        <f t="shared" si="167"/>
        <v>0.23770491803278687</v>
      </c>
      <c r="M2057" s="159">
        <f t="shared" si="167"/>
        <v>0</v>
      </c>
    </row>
    <row r="2058" spans="2:13">
      <c r="B2058" t="s">
        <v>192</v>
      </c>
      <c r="C2058">
        <f t="shared" si="164"/>
        <v>93</v>
      </c>
      <c r="D2058" t="str">
        <f t="shared" si="165"/>
        <v>MARSEILLE93</v>
      </c>
      <c r="E2058" t="s">
        <v>193</v>
      </c>
      <c r="F2058" t="str">
        <f t="shared" si="166"/>
        <v>MARSEILLE93</v>
      </c>
      <c r="G2058" t="s">
        <v>412</v>
      </c>
      <c r="I2058" s="16">
        <v>35.299999999999997</v>
      </c>
      <c r="J2058" s="16">
        <v>14.63</v>
      </c>
      <c r="K2058" s="16">
        <v>5.12</v>
      </c>
      <c r="L2058" s="159">
        <f t="shared" si="167"/>
        <v>0.4144475920679887</v>
      </c>
      <c r="M2058" s="159">
        <f t="shared" si="167"/>
        <v>0.14504249291784704</v>
      </c>
    </row>
    <row r="2059" spans="2:13">
      <c r="B2059" t="s">
        <v>192</v>
      </c>
      <c r="C2059">
        <f t="shared" si="164"/>
        <v>94</v>
      </c>
      <c r="D2059" t="str">
        <f t="shared" si="165"/>
        <v>MARSEILLE94</v>
      </c>
      <c r="E2059" t="s">
        <v>193</v>
      </c>
      <c r="F2059" t="str">
        <f t="shared" si="166"/>
        <v>MARSEILLE94</v>
      </c>
      <c r="G2059" t="s">
        <v>365</v>
      </c>
      <c r="I2059" s="16">
        <v>33.75</v>
      </c>
      <c r="J2059" s="16">
        <v>0</v>
      </c>
      <c r="K2059" s="16">
        <v>0</v>
      </c>
      <c r="L2059" s="159">
        <f t="shared" si="167"/>
        <v>0</v>
      </c>
      <c r="M2059" s="159">
        <f t="shared" si="167"/>
        <v>0</v>
      </c>
    </row>
    <row r="2060" spans="2:13">
      <c r="B2060" t="s">
        <v>192</v>
      </c>
      <c r="C2060">
        <f t="shared" si="164"/>
        <v>95</v>
      </c>
      <c r="D2060" t="str">
        <f t="shared" si="165"/>
        <v>MARSEILLE95</v>
      </c>
      <c r="E2060" t="s">
        <v>193</v>
      </c>
      <c r="F2060" t="str">
        <f t="shared" si="166"/>
        <v>MARSEILLE95</v>
      </c>
      <c r="G2060" t="s">
        <v>347</v>
      </c>
      <c r="I2060" s="16">
        <v>33.450000000000003</v>
      </c>
      <c r="J2060" s="16">
        <v>14.84</v>
      </c>
      <c r="K2060" s="16">
        <v>6.11</v>
      </c>
      <c r="L2060" s="159">
        <f t="shared" si="167"/>
        <v>0.44364723467862477</v>
      </c>
      <c r="M2060" s="159">
        <f t="shared" si="167"/>
        <v>0.18266068759342302</v>
      </c>
    </row>
    <row r="2061" spans="2:13">
      <c r="B2061" t="s">
        <v>192</v>
      </c>
      <c r="C2061">
        <f t="shared" si="164"/>
        <v>96</v>
      </c>
      <c r="D2061" t="str">
        <f t="shared" si="165"/>
        <v>MARSEILLE96</v>
      </c>
      <c r="E2061" t="s">
        <v>193</v>
      </c>
      <c r="F2061" t="str">
        <f t="shared" si="166"/>
        <v>MARSEILLE96</v>
      </c>
      <c r="G2061" t="s">
        <v>240</v>
      </c>
      <c r="H2061" t="s">
        <v>926</v>
      </c>
      <c r="I2061" s="16">
        <v>33.21</v>
      </c>
      <c r="J2061" s="16">
        <v>33.21</v>
      </c>
      <c r="K2061" s="16">
        <v>24.91</v>
      </c>
      <c r="L2061" s="159">
        <f t="shared" si="167"/>
        <v>1</v>
      </c>
      <c r="M2061" s="159">
        <f t="shared" si="167"/>
        <v>0.75007527853056311</v>
      </c>
    </row>
    <row r="2062" spans="2:13">
      <c r="B2062" t="s">
        <v>192</v>
      </c>
      <c r="C2062">
        <f t="shared" ref="C2062:C2093" si="168">RANK(I2062,$I$1965:$I$2128,0)</f>
        <v>97</v>
      </c>
      <c r="D2062" t="str">
        <f t="shared" si="165"/>
        <v>MARSEILLE97</v>
      </c>
      <c r="E2062" t="s">
        <v>193</v>
      </c>
      <c r="F2062" t="str">
        <f t="shared" si="166"/>
        <v>MARSEILLE97</v>
      </c>
      <c r="G2062" t="s">
        <v>261</v>
      </c>
      <c r="I2062" s="16">
        <v>33</v>
      </c>
      <c r="J2062" s="16">
        <v>0</v>
      </c>
      <c r="K2062" s="16">
        <v>18</v>
      </c>
      <c r="L2062" s="159">
        <f t="shared" si="167"/>
        <v>0</v>
      </c>
      <c r="M2062" s="159">
        <f t="shared" si="167"/>
        <v>0.54545454545454541</v>
      </c>
    </row>
    <row r="2063" spans="2:13">
      <c r="B2063" t="s">
        <v>192</v>
      </c>
      <c r="C2063">
        <f t="shared" si="168"/>
        <v>98</v>
      </c>
      <c r="D2063" t="str">
        <f t="shared" si="165"/>
        <v>MARSEILLE98</v>
      </c>
      <c r="E2063" t="s">
        <v>193</v>
      </c>
      <c r="F2063" t="str">
        <f t="shared" si="166"/>
        <v>MARSEILLE98</v>
      </c>
      <c r="G2063" t="s">
        <v>345</v>
      </c>
      <c r="I2063" s="16">
        <v>32.770000000000003</v>
      </c>
      <c r="J2063" s="16">
        <v>12.59</v>
      </c>
      <c r="K2063" s="16">
        <v>0</v>
      </c>
      <c r="L2063" s="159">
        <f t="shared" si="167"/>
        <v>0.38419285932255109</v>
      </c>
      <c r="M2063" s="159">
        <f t="shared" si="167"/>
        <v>0</v>
      </c>
    </row>
    <row r="2064" spans="2:13">
      <c r="B2064" t="s">
        <v>192</v>
      </c>
      <c r="C2064">
        <f t="shared" si="168"/>
        <v>99</v>
      </c>
      <c r="D2064" t="str">
        <f t="shared" si="165"/>
        <v>MARSEILLE99</v>
      </c>
      <c r="E2064" t="s">
        <v>193</v>
      </c>
      <c r="F2064" t="str">
        <f t="shared" si="166"/>
        <v>MARSEILLE99</v>
      </c>
      <c r="G2064" t="s">
        <v>283</v>
      </c>
      <c r="I2064" s="16">
        <v>32.6</v>
      </c>
      <c r="J2064" s="16">
        <v>7.28</v>
      </c>
      <c r="K2064" s="16">
        <v>0</v>
      </c>
      <c r="L2064" s="159">
        <f t="shared" si="167"/>
        <v>0.22331288343558281</v>
      </c>
      <c r="M2064" s="159">
        <f t="shared" si="167"/>
        <v>0</v>
      </c>
    </row>
    <row r="2065" spans="2:13">
      <c r="B2065" t="s">
        <v>192</v>
      </c>
      <c r="C2065">
        <f t="shared" si="168"/>
        <v>100</v>
      </c>
      <c r="D2065" t="str">
        <f t="shared" si="165"/>
        <v>MARSEILLE100</v>
      </c>
      <c r="E2065" t="s">
        <v>193</v>
      </c>
      <c r="F2065" t="str">
        <f t="shared" si="166"/>
        <v>MARSEILLE100</v>
      </c>
      <c r="G2065" t="s">
        <v>352</v>
      </c>
      <c r="I2065" s="16">
        <v>30.16</v>
      </c>
      <c r="J2065" s="16">
        <v>0</v>
      </c>
      <c r="K2065" s="16">
        <v>0</v>
      </c>
      <c r="L2065" s="159">
        <f t="shared" si="167"/>
        <v>0</v>
      </c>
      <c r="M2065" s="159">
        <f t="shared" si="167"/>
        <v>0</v>
      </c>
    </row>
    <row r="2066" spans="2:13">
      <c r="B2066" t="s">
        <v>192</v>
      </c>
      <c r="C2066">
        <f t="shared" si="168"/>
        <v>101</v>
      </c>
      <c r="D2066" t="str">
        <f t="shared" si="165"/>
        <v>MARSEILLE101</v>
      </c>
      <c r="E2066" t="s">
        <v>193</v>
      </c>
      <c r="F2066" t="str">
        <f t="shared" si="166"/>
        <v>MARSEILLE101</v>
      </c>
      <c r="G2066" t="s">
        <v>301</v>
      </c>
      <c r="H2066" t="s">
        <v>918</v>
      </c>
      <c r="I2066" s="16">
        <v>29.08</v>
      </c>
      <c r="J2066" s="16">
        <v>0</v>
      </c>
      <c r="K2066" s="16">
        <v>0</v>
      </c>
      <c r="L2066" s="159">
        <f t="shared" si="167"/>
        <v>0</v>
      </c>
      <c r="M2066" s="159">
        <f t="shared" si="167"/>
        <v>0</v>
      </c>
    </row>
    <row r="2067" spans="2:13">
      <c r="B2067" t="s">
        <v>192</v>
      </c>
      <c r="C2067">
        <f t="shared" si="168"/>
        <v>102</v>
      </c>
      <c r="D2067" t="str">
        <f t="shared" si="165"/>
        <v>MARSEILLE102</v>
      </c>
      <c r="E2067" t="s">
        <v>193</v>
      </c>
      <c r="F2067" t="str">
        <f t="shared" si="166"/>
        <v>MARSEILLE102</v>
      </c>
      <c r="G2067" t="s">
        <v>368</v>
      </c>
      <c r="I2067" s="16">
        <v>28.58</v>
      </c>
      <c r="J2067" s="16">
        <v>4.1399999999999997</v>
      </c>
      <c r="K2067" s="16">
        <v>1</v>
      </c>
      <c r="L2067" s="159">
        <f t="shared" si="167"/>
        <v>0.14485654303708886</v>
      </c>
      <c r="M2067" s="159">
        <f t="shared" si="167"/>
        <v>3.4989503149055287E-2</v>
      </c>
    </row>
    <row r="2068" spans="2:13">
      <c r="B2068" t="s">
        <v>192</v>
      </c>
      <c r="C2068">
        <f t="shared" si="168"/>
        <v>103</v>
      </c>
      <c r="D2068" t="str">
        <f t="shared" si="165"/>
        <v>MARSEILLE103</v>
      </c>
      <c r="E2068" t="s">
        <v>193</v>
      </c>
      <c r="F2068" t="str">
        <f t="shared" si="166"/>
        <v>MARSEILLE103</v>
      </c>
      <c r="G2068" t="s">
        <v>313</v>
      </c>
      <c r="I2068" s="16">
        <v>28.1</v>
      </c>
      <c r="J2068" s="16">
        <v>2.89</v>
      </c>
      <c r="K2068" s="16">
        <v>0</v>
      </c>
      <c r="L2068" s="159">
        <f t="shared" si="167"/>
        <v>0.10284697508896797</v>
      </c>
      <c r="M2068" s="159">
        <f t="shared" si="167"/>
        <v>0</v>
      </c>
    </row>
    <row r="2069" spans="2:13">
      <c r="B2069" t="s">
        <v>192</v>
      </c>
      <c r="C2069">
        <f t="shared" si="168"/>
        <v>104</v>
      </c>
      <c r="D2069" t="str">
        <f t="shared" si="165"/>
        <v>MARSEILLE104</v>
      </c>
      <c r="E2069" t="s">
        <v>193</v>
      </c>
      <c r="F2069" t="str">
        <f t="shared" si="166"/>
        <v>MARSEILLE104</v>
      </c>
      <c r="G2069" t="s">
        <v>304</v>
      </c>
      <c r="I2069" s="16">
        <v>24.89</v>
      </c>
      <c r="J2069" s="16">
        <v>19.27</v>
      </c>
      <c r="K2069" s="16">
        <v>0</v>
      </c>
      <c r="L2069" s="159">
        <f t="shared" si="167"/>
        <v>0.77420650863800722</v>
      </c>
      <c r="M2069" s="159">
        <f t="shared" si="167"/>
        <v>0</v>
      </c>
    </row>
    <row r="2070" spans="2:13">
      <c r="B2070" t="s">
        <v>192</v>
      </c>
      <c r="C2070">
        <f t="shared" si="168"/>
        <v>105</v>
      </c>
      <c r="D2070" t="str">
        <f t="shared" si="165"/>
        <v>MARSEILLE105</v>
      </c>
      <c r="E2070" t="s">
        <v>193</v>
      </c>
      <c r="F2070" t="str">
        <f t="shared" si="166"/>
        <v>MARSEILLE105</v>
      </c>
      <c r="G2070" t="s">
        <v>328</v>
      </c>
      <c r="H2070" t="s">
        <v>939</v>
      </c>
      <c r="I2070" s="16">
        <v>24.49</v>
      </c>
      <c r="J2070" s="16">
        <v>6.39</v>
      </c>
      <c r="K2070" s="16">
        <v>1</v>
      </c>
      <c r="L2070" s="159">
        <f t="shared" si="167"/>
        <v>0.26092282564311964</v>
      </c>
      <c r="M2070" s="159">
        <f t="shared" si="167"/>
        <v>4.0832993058391186E-2</v>
      </c>
    </row>
    <row r="2071" spans="2:13">
      <c r="B2071" t="s">
        <v>192</v>
      </c>
      <c r="C2071">
        <f t="shared" si="168"/>
        <v>106</v>
      </c>
      <c r="D2071" t="str">
        <f t="shared" si="165"/>
        <v>MARSEILLE106</v>
      </c>
      <c r="E2071" t="s">
        <v>193</v>
      </c>
      <c r="F2071" t="str">
        <f t="shared" si="166"/>
        <v>MARSEILLE106</v>
      </c>
      <c r="G2071" t="s">
        <v>383</v>
      </c>
      <c r="I2071" s="16">
        <v>24.15</v>
      </c>
      <c r="J2071" s="16">
        <v>0</v>
      </c>
      <c r="K2071" s="16">
        <v>8</v>
      </c>
      <c r="L2071" s="159">
        <f t="shared" si="167"/>
        <v>0</v>
      </c>
      <c r="M2071" s="159">
        <f t="shared" si="167"/>
        <v>0.33126293995859213</v>
      </c>
    </row>
    <row r="2072" spans="2:13">
      <c r="B2072" t="s">
        <v>192</v>
      </c>
      <c r="C2072">
        <f t="shared" si="168"/>
        <v>107</v>
      </c>
      <c r="D2072" t="str">
        <f t="shared" si="165"/>
        <v>MARSEILLE107</v>
      </c>
      <c r="E2072" t="s">
        <v>193</v>
      </c>
      <c r="F2072" t="str">
        <f t="shared" si="166"/>
        <v>MARSEILLE107</v>
      </c>
      <c r="G2072" t="s">
        <v>327</v>
      </c>
      <c r="H2072" t="s">
        <v>1799</v>
      </c>
      <c r="I2072" s="16">
        <v>23.91</v>
      </c>
      <c r="J2072" s="16">
        <v>21.02</v>
      </c>
      <c r="K2072" s="16">
        <v>0</v>
      </c>
      <c r="L2072" s="159">
        <f t="shared" si="167"/>
        <v>0.87913007109995811</v>
      </c>
      <c r="M2072" s="159">
        <f t="shared" si="167"/>
        <v>0</v>
      </c>
    </row>
    <row r="2073" spans="2:13">
      <c r="B2073" t="s">
        <v>192</v>
      </c>
      <c r="C2073">
        <f t="shared" si="168"/>
        <v>108</v>
      </c>
      <c r="D2073" t="str">
        <f t="shared" si="165"/>
        <v>MARSEILLE108</v>
      </c>
      <c r="E2073" t="s">
        <v>193</v>
      </c>
      <c r="F2073" t="str">
        <f t="shared" si="166"/>
        <v>MARSEILLE108</v>
      </c>
      <c r="G2073" t="s">
        <v>418</v>
      </c>
      <c r="I2073" s="16">
        <v>22.81</v>
      </c>
      <c r="J2073" s="16">
        <v>17.690000000000001</v>
      </c>
      <c r="K2073" s="16">
        <v>0</v>
      </c>
      <c r="L2073" s="159">
        <f t="shared" si="167"/>
        <v>0.7755370451556336</v>
      </c>
      <c r="M2073" s="159">
        <f t="shared" si="167"/>
        <v>0</v>
      </c>
    </row>
    <row r="2074" spans="2:13">
      <c r="B2074" t="s">
        <v>192</v>
      </c>
      <c r="C2074">
        <f t="shared" si="168"/>
        <v>109</v>
      </c>
      <c r="D2074" t="str">
        <f t="shared" si="165"/>
        <v>MARSEILLE109</v>
      </c>
      <c r="E2074" t="s">
        <v>193</v>
      </c>
      <c r="F2074" t="str">
        <f t="shared" si="166"/>
        <v>MARSEILLE109</v>
      </c>
      <c r="G2074" t="s">
        <v>334</v>
      </c>
      <c r="H2074" t="s">
        <v>946</v>
      </c>
      <c r="I2074" s="16">
        <v>22.02</v>
      </c>
      <c r="J2074" s="16">
        <v>0</v>
      </c>
      <c r="K2074" s="16">
        <v>22.02</v>
      </c>
      <c r="L2074" s="159">
        <f t="shared" si="167"/>
        <v>0</v>
      </c>
      <c r="M2074" s="159">
        <f t="shared" si="167"/>
        <v>1</v>
      </c>
    </row>
    <row r="2075" spans="2:13">
      <c r="B2075" t="s">
        <v>192</v>
      </c>
      <c r="C2075">
        <f t="shared" si="168"/>
        <v>110</v>
      </c>
      <c r="D2075" t="str">
        <f t="shared" si="165"/>
        <v>MARSEILLE110</v>
      </c>
      <c r="E2075" t="s">
        <v>193</v>
      </c>
      <c r="F2075" t="str">
        <f t="shared" si="166"/>
        <v>MARSEILLE110</v>
      </c>
      <c r="G2075" t="s">
        <v>389</v>
      </c>
      <c r="I2075" s="16">
        <v>21.85</v>
      </c>
      <c r="J2075" s="16">
        <v>21.85</v>
      </c>
      <c r="K2075" s="16">
        <v>0</v>
      </c>
      <c r="L2075" s="159">
        <f t="shared" si="167"/>
        <v>1</v>
      </c>
      <c r="M2075" s="159">
        <f t="shared" si="167"/>
        <v>0</v>
      </c>
    </row>
    <row r="2076" spans="2:13">
      <c r="B2076" t="s">
        <v>192</v>
      </c>
      <c r="C2076">
        <f t="shared" si="168"/>
        <v>110</v>
      </c>
      <c r="D2076" t="str">
        <f t="shared" si="165"/>
        <v>MARSEILLE110</v>
      </c>
      <c r="E2076" t="s">
        <v>193</v>
      </c>
      <c r="F2076" t="str">
        <f t="shared" si="166"/>
        <v>MARSEILLE110</v>
      </c>
      <c r="G2076" t="s">
        <v>217</v>
      </c>
      <c r="I2076" s="16">
        <v>21.85</v>
      </c>
      <c r="J2076" s="16">
        <v>0</v>
      </c>
      <c r="K2076" s="16">
        <v>0</v>
      </c>
      <c r="L2076" s="159">
        <f t="shared" si="167"/>
        <v>0</v>
      </c>
      <c r="M2076" s="159">
        <f t="shared" si="167"/>
        <v>0</v>
      </c>
    </row>
    <row r="2077" spans="2:13">
      <c r="B2077" t="s">
        <v>192</v>
      </c>
      <c r="C2077">
        <f t="shared" si="168"/>
        <v>112</v>
      </c>
      <c r="D2077" t="str">
        <f t="shared" si="165"/>
        <v>MARSEILLE112</v>
      </c>
      <c r="E2077" t="s">
        <v>193</v>
      </c>
      <c r="F2077" t="str">
        <f t="shared" si="166"/>
        <v>MARSEILLE112</v>
      </c>
      <c r="G2077" t="s">
        <v>444</v>
      </c>
      <c r="I2077" s="16">
        <v>20.86</v>
      </c>
      <c r="J2077" s="16">
        <v>0</v>
      </c>
      <c r="K2077" s="16">
        <v>0</v>
      </c>
      <c r="L2077" s="159">
        <f t="shared" si="167"/>
        <v>0</v>
      </c>
      <c r="M2077" s="159">
        <f t="shared" si="167"/>
        <v>0</v>
      </c>
    </row>
    <row r="2078" spans="2:13">
      <c r="B2078" t="s">
        <v>192</v>
      </c>
      <c r="C2078">
        <f t="shared" si="168"/>
        <v>113</v>
      </c>
      <c r="D2078" t="str">
        <f t="shared" si="165"/>
        <v>MARSEILLE113</v>
      </c>
      <c r="E2078" t="s">
        <v>193</v>
      </c>
      <c r="F2078" t="str">
        <f t="shared" si="166"/>
        <v>MARSEILLE113</v>
      </c>
      <c r="G2078" t="s">
        <v>424</v>
      </c>
      <c r="I2078" s="16">
        <v>20.56</v>
      </c>
      <c r="J2078" s="16">
        <v>15.84</v>
      </c>
      <c r="K2078" s="16">
        <v>0</v>
      </c>
      <c r="L2078" s="159">
        <f t="shared" si="167"/>
        <v>0.77042801556420237</v>
      </c>
      <c r="M2078" s="159">
        <f t="shared" si="167"/>
        <v>0</v>
      </c>
    </row>
    <row r="2079" spans="2:13">
      <c r="B2079" t="s">
        <v>192</v>
      </c>
      <c r="C2079">
        <f t="shared" si="168"/>
        <v>114</v>
      </c>
      <c r="D2079" t="str">
        <f t="shared" si="165"/>
        <v>MARSEILLE114</v>
      </c>
      <c r="E2079" t="s">
        <v>193</v>
      </c>
      <c r="F2079" t="str">
        <f t="shared" si="166"/>
        <v>MARSEILLE114</v>
      </c>
      <c r="G2079" t="s">
        <v>415</v>
      </c>
      <c r="I2079" s="16">
        <v>20.54</v>
      </c>
      <c r="J2079" s="16">
        <v>19.54</v>
      </c>
      <c r="K2079" s="16">
        <v>0</v>
      </c>
      <c r="L2079" s="159">
        <f t="shared" si="167"/>
        <v>0.95131450827653363</v>
      </c>
      <c r="M2079" s="159">
        <f t="shared" si="167"/>
        <v>0</v>
      </c>
    </row>
    <row r="2080" spans="2:13">
      <c r="B2080" t="s">
        <v>192</v>
      </c>
      <c r="C2080">
        <f t="shared" si="168"/>
        <v>115</v>
      </c>
      <c r="D2080" t="str">
        <f t="shared" si="165"/>
        <v>MARSEILLE115</v>
      </c>
      <c r="E2080" t="s">
        <v>193</v>
      </c>
      <c r="F2080" t="str">
        <f t="shared" si="166"/>
        <v>MARSEILLE115</v>
      </c>
      <c r="G2080" t="s">
        <v>323</v>
      </c>
      <c r="I2080" s="16">
        <v>20.100000000000001</v>
      </c>
      <c r="J2080" s="16">
        <v>5.35</v>
      </c>
      <c r="K2080" s="16">
        <v>5.35</v>
      </c>
      <c r="L2080" s="159">
        <f t="shared" si="167"/>
        <v>0.26616915422885568</v>
      </c>
      <c r="M2080" s="159">
        <f t="shared" si="167"/>
        <v>0.26616915422885568</v>
      </c>
    </row>
    <row r="2081" spans="2:13">
      <c r="B2081" t="s">
        <v>192</v>
      </c>
      <c r="C2081">
        <f t="shared" si="168"/>
        <v>116</v>
      </c>
      <c r="D2081" t="str">
        <f t="shared" si="165"/>
        <v>MARSEILLE116</v>
      </c>
      <c r="E2081" t="s">
        <v>193</v>
      </c>
      <c r="F2081" t="str">
        <f t="shared" si="166"/>
        <v>MARSEILLE116</v>
      </c>
      <c r="G2081" t="s">
        <v>396</v>
      </c>
      <c r="I2081" s="16">
        <v>19.13</v>
      </c>
      <c r="J2081" s="16">
        <v>0</v>
      </c>
      <c r="K2081" s="16">
        <v>0</v>
      </c>
      <c r="L2081" s="159">
        <f t="shared" si="167"/>
        <v>0</v>
      </c>
      <c r="M2081" s="159">
        <f t="shared" si="167"/>
        <v>0</v>
      </c>
    </row>
    <row r="2082" spans="2:13">
      <c r="B2082" t="s">
        <v>192</v>
      </c>
      <c r="C2082">
        <f t="shared" si="168"/>
        <v>117</v>
      </c>
      <c r="D2082" t="str">
        <f t="shared" si="165"/>
        <v>MARSEILLE117</v>
      </c>
      <c r="E2082" t="s">
        <v>193</v>
      </c>
      <c r="F2082" t="str">
        <f t="shared" si="166"/>
        <v>MARSEILLE117</v>
      </c>
      <c r="G2082" t="s">
        <v>293</v>
      </c>
      <c r="I2082" s="16">
        <v>18.28</v>
      </c>
      <c r="J2082" s="16">
        <v>11.88</v>
      </c>
      <c r="K2082" s="16">
        <v>0</v>
      </c>
      <c r="L2082" s="159">
        <f t="shared" si="167"/>
        <v>0.64989059080962797</v>
      </c>
      <c r="M2082" s="159">
        <f t="shared" si="167"/>
        <v>0</v>
      </c>
    </row>
    <row r="2083" spans="2:13">
      <c r="B2083" t="s">
        <v>192</v>
      </c>
      <c r="C2083">
        <f t="shared" si="168"/>
        <v>118</v>
      </c>
      <c r="D2083" t="str">
        <f t="shared" si="165"/>
        <v>MARSEILLE118</v>
      </c>
      <c r="E2083" t="s">
        <v>193</v>
      </c>
      <c r="F2083" t="str">
        <f t="shared" si="166"/>
        <v>MARSEILLE118</v>
      </c>
      <c r="G2083" t="s">
        <v>381</v>
      </c>
      <c r="I2083" s="16">
        <v>17.86</v>
      </c>
      <c r="J2083" s="16">
        <v>10.65</v>
      </c>
      <c r="K2083" s="16">
        <v>0</v>
      </c>
      <c r="L2083" s="159">
        <f t="shared" si="167"/>
        <v>0.59630459126539759</v>
      </c>
      <c r="M2083" s="159">
        <f t="shared" si="167"/>
        <v>0</v>
      </c>
    </row>
    <row r="2084" spans="2:13">
      <c r="B2084" t="s">
        <v>192</v>
      </c>
      <c r="C2084">
        <f t="shared" si="168"/>
        <v>119</v>
      </c>
      <c r="D2084" t="str">
        <f t="shared" si="165"/>
        <v>MARSEILLE119</v>
      </c>
      <c r="E2084" t="s">
        <v>193</v>
      </c>
      <c r="F2084" t="str">
        <f t="shared" si="166"/>
        <v>MARSEILLE119</v>
      </c>
      <c r="G2084" t="s">
        <v>416</v>
      </c>
      <c r="I2084" s="16">
        <v>17.579999999999998</v>
      </c>
      <c r="J2084" s="16">
        <v>8.4</v>
      </c>
      <c r="K2084" s="16">
        <v>10.3</v>
      </c>
      <c r="L2084" s="159">
        <f t="shared" si="167"/>
        <v>0.47781569965870313</v>
      </c>
      <c r="M2084" s="159">
        <f t="shared" si="167"/>
        <v>0.5858930602957908</v>
      </c>
    </row>
    <row r="2085" spans="2:13">
      <c r="B2085" t="s">
        <v>192</v>
      </c>
      <c r="C2085">
        <f t="shared" si="168"/>
        <v>120</v>
      </c>
      <c r="D2085" t="str">
        <f t="shared" si="165"/>
        <v>MARSEILLE120</v>
      </c>
      <c r="E2085" t="s">
        <v>193</v>
      </c>
      <c r="F2085" t="str">
        <f t="shared" si="166"/>
        <v>MARSEILLE120</v>
      </c>
      <c r="G2085" t="s">
        <v>401</v>
      </c>
      <c r="I2085" s="16">
        <v>17.309999999999999</v>
      </c>
      <c r="J2085" s="16">
        <v>0</v>
      </c>
      <c r="K2085" s="16">
        <v>0</v>
      </c>
      <c r="L2085" s="159">
        <f t="shared" si="167"/>
        <v>0</v>
      </c>
      <c r="M2085" s="159">
        <f t="shared" si="167"/>
        <v>0</v>
      </c>
    </row>
    <row r="2086" spans="2:13">
      <c r="B2086" t="s">
        <v>192</v>
      </c>
      <c r="C2086">
        <f t="shared" si="168"/>
        <v>121</v>
      </c>
      <c r="D2086" t="str">
        <f t="shared" si="165"/>
        <v>MARSEILLE121</v>
      </c>
      <c r="E2086" t="s">
        <v>193</v>
      </c>
      <c r="F2086" t="str">
        <f t="shared" si="166"/>
        <v>MARSEILLE121</v>
      </c>
      <c r="G2086" t="s">
        <v>366</v>
      </c>
      <c r="I2086" s="16">
        <v>17.100000000000001</v>
      </c>
      <c r="J2086" s="16">
        <v>7.61</v>
      </c>
      <c r="K2086" s="16">
        <v>0</v>
      </c>
      <c r="L2086" s="159">
        <f t="shared" si="167"/>
        <v>0.44502923976608183</v>
      </c>
      <c r="M2086" s="159">
        <f t="shared" si="167"/>
        <v>0</v>
      </c>
    </row>
    <row r="2087" spans="2:13">
      <c r="B2087" t="s">
        <v>192</v>
      </c>
      <c r="C2087">
        <f t="shared" si="168"/>
        <v>122</v>
      </c>
      <c r="D2087" t="str">
        <f t="shared" si="165"/>
        <v>MARSEILLE122</v>
      </c>
      <c r="E2087" t="s">
        <v>193</v>
      </c>
      <c r="F2087" t="str">
        <f t="shared" si="166"/>
        <v>MARSEILLE122</v>
      </c>
      <c r="G2087" t="s">
        <v>336</v>
      </c>
      <c r="H2087" t="s">
        <v>941</v>
      </c>
      <c r="I2087" s="16">
        <v>16.97</v>
      </c>
      <c r="J2087" s="16">
        <v>15.65</v>
      </c>
      <c r="K2087" s="16">
        <v>12.76</v>
      </c>
      <c r="L2087" s="159">
        <f t="shared" si="167"/>
        <v>0.92221567472009436</v>
      </c>
      <c r="M2087" s="159">
        <f t="shared" si="167"/>
        <v>0.75191514437242191</v>
      </c>
    </row>
    <row r="2088" spans="2:13">
      <c r="B2088" t="s">
        <v>192</v>
      </c>
      <c r="C2088">
        <f t="shared" si="168"/>
        <v>123</v>
      </c>
      <c r="D2088" t="str">
        <f t="shared" si="165"/>
        <v>MARSEILLE123</v>
      </c>
      <c r="E2088" t="s">
        <v>193</v>
      </c>
      <c r="F2088" t="str">
        <f t="shared" si="166"/>
        <v>MARSEILLE123</v>
      </c>
      <c r="G2088" t="s">
        <v>349</v>
      </c>
      <c r="I2088" s="16">
        <v>16.77</v>
      </c>
      <c r="J2088" s="16">
        <v>10.24</v>
      </c>
      <c r="K2088" s="16">
        <v>0</v>
      </c>
      <c r="L2088" s="159">
        <f t="shared" si="167"/>
        <v>0.61061419200954092</v>
      </c>
      <c r="M2088" s="159">
        <f t="shared" si="167"/>
        <v>0</v>
      </c>
    </row>
    <row r="2089" spans="2:13">
      <c r="B2089" t="s">
        <v>192</v>
      </c>
      <c r="C2089">
        <f t="shared" si="168"/>
        <v>124</v>
      </c>
      <c r="D2089" t="str">
        <f t="shared" si="165"/>
        <v>MARSEILLE124</v>
      </c>
      <c r="E2089" t="s">
        <v>193</v>
      </c>
      <c r="F2089" t="str">
        <f t="shared" si="166"/>
        <v>MARSEILLE124</v>
      </c>
      <c r="G2089" t="s">
        <v>339</v>
      </c>
      <c r="I2089" s="16">
        <v>16.670000000000002</v>
      </c>
      <c r="J2089" s="16">
        <v>9.2899999999999991</v>
      </c>
      <c r="K2089" s="16">
        <v>0</v>
      </c>
      <c r="L2089" s="159">
        <f t="shared" si="167"/>
        <v>0.55728854229154157</v>
      </c>
      <c r="M2089" s="159">
        <f t="shared" si="167"/>
        <v>0</v>
      </c>
    </row>
    <row r="2090" spans="2:13">
      <c r="B2090" t="s">
        <v>192</v>
      </c>
      <c r="C2090">
        <f t="shared" si="168"/>
        <v>125</v>
      </c>
      <c r="D2090" t="str">
        <f t="shared" si="165"/>
        <v>MARSEILLE125</v>
      </c>
      <c r="E2090" t="s">
        <v>193</v>
      </c>
      <c r="F2090" t="str">
        <f t="shared" si="166"/>
        <v>MARSEILLE125</v>
      </c>
      <c r="G2090" t="s">
        <v>393</v>
      </c>
      <c r="I2090" s="16">
        <v>16.28</v>
      </c>
      <c r="J2090" s="16">
        <v>4.8</v>
      </c>
      <c r="K2090" s="16">
        <v>0</v>
      </c>
      <c r="L2090" s="159">
        <f t="shared" si="167"/>
        <v>0.29484029484029484</v>
      </c>
      <c r="M2090" s="159">
        <f t="shared" si="167"/>
        <v>0</v>
      </c>
    </row>
    <row r="2091" spans="2:13">
      <c r="B2091" t="s">
        <v>192</v>
      </c>
      <c r="C2091">
        <f t="shared" si="168"/>
        <v>126</v>
      </c>
      <c r="D2091" t="str">
        <f t="shared" si="165"/>
        <v>MARSEILLE126</v>
      </c>
      <c r="E2091" t="s">
        <v>193</v>
      </c>
      <c r="F2091" t="str">
        <f t="shared" si="166"/>
        <v>MARSEILLE126</v>
      </c>
      <c r="G2091" t="s">
        <v>435</v>
      </c>
      <c r="I2091" s="16">
        <v>16.2</v>
      </c>
      <c r="J2091" s="16">
        <v>8.25</v>
      </c>
      <c r="K2091" s="16">
        <v>0</v>
      </c>
      <c r="L2091" s="159">
        <f t="shared" si="167"/>
        <v>0.5092592592592593</v>
      </c>
      <c r="M2091" s="159">
        <f t="shared" si="167"/>
        <v>0</v>
      </c>
    </row>
    <row r="2092" spans="2:13">
      <c r="B2092" t="s">
        <v>192</v>
      </c>
      <c r="C2092">
        <f t="shared" si="168"/>
        <v>127</v>
      </c>
      <c r="D2092" t="str">
        <f t="shared" si="165"/>
        <v>MARSEILLE127</v>
      </c>
      <c r="E2092" t="s">
        <v>193</v>
      </c>
      <c r="F2092" t="str">
        <f t="shared" si="166"/>
        <v>MARSEILLE127</v>
      </c>
      <c r="G2092" t="s">
        <v>397</v>
      </c>
      <c r="I2092" s="16">
        <v>15.09</v>
      </c>
      <c r="J2092" s="16">
        <v>6.34</v>
      </c>
      <c r="K2092" s="16">
        <v>0</v>
      </c>
      <c r="L2092" s="159">
        <f t="shared" si="167"/>
        <v>0.42014579191517559</v>
      </c>
      <c r="M2092" s="159">
        <f t="shared" si="167"/>
        <v>0</v>
      </c>
    </row>
    <row r="2093" spans="2:13">
      <c r="B2093" t="s">
        <v>192</v>
      </c>
      <c r="C2093">
        <f t="shared" si="168"/>
        <v>128</v>
      </c>
      <c r="D2093" t="str">
        <f t="shared" si="165"/>
        <v>MARSEILLE128</v>
      </c>
      <c r="E2093" t="s">
        <v>193</v>
      </c>
      <c r="F2093" t="str">
        <f t="shared" si="166"/>
        <v>MARSEILLE128</v>
      </c>
      <c r="G2093" t="s">
        <v>315</v>
      </c>
      <c r="I2093" s="16">
        <v>14.75</v>
      </c>
      <c r="J2093" s="16">
        <v>0</v>
      </c>
      <c r="K2093" s="16">
        <v>11.07</v>
      </c>
      <c r="L2093" s="159">
        <f t="shared" si="167"/>
        <v>0</v>
      </c>
      <c r="M2093" s="159">
        <f t="shared" si="167"/>
        <v>0.75050847457627123</v>
      </c>
    </row>
    <row r="2094" spans="2:13">
      <c r="B2094" t="s">
        <v>192</v>
      </c>
      <c r="C2094">
        <f t="shared" ref="C2094:C2128" si="169">RANK(I2094,$I$1965:$I$2128,0)</f>
        <v>129</v>
      </c>
      <c r="D2094" t="str">
        <f t="shared" si="165"/>
        <v>MARSEILLE129</v>
      </c>
      <c r="E2094" t="s">
        <v>193</v>
      </c>
      <c r="F2094" t="str">
        <f t="shared" si="166"/>
        <v>MARSEILLE129</v>
      </c>
      <c r="G2094" t="s">
        <v>375</v>
      </c>
      <c r="I2094" s="16">
        <v>14.27</v>
      </c>
      <c r="J2094" s="16">
        <v>1</v>
      </c>
      <c r="K2094" s="16">
        <v>0</v>
      </c>
      <c r="L2094" s="159">
        <f t="shared" si="167"/>
        <v>7.0077084793272598E-2</v>
      </c>
      <c r="M2094" s="159">
        <f t="shared" si="167"/>
        <v>0</v>
      </c>
    </row>
    <row r="2095" spans="2:13">
      <c r="B2095" t="s">
        <v>192</v>
      </c>
      <c r="C2095">
        <f t="shared" si="169"/>
        <v>130</v>
      </c>
      <c r="D2095" t="str">
        <f t="shared" si="165"/>
        <v>MARSEILLE130</v>
      </c>
      <c r="E2095" t="s">
        <v>193</v>
      </c>
      <c r="F2095" t="str">
        <f t="shared" si="166"/>
        <v>MARSEILLE130</v>
      </c>
      <c r="G2095" t="s">
        <v>359</v>
      </c>
      <c r="I2095" s="16">
        <v>14.21</v>
      </c>
      <c r="J2095" s="16">
        <v>14.21</v>
      </c>
      <c r="K2095" s="16">
        <v>0</v>
      </c>
      <c r="L2095" s="159">
        <f t="shared" si="167"/>
        <v>1</v>
      </c>
      <c r="M2095" s="159">
        <f t="shared" si="167"/>
        <v>0</v>
      </c>
    </row>
    <row r="2096" spans="2:13">
      <c r="B2096" t="s">
        <v>192</v>
      </c>
      <c r="C2096">
        <f t="shared" si="169"/>
        <v>131</v>
      </c>
      <c r="D2096" t="str">
        <f t="shared" si="165"/>
        <v>MARSEILLE131</v>
      </c>
      <c r="E2096" t="s">
        <v>193</v>
      </c>
      <c r="F2096" t="str">
        <f t="shared" si="166"/>
        <v>MARSEILLE131</v>
      </c>
      <c r="G2096" t="s">
        <v>404</v>
      </c>
      <c r="I2096" s="16">
        <v>14.13</v>
      </c>
      <c r="J2096" s="16">
        <v>14.13</v>
      </c>
      <c r="K2096" s="16">
        <v>0</v>
      </c>
      <c r="L2096" s="159">
        <f t="shared" si="167"/>
        <v>1</v>
      </c>
      <c r="M2096" s="159">
        <f t="shared" si="167"/>
        <v>0</v>
      </c>
    </row>
    <row r="2097" spans="2:13">
      <c r="B2097" t="s">
        <v>192</v>
      </c>
      <c r="C2097">
        <f t="shared" si="169"/>
        <v>132</v>
      </c>
      <c r="D2097" t="str">
        <f t="shared" si="165"/>
        <v>MARSEILLE132</v>
      </c>
      <c r="E2097" t="s">
        <v>193</v>
      </c>
      <c r="F2097" t="str">
        <f t="shared" si="166"/>
        <v>MARSEILLE132</v>
      </c>
      <c r="G2097" t="s">
        <v>409</v>
      </c>
      <c r="I2097" s="16">
        <v>13.93</v>
      </c>
      <c r="J2097" s="16">
        <v>3.91</v>
      </c>
      <c r="K2097" s="16">
        <v>5.64</v>
      </c>
      <c r="L2097" s="159">
        <f t="shared" si="167"/>
        <v>0.28068916008614503</v>
      </c>
      <c r="M2097" s="159">
        <f t="shared" si="167"/>
        <v>0.40488155061019382</v>
      </c>
    </row>
    <row r="2098" spans="2:13">
      <c r="B2098" t="s">
        <v>192</v>
      </c>
      <c r="C2098">
        <f t="shared" si="169"/>
        <v>133</v>
      </c>
      <c r="D2098" t="str">
        <f t="shared" si="165"/>
        <v>MARSEILLE133</v>
      </c>
      <c r="E2098" t="s">
        <v>193</v>
      </c>
      <c r="F2098" t="str">
        <f t="shared" si="166"/>
        <v>MARSEILLE133</v>
      </c>
      <c r="G2098" t="s">
        <v>422</v>
      </c>
      <c r="I2098" s="16">
        <v>12.73</v>
      </c>
      <c r="J2098" s="16">
        <v>12.73</v>
      </c>
      <c r="K2098" s="16">
        <v>0</v>
      </c>
      <c r="L2098" s="159">
        <f t="shared" si="167"/>
        <v>1</v>
      </c>
      <c r="M2098" s="159">
        <f t="shared" si="167"/>
        <v>0</v>
      </c>
    </row>
    <row r="2099" spans="2:13">
      <c r="B2099" t="s">
        <v>192</v>
      </c>
      <c r="C2099">
        <f t="shared" si="169"/>
        <v>134</v>
      </c>
      <c r="D2099" t="str">
        <f t="shared" si="165"/>
        <v>MARSEILLE134</v>
      </c>
      <c r="E2099" t="s">
        <v>193</v>
      </c>
      <c r="F2099" t="str">
        <f t="shared" si="166"/>
        <v>MARSEILLE134</v>
      </c>
      <c r="G2099" t="s">
        <v>392</v>
      </c>
      <c r="I2099" s="16">
        <v>12.63</v>
      </c>
      <c r="J2099" s="16">
        <v>12.63</v>
      </c>
      <c r="K2099" s="16">
        <v>0</v>
      </c>
      <c r="L2099" s="159">
        <f t="shared" si="167"/>
        <v>1</v>
      </c>
      <c r="M2099" s="159">
        <f t="shared" si="167"/>
        <v>0</v>
      </c>
    </row>
    <row r="2100" spans="2:13">
      <c r="B2100" t="s">
        <v>192</v>
      </c>
      <c r="C2100">
        <f t="shared" si="169"/>
        <v>135</v>
      </c>
      <c r="D2100" t="str">
        <f t="shared" si="165"/>
        <v>MARSEILLE135</v>
      </c>
      <c r="E2100" t="s">
        <v>193</v>
      </c>
      <c r="F2100" t="str">
        <f t="shared" si="166"/>
        <v>MARSEILLE135</v>
      </c>
      <c r="G2100" t="s">
        <v>433</v>
      </c>
      <c r="I2100" s="16">
        <v>12.45</v>
      </c>
      <c r="J2100" s="16">
        <v>9.4499999999999993</v>
      </c>
      <c r="K2100" s="16">
        <v>3</v>
      </c>
      <c r="L2100" s="159">
        <f t="shared" si="167"/>
        <v>0.75903614457831325</v>
      </c>
      <c r="M2100" s="159">
        <f t="shared" si="167"/>
        <v>0.24096385542168677</v>
      </c>
    </row>
    <row r="2101" spans="2:13">
      <c r="B2101" t="s">
        <v>192</v>
      </c>
      <c r="C2101">
        <f t="shared" si="169"/>
        <v>136</v>
      </c>
      <c r="D2101" t="str">
        <f t="shared" si="165"/>
        <v>MARSEILLE136</v>
      </c>
      <c r="E2101" t="s">
        <v>193</v>
      </c>
      <c r="F2101" t="str">
        <f t="shared" si="166"/>
        <v>MARSEILLE136</v>
      </c>
      <c r="G2101" t="s">
        <v>386</v>
      </c>
      <c r="I2101" s="16">
        <v>12.4</v>
      </c>
      <c r="J2101" s="16">
        <v>2</v>
      </c>
      <c r="K2101" s="16">
        <v>2</v>
      </c>
      <c r="L2101" s="159">
        <f t="shared" si="167"/>
        <v>0.16129032258064516</v>
      </c>
      <c r="M2101" s="159">
        <f t="shared" si="167"/>
        <v>0.16129032258064516</v>
      </c>
    </row>
    <row r="2102" spans="2:13">
      <c r="B2102" t="s">
        <v>192</v>
      </c>
      <c r="C2102">
        <f t="shared" si="169"/>
        <v>137</v>
      </c>
      <c r="D2102" t="str">
        <f t="shared" si="165"/>
        <v>MARSEILLE137</v>
      </c>
      <c r="E2102" t="s">
        <v>193</v>
      </c>
      <c r="F2102" t="str">
        <f t="shared" si="166"/>
        <v>MARSEILLE137</v>
      </c>
      <c r="G2102" t="s">
        <v>419</v>
      </c>
      <c r="I2102" s="16">
        <v>11.27</v>
      </c>
      <c r="J2102" s="16">
        <v>0</v>
      </c>
      <c r="K2102" s="16">
        <v>7.04</v>
      </c>
      <c r="L2102" s="159">
        <f t="shared" si="167"/>
        <v>0</v>
      </c>
      <c r="M2102" s="159">
        <f t="shared" si="167"/>
        <v>0.62466725820763092</v>
      </c>
    </row>
    <row r="2103" spans="2:13">
      <c r="B2103" t="s">
        <v>192</v>
      </c>
      <c r="C2103">
        <f t="shared" si="169"/>
        <v>138</v>
      </c>
      <c r="D2103" t="str">
        <f t="shared" si="165"/>
        <v>MARSEILLE138</v>
      </c>
      <c r="E2103" t="s">
        <v>193</v>
      </c>
      <c r="F2103" t="str">
        <f t="shared" si="166"/>
        <v>MARSEILLE138</v>
      </c>
      <c r="G2103" t="s">
        <v>427</v>
      </c>
      <c r="H2103" t="s">
        <v>1797</v>
      </c>
      <c r="I2103" s="16">
        <v>10.52</v>
      </c>
      <c r="J2103" s="16">
        <v>2.89</v>
      </c>
      <c r="K2103" s="16">
        <v>7.63</v>
      </c>
      <c r="L2103" s="159">
        <f t="shared" si="167"/>
        <v>0.27471482889733845</v>
      </c>
      <c r="M2103" s="159">
        <f t="shared" si="167"/>
        <v>0.72528517110266166</v>
      </c>
    </row>
    <row r="2104" spans="2:13">
      <c r="B2104" t="s">
        <v>192</v>
      </c>
      <c r="C2104">
        <f t="shared" si="169"/>
        <v>139</v>
      </c>
      <c r="D2104" t="str">
        <f t="shared" si="165"/>
        <v>MARSEILLE139</v>
      </c>
      <c r="E2104" t="s">
        <v>193</v>
      </c>
      <c r="F2104" t="str">
        <f t="shared" si="166"/>
        <v>MARSEILLE139</v>
      </c>
      <c r="G2104" t="s">
        <v>362</v>
      </c>
      <c r="H2104" t="s">
        <v>943</v>
      </c>
      <c r="I2104" s="16">
        <v>9.9499999999999993</v>
      </c>
      <c r="J2104" s="16">
        <v>1.51</v>
      </c>
      <c r="K2104" s="16">
        <v>0</v>
      </c>
      <c r="L2104" s="159">
        <f t="shared" si="167"/>
        <v>0.15175879396984926</v>
      </c>
      <c r="M2104" s="159">
        <f t="shared" si="167"/>
        <v>0</v>
      </c>
    </row>
    <row r="2105" spans="2:13">
      <c r="B2105" t="s">
        <v>192</v>
      </c>
      <c r="C2105">
        <f t="shared" si="169"/>
        <v>140</v>
      </c>
      <c r="D2105" t="str">
        <f t="shared" si="165"/>
        <v>MARSEILLE140</v>
      </c>
      <c r="E2105" t="s">
        <v>193</v>
      </c>
      <c r="F2105" t="str">
        <f t="shared" si="166"/>
        <v>MARSEILLE140</v>
      </c>
      <c r="G2105" t="s">
        <v>284</v>
      </c>
      <c r="I2105" s="16">
        <v>9.8800000000000008</v>
      </c>
      <c r="J2105" s="16">
        <v>7.94</v>
      </c>
      <c r="K2105" s="16">
        <v>1.95</v>
      </c>
      <c r="L2105" s="159">
        <f t="shared" si="167"/>
        <v>0.80364372469635625</v>
      </c>
      <c r="M2105" s="159">
        <f t="shared" si="167"/>
        <v>0.19736842105263155</v>
      </c>
    </row>
    <row r="2106" spans="2:13">
      <c r="B2106" t="s">
        <v>192</v>
      </c>
      <c r="C2106">
        <f t="shared" si="169"/>
        <v>141</v>
      </c>
      <c r="D2106" t="str">
        <f t="shared" si="165"/>
        <v>MARSEILLE141</v>
      </c>
      <c r="E2106" t="s">
        <v>193</v>
      </c>
      <c r="F2106" t="str">
        <f t="shared" si="166"/>
        <v>MARSEILLE141</v>
      </c>
      <c r="G2106" t="s">
        <v>452</v>
      </c>
      <c r="H2106" t="s">
        <v>453</v>
      </c>
      <c r="I2106" s="16">
        <v>9.76</v>
      </c>
      <c r="J2106" s="16">
        <v>0</v>
      </c>
      <c r="K2106" s="16">
        <v>0</v>
      </c>
      <c r="L2106" s="159">
        <f t="shared" si="167"/>
        <v>0</v>
      </c>
      <c r="M2106" s="159">
        <f t="shared" si="167"/>
        <v>0</v>
      </c>
    </row>
    <row r="2107" spans="2:13">
      <c r="B2107" t="s">
        <v>192</v>
      </c>
      <c r="C2107">
        <f t="shared" si="169"/>
        <v>142</v>
      </c>
      <c r="D2107" t="str">
        <f t="shared" si="165"/>
        <v>MARSEILLE142</v>
      </c>
      <c r="E2107" t="s">
        <v>193</v>
      </c>
      <c r="F2107" t="str">
        <f t="shared" si="166"/>
        <v>MARSEILLE142</v>
      </c>
      <c r="G2107" t="s">
        <v>391</v>
      </c>
      <c r="I2107" s="16">
        <v>9.6999999999999993</v>
      </c>
      <c r="J2107" s="16">
        <v>9.6999999999999993</v>
      </c>
      <c r="K2107" s="16">
        <v>0</v>
      </c>
      <c r="L2107" s="159">
        <f t="shared" si="167"/>
        <v>1</v>
      </c>
      <c r="M2107" s="159">
        <f t="shared" si="167"/>
        <v>0</v>
      </c>
    </row>
    <row r="2108" spans="2:13">
      <c r="B2108" t="s">
        <v>192</v>
      </c>
      <c r="C2108">
        <f t="shared" si="169"/>
        <v>143</v>
      </c>
      <c r="D2108" t="str">
        <f t="shared" si="165"/>
        <v>MARSEILLE143</v>
      </c>
      <c r="E2108" t="s">
        <v>193</v>
      </c>
      <c r="F2108" t="str">
        <f t="shared" si="166"/>
        <v>MARSEILLE143</v>
      </c>
      <c r="G2108" t="s">
        <v>414</v>
      </c>
      <c r="I2108" s="16">
        <v>9.42</v>
      </c>
      <c r="J2108" s="16">
        <v>3.42</v>
      </c>
      <c r="K2108" s="16">
        <v>6</v>
      </c>
      <c r="L2108" s="159">
        <f t="shared" si="167"/>
        <v>0.36305732484076431</v>
      </c>
      <c r="M2108" s="159">
        <f t="shared" si="167"/>
        <v>0.63694267515923564</v>
      </c>
    </row>
    <row r="2109" spans="2:13">
      <c r="B2109" t="s">
        <v>192</v>
      </c>
      <c r="C2109">
        <f t="shared" si="169"/>
        <v>144</v>
      </c>
      <c r="D2109" t="str">
        <f t="shared" si="165"/>
        <v>MARSEILLE144</v>
      </c>
      <c r="E2109" t="s">
        <v>193</v>
      </c>
      <c r="F2109" t="str">
        <f t="shared" si="166"/>
        <v>MARSEILLE144</v>
      </c>
      <c r="G2109" t="s">
        <v>411</v>
      </c>
      <c r="I2109" s="16">
        <v>8.84</v>
      </c>
      <c r="J2109" s="16">
        <v>2.73</v>
      </c>
      <c r="K2109" s="16">
        <v>0</v>
      </c>
      <c r="L2109" s="159">
        <f t="shared" si="167"/>
        <v>0.30882352941176472</v>
      </c>
      <c r="M2109" s="159">
        <f t="shared" si="167"/>
        <v>0</v>
      </c>
    </row>
    <row r="2110" spans="2:13">
      <c r="B2110" t="s">
        <v>192</v>
      </c>
      <c r="C2110">
        <f t="shared" si="169"/>
        <v>145</v>
      </c>
      <c r="D2110" t="str">
        <f t="shared" si="165"/>
        <v>MARSEILLE145</v>
      </c>
      <c r="E2110" t="s">
        <v>193</v>
      </c>
      <c r="F2110" t="str">
        <f t="shared" si="166"/>
        <v>MARSEILLE145</v>
      </c>
      <c r="G2110" t="s">
        <v>426</v>
      </c>
      <c r="I2110" s="16">
        <v>8.5</v>
      </c>
      <c r="J2110" s="16">
        <v>0</v>
      </c>
      <c r="K2110" s="16">
        <v>0</v>
      </c>
      <c r="L2110" s="159">
        <f t="shared" si="167"/>
        <v>0</v>
      </c>
      <c r="M2110" s="159">
        <f t="shared" si="167"/>
        <v>0</v>
      </c>
    </row>
    <row r="2111" spans="2:13">
      <c r="B2111" t="s">
        <v>192</v>
      </c>
      <c r="C2111">
        <f t="shared" si="169"/>
        <v>146</v>
      </c>
      <c r="D2111" t="str">
        <f t="shared" si="165"/>
        <v>MARSEILLE146</v>
      </c>
      <c r="E2111" t="s">
        <v>193</v>
      </c>
      <c r="F2111" t="str">
        <f t="shared" si="166"/>
        <v>MARSEILLE146</v>
      </c>
      <c r="G2111" t="s">
        <v>367</v>
      </c>
      <c r="I2111" s="16">
        <v>7.76</v>
      </c>
      <c r="J2111" s="16">
        <v>7.76</v>
      </c>
      <c r="K2111" s="16">
        <v>0</v>
      </c>
      <c r="L2111" s="159">
        <f t="shared" si="167"/>
        <v>1</v>
      </c>
      <c r="M2111" s="159">
        <f t="shared" si="167"/>
        <v>0</v>
      </c>
    </row>
    <row r="2112" spans="2:13">
      <c r="B2112" t="s">
        <v>192</v>
      </c>
      <c r="C2112">
        <f t="shared" si="169"/>
        <v>147</v>
      </c>
      <c r="D2112" t="str">
        <f t="shared" si="165"/>
        <v>MARSEILLE147</v>
      </c>
      <c r="E2112" t="s">
        <v>193</v>
      </c>
      <c r="F2112" t="str">
        <f t="shared" si="166"/>
        <v>MARSEILLE147</v>
      </c>
      <c r="G2112" t="s">
        <v>329</v>
      </c>
      <c r="I2112" s="16">
        <v>7.08</v>
      </c>
      <c r="J2112" s="16">
        <v>1</v>
      </c>
      <c r="K2112" s="16">
        <v>1</v>
      </c>
      <c r="L2112" s="159">
        <f t="shared" si="167"/>
        <v>0.14124293785310735</v>
      </c>
      <c r="M2112" s="159">
        <f t="shared" si="167"/>
        <v>0.14124293785310735</v>
      </c>
    </row>
    <row r="2113" spans="2:13">
      <c r="B2113" t="s">
        <v>192</v>
      </c>
      <c r="C2113">
        <f t="shared" si="169"/>
        <v>148</v>
      </c>
      <c r="D2113" t="str">
        <f t="shared" si="165"/>
        <v>MARSEILLE148</v>
      </c>
      <c r="E2113" t="s">
        <v>193</v>
      </c>
      <c r="F2113" t="str">
        <f t="shared" si="166"/>
        <v>MARSEILLE148</v>
      </c>
      <c r="G2113" t="s">
        <v>314</v>
      </c>
      <c r="I2113" s="16">
        <v>7.04</v>
      </c>
      <c r="J2113" s="16">
        <v>0</v>
      </c>
      <c r="K2113" s="16">
        <v>0</v>
      </c>
      <c r="L2113" s="159">
        <f t="shared" si="167"/>
        <v>0</v>
      </c>
      <c r="M2113" s="159">
        <f t="shared" si="167"/>
        <v>0</v>
      </c>
    </row>
    <row r="2114" spans="2:13">
      <c r="B2114" t="s">
        <v>192</v>
      </c>
      <c r="C2114">
        <f t="shared" si="169"/>
        <v>149</v>
      </c>
      <c r="D2114" t="str">
        <f t="shared" ref="D2114:D2177" si="170">CONCATENATE(E2114,C2114)</f>
        <v>MARSEILLE149</v>
      </c>
      <c r="E2114" t="s">
        <v>193</v>
      </c>
      <c r="F2114" t="str">
        <f t="shared" si="166"/>
        <v>MARSEILLE149</v>
      </c>
      <c r="G2114" t="s">
        <v>431</v>
      </c>
      <c r="I2114" s="16">
        <v>7</v>
      </c>
      <c r="J2114" s="16">
        <v>1</v>
      </c>
      <c r="K2114" s="16">
        <v>0</v>
      </c>
      <c r="L2114" s="159">
        <f t="shared" si="167"/>
        <v>0.14285714285714285</v>
      </c>
      <c r="M2114" s="159">
        <f t="shared" si="167"/>
        <v>0</v>
      </c>
    </row>
    <row r="2115" spans="2:13">
      <c r="B2115" t="s">
        <v>192</v>
      </c>
      <c r="C2115">
        <f t="shared" si="169"/>
        <v>150</v>
      </c>
      <c r="D2115" t="str">
        <f t="shared" si="170"/>
        <v>MARSEILLE150</v>
      </c>
      <c r="E2115" t="s">
        <v>193</v>
      </c>
      <c r="F2115" t="str">
        <f t="shared" ref="F2115:F2178" si="171">D2115</f>
        <v>MARSEILLE150</v>
      </c>
      <c r="G2115" t="s">
        <v>421</v>
      </c>
      <c r="I2115" s="16">
        <v>6.12</v>
      </c>
      <c r="J2115" s="16">
        <v>0</v>
      </c>
      <c r="K2115" s="16">
        <v>0</v>
      </c>
      <c r="L2115" s="159">
        <f t="shared" ref="L2115:M2178" si="172">J2115/$I2115</f>
        <v>0</v>
      </c>
      <c r="M2115" s="159">
        <f t="shared" si="172"/>
        <v>0</v>
      </c>
    </row>
    <row r="2116" spans="2:13">
      <c r="B2116" t="s">
        <v>192</v>
      </c>
      <c r="C2116">
        <f t="shared" si="169"/>
        <v>151</v>
      </c>
      <c r="D2116" t="str">
        <f t="shared" si="170"/>
        <v>MARSEILLE151</v>
      </c>
      <c r="E2116" t="s">
        <v>193</v>
      </c>
      <c r="F2116" t="str">
        <f t="shared" si="171"/>
        <v>MARSEILLE151</v>
      </c>
      <c r="G2116" t="s">
        <v>432</v>
      </c>
      <c r="I2116" s="16">
        <v>5.89</v>
      </c>
      <c r="J2116" s="16">
        <v>5.89</v>
      </c>
      <c r="K2116" s="16">
        <v>0</v>
      </c>
      <c r="L2116" s="159">
        <f t="shared" si="172"/>
        <v>1</v>
      </c>
      <c r="M2116" s="159">
        <f t="shared" si="172"/>
        <v>0</v>
      </c>
    </row>
    <row r="2117" spans="2:13">
      <c r="B2117" t="s">
        <v>192</v>
      </c>
      <c r="C2117">
        <f t="shared" si="169"/>
        <v>152</v>
      </c>
      <c r="D2117" t="str">
        <f t="shared" si="170"/>
        <v>MARSEILLE152</v>
      </c>
      <c r="E2117" t="s">
        <v>193</v>
      </c>
      <c r="F2117" t="str">
        <f t="shared" si="171"/>
        <v>MARSEILLE152</v>
      </c>
      <c r="G2117" t="s">
        <v>274</v>
      </c>
      <c r="H2117" t="s">
        <v>275</v>
      </c>
      <c r="I2117" s="16">
        <v>5.53</v>
      </c>
      <c r="J2117" s="16">
        <v>0</v>
      </c>
      <c r="K2117" s="16">
        <v>5.53</v>
      </c>
      <c r="L2117" s="159">
        <f t="shared" si="172"/>
        <v>0</v>
      </c>
      <c r="M2117" s="159">
        <f t="shared" si="172"/>
        <v>1</v>
      </c>
    </row>
    <row r="2118" spans="2:13">
      <c r="B2118" t="s">
        <v>192</v>
      </c>
      <c r="C2118">
        <f t="shared" si="169"/>
        <v>153</v>
      </c>
      <c r="D2118" t="str">
        <f t="shared" si="170"/>
        <v>MARSEILLE153</v>
      </c>
      <c r="E2118" t="s">
        <v>193</v>
      </c>
      <c r="F2118" t="str">
        <f t="shared" si="171"/>
        <v>MARSEILLE153</v>
      </c>
      <c r="G2118" t="s">
        <v>455</v>
      </c>
      <c r="I2118" s="16">
        <v>5.35</v>
      </c>
      <c r="J2118" s="16">
        <v>0</v>
      </c>
      <c r="K2118" s="16">
        <v>0</v>
      </c>
      <c r="L2118" s="159">
        <f t="shared" si="172"/>
        <v>0</v>
      </c>
      <c r="M2118" s="159">
        <f t="shared" si="172"/>
        <v>0</v>
      </c>
    </row>
    <row r="2119" spans="2:13">
      <c r="B2119" t="s">
        <v>192</v>
      </c>
      <c r="C2119">
        <f t="shared" si="169"/>
        <v>154</v>
      </c>
      <c r="D2119" t="str">
        <f t="shared" si="170"/>
        <v>MARSEILLE154</v>
      </c>
      <c r="E2119" t="s">
        <v>193</v>
      </c>
      <c r="F2119" t="str">
        <f t="shared" si="171"/>
        <v>MARSEILLE154</v>
      </c>
      <c r="G2119" t="s">
        <v>429</v>
      </c>
      <c r="I2119" s="16">
        <v>3.02</v>
      </c>
      <c r="J2119" s="16">
        <v>0</v>
      </c>
      <c r="K2119" s="16">
        <v>0</v>
      </c>
      <c r="L2119" s="159">
        <f t="shared" si="172"/>
        <v>0</v>
      </c>
      <c r="M2119" s="159">
        <f t="shared" si="172"/>
        <v>0</v>
      </c>
    </row>
    <row r="2120" spans="2:13">
      <c r="B2120" t="s">
        <v>192</v>
      </c>
      <c r="C2120">
        <f t="shared" si="169"/>
        <v>155</v>
      </c>
      <c r="D2120" t="str">
        <f t="shared" si="170"/>
        <v>MARSEILLE155</v>
      </c>
      <c r="E2120" t="s">
        <v>193</v>
      </c>
      <c r="F2120" t="str">
        <f t="shared" si="171"/>
        <v>MARSEILLE155</v>
      </c>
      <c r="G2120" t="s">
        <v>295</v>
      </c>
      <c r="I2120" s="16">
        <v>3</v>
      </c>
      <c r="J2120" s="16">
        <v>2</v>
      </c>
      <c r="K2120" s="16">
        <v>3</v>
      </c>
      <c r="L2120" s="159">
        <f t="shared" si="172"/>
        <v>0.66666666666666663</v>
      </c>
      <c r="M2120" s="159">
        <f t="shared" si="172"/>
        <v>1</v>
      </c>
    </row>
    <row r="2121" spans="2:13">
      <c r="B2121" t="s">
        <v>192</v>
      </c>
      <c r="C2121">
        <f t="shared" si="169"/>
        <v>155</v>
      </c>
      <c r="D2121" t="str">
        <f t="shared" si="170"/>
        <v>MARSEILLE155</v>
      </c>
      <c r="E2121" t="s">
        <v>193</v>
      </c>
      <c r="F2121" t="str">
        <f t="shared" si="171"/>
        <v>MARSEILLE155</v>
      </c>
      <c r="G2121" t="s">
        <v>445</v>
      </c>
      <c r="I2121" s="16">
        <v>3</v>
      </c>
      <c r="J2121" s="16">
        <v>0</v>
      </c>
      <c r="K2121" s="16">
        <v>0</v>
      </c>
      <c r="L2121" s="159">
        <f t="shared" si="172"/>
        <v>0</v>
      </c>
      <c r="M2121" s="159">
        <f t="shared" si="172"/>
        <v>0</v>
      </c>
    </row>
    <row r="2122" spans="2:13">
      <c r="B2122" t="s">
        <v>192</v>
      </c>
      <c r="C2122">
        <f t="shared" si="169"/>
        <v>157</v>
      </c>
      <c r="D2122" t="str">
        <f t="shared" si="170"/>
        <v>MARSEILLE157</v>
      </c>
      <c r="E2122" t="s">
        <v>193</v>
      </c>
      <c r="F2122" t="str">
        <f t="shared" si="171"/>
        <v>MARSEILLE157</v>
      </c>
      <c r="G2122" t="s">
        <v>343</v>
      </c>
      <c r="I2122" s="16">
        <v>2.96</v>
      </c>
      <c r="J2122" s="16">
        <v>1</v>
      </c>
      <c r="K2122" s="16">
        <v>0</v>
      </c>
      <c r="L2122" s="159">
        <f t="shared" si="172"/>
        <v>0.33783783783783783</v>
      </c>
      <c r="M2122" s="159">
        <f t="shared" si="172"/>
        <v>0</v>
      </c>
    </row>
    <row r="2123" spans="2:13">
      <c r="B2123" t="s">
        <v>192</v>
      </c>
      <c r="C2123">
        <f t="shared" si="169"/>
        <v>158</v>
      </c>
      <c r="D2123" t="str">
        <f t="shared" si="170"/>
        <v>MARSEILLE158</v>
      </c>
      <c r="E2123" t="s">
        <v>193</v>
      </c>
      <c r="F2123" t="str">
        <f t="shared" si="171"/>
        <v>MARSEILLE158</v>
      </c>
      <c r="G2123" t="s">
        <v>371</v>
      </c>
      <c r="I2123" s="16">
        <v>2.89</v>
      </c>
      <c r="J2123" s="16">
        <v>0</v>
      </c>
      <c r="K2123" s="16">
        <v>0</v>
      </c>
      <c r="L2123" s="159">
        <f t="shared" si="172"/>
        <v>0</v>
      </c>
      <c r="M2123" s="159">
        <f t="shared" si="172"/>
        <v>0</v>
      </c>
    </row>
    <row r="2124" spans="2:13">
      <c r="B2124" t="s">
        <v>192</v>
      </c>
      <c r="C2124">
        <f t="shared" si="169"/>
        <v>159</v>
      </c>
      <c r="D2124" t="str">
        <f t="shared" si="170"/>
        <v>MARSEILLE159</v>
      </c>
      <c r="E2124" t="s">
        <v>193</v>
      </c>
      <c r="F2124" t="str">
        <f t="shared" si="171"/>
        <v>MARSEILLE159</v>
      </c>
      <c r="G2124" t="s">
        <v>370</v>
      </c>
      <c r="I2124" s="16">
        <v>2.62</v>
      </c>
      <c r="J2124" s="16">
        <v>0</v>
      </c>
      <c r="K2124" s="16">
        <v>0</v>
      </c>
      <c r="L2124" s="159">
        <f t="shared" si="172"/>
        <v>0</v>
      </c>
      <c r="M2124" s="159">
        <f t="shared" si="172"/>
        <v>0</v>
      </c>
    </row>
    <row r="2125" spans="2:13">
      <c r="B2125" t="s">
        <v>192</v>
      </c>
      <c r="C2125">
        <f t="shared" si="169"/>
        <v>160</v>
      </c>
      <c r="D2125" t="str">
        <f t="shared" si="170"/>
        <v>MARSEILLE160</v>
      </c>
      <c r="E2125" t="s">
        <v>193</v>
      </c>
      <c r="F2125" t="str">
        <f t="shared" si="171"/>
        <v>MARSEILLE160</v>
      </c>
      <c r="G2125" t="s">
        <v>400</v>
      </c>
      <c r="I2125" s="16">
        <v>2</v>
      </c>
      <c r="J2125" s="16">
        <v>0</v>
      </c>
      <c r="K2125" s="16">
        <v>0</v>
      </c>
      <c r="L2125" s="159">
        <f t="shared" si="172"/>
        <v>0</v>
      </c>
      <c r="M2125" s="159">
        <f t="shared" si="172"/>
        <v>0</v>
      </c>
    </row>
    <row r="2126" spans="2:13">
      <c r="B2126" t="s">
        <v>192</v>
      </c>
      <c r="C2126">
        <f t="shared" si="169"/>
        <v>161</v>
      </c>
      <c r="D2126" t="str">
        <f t="shared" si="170"/>
        <v>MARSEILLE161</v>
      </c>
      <c r="E2126" t="s">
        <v>193</v>
      </c>
      <c r="F2126" t="str">
        <f t="shared" si="171"/>
        <v>MARSEILLE161</v>
      </c>
      <c r="G2126" t="s">
        <v>425</v>
      </c>
      <c r="I2126" s="16">
        <v>1.32</v>
      </c>
      <c r="J2126" s="16">
        <v>0</v>
      </c>
      <c r="K2126" s="16">
        <v>0</v>
      </c>
      <c r="L2126" s="159">
        <f t="shared" si="172"/>
        <v>0</v>
      </c>
      <c r="M2126" s="159">
        <f t="shared" si="172"/>
        <v>0</v>
      </c>
    </row>
    <row r="2127" spans="2:13">
      <c r="B2127" t="s">
        <v>192</v>
      </c>
      <c r="C2127">
        <f t="shared" si="169"/>
        <v>162</v>
      </c>
      <c r="D2127" t="str">
        <f t="shared" si="170"/>
        <v>MARSEILLE162</v>
      </c>
      <c r="E2127" t="s">
        <v>193</v>
      </c>
      <c r="F2127" t="str">
        <f t="shared" si="171"/>
        <v>MARSEILLE162</v>
      </c>
      <c r="G2127" t="s">
        <v>297</v>
      </c>
      <c r="I2127" s="16">
        <v>1</v>
      </c>
      <c r="J2127" s="16">
        <v>1</v>
      </c>
      <c r="K2127" s="16">
        <v>0</v>
      </c>
      <c r="L2127" s="159">
        <f t="shared" si="172"/>
        <v>1</v>
      </c>
      <c r="M2127" s="159">
        <f t="shared" si="172"/>
        <v>0</v>
      </c>
    </row>
    <row r="2128" spans="2:13">
      <c r="B2128" t="s">
        <v>192</v>
      </c>
      <c r="C2128">
        <f t="shared" si="169"/>
        <v>162</v>
      </c>
      <c r="D2128" t="str">
        <f t="shared" si="170"/>
        <v>MARSEILLE162</v>
      </c>
      <c r="E2128" t="s">
        <v>193</v>
      </c>
      <c r="F2128" t="str">
        <f t="shared" si="171"/>
        <v>MARSEILLE162</v>
      </c>
      <c r="G2128" t="s">
        <v>437</v>
      </c>
      <c r="I2128" s="16">
        <v>1</v>
      </c>
      <c r="J2128" s="16">
        <v>1</v>
      </c>
      <c r="K2128" s="16">
        <v>1</v>
      </c>
      <c r="L2128" s="159">
        <f t="shared" si="172"/>
        <v>1</v>
      </c>
      <c r="M2128" s="159">
        <f t="shared" si="172"/>
        <v>1</v>
      </c>
    </row>
    <row r="2129" spans="2:13">
      <c r="B2129" t="s">
        <v>195</v>
      </c>
      <c r="C2129">
        <f t="shared" ref="C2129:C2160" si="173">RANK(I2129,$I$2128:$I$2280,0)</f>
        <v>1</v>
      </c>
      <c r="D2129" t="str">
        <f t="shared" si="170"/>
        <v>BASSIN TOULONNAIS1</v>
      </c>
      <c r="E2129" t="s">
        <v>196</v>
      </c>
      <c r="F2129" t="str">
        <f t="shared" si="171"/>
        <v>BASSIN TOULONNAIS1</v>
      </c>
      <c r="G2129" t="s">
        <v>207</v>
      </c>
      <c r="H2129" t="s">
        <v>906</v>
      </c>
      <c r="I2129" s="16">
        <v>1670.42</v>
      </c>
      <c r="J2129" s="16">
        <v>756.48</v>
      </c>
      <c r="K2129" s="16">
        <v>1488.3</v>
      </c>
      <c r="L2129" s="159">
        <f t="shared" si="172"/>
        <v>0.45286814094658828</v>
      </c>
      <c r="M2129" s="159">
        <f t="shared" si="172"/>
        <v>0.89097352761580917</v>
      </c>
    </row>
    <row r="2130" spans="2:13">
      <c r="B2130" t="s">
        <v>195</v>
      </c>
      <c r="C2130">
        <f t="shared" si="173"/>
        <v>2</v>
      </c>
      <c r="D2130" t="str">
        <f t="shared" si="170"/>
        <v>BASSIN TOULONNAIS2</v>
      </c>
      <c r="E2130" t="s">
        <v>196</v>
      </c>
      <c r="F2130" t="str">
        <f t="shared" si="171"/>
        <v>BASSIN TOULONNAIS2</v>
      </c>
      <c r="G2130" t="s">
        <v>208</v>
      </c>
      <c r="H2130" t="s">
        <v>907</v>
      </c>
      <c r="I2130" s="16">
        <v>1333.46</v>
      </c>
      <c r="J2130" s="16">
        <v>542.92999999999995</v>
      </c>
      <c r="K2130" s="16">
        <v>857.42</v>
      </c>
      <c r="L2130" s="159">
        <f t="shared" si="172"/>
        <v>0.40715881991210828</v>
      </c>
      <c r="M2130" s="159">
        <f t="shared" si="172"/>
        <v>0.64300391462811024</v>
      </c>
    </row>
    <row r="2131" spans="2:13">
      <c r="B2131" t="s">
        <v>195</v>
      </c>
      <c r="C2131">
        <f t="shared" si="173"/>
        <v>3</v>
      </c>
      <c r="D2131" t="str">
        <f t="shared" si="170"/>
        <v>BASSIN TOULONNAIS3</v>
      </c>
      <c r="E2131" t="s">
        <v>196</v>
      </c>
      <c r="F2131" t="str">
        <f t="shared" si="171"/>
        <v>BASSIN TOULONNAIS3</v>
      </c>
      <c r="G2131" t="s">
        <v>334</v>
      </c>
      <c r="H2131" t="s">
        <v>335</v>
      </c>
      <c r="I2131" s="16">
        <v>999.82</v>
      </c>
      <c r="J2131" s="16">
        <v>339.9</v>
      </c>
      <c r="K2131" s="16">
        <v>990.28</v>
      </c>
      <c r="L2131" s="159">
        <f t="shared" si="172"/>
        <v>0.33996119301474259</v>
      </c>
      <c r="M2131" s="159">
        <f t="shared" si="172"/>
        <v>0.99045828249084833</v>
      </c>
    </row>
    <row r="2132" spans="2:13">
      <c r="B2132" t="s">
        <v>195</v>
      </c>
      <c r="C2132">
        <f t="shared" si="173"/>
        <v>4</v>
      </c>
      <c r="D2132" t="str">
        <f t="shared" si="170"/>
        <v>BASSIN TOULONNAIS4</v>
      </c>
      <c r="E2132" t="s">
        <v>196</v>
      </c>
      <c r="F2132" t="str">
        <f t="shared" si="171"/>
        <v>BASSIN TOULONNAIS4</v>
      </c>
      <c r="G2132" t="s">
        <v>214</v>
      </c>
      <c r="H2132" t="s">
        <v>215</v>
      </c>
      <c r="I2132" s="16">
        <v>884.85</v>
      </c>
      <c r="J2132" s="16">
        <v>415.08</v>
      </c>
      <c r="K2132" s="16">
        <v>768.95</v>
      </c>
      <c r="L2132" s="159">
        <f t="shared" si="172"/>
        <v>0.46909645702661468</v>
      </c>
      <c r="M2132" s="159">
        <f t="shared" si="172"/>
        <v>0.86901734757303506</v>
      </c>
    </row>
    <row r="2133" spans="2:13">
      <c r="B2133" t="s">
        <v>195</v>
      </c>
      <c r="C2133">
        <f t="shared" si="173"/>
        <v>5</v>
      </c>
      <c r="D2133" t="str">
        <f t="shared" si="170"/>
        <v>BASSIN TOULONNAIS5</v>
      </c>
      <c r="E2133" t="s">
        <v>196</v>
      </c>
      <c r="F2133" t="str">
        <f t="shared" si="171"/>
        <v>BASSIN TOULONNAIS5</v>
      </c>
      <c r="G2133" t="s">
        <v>225</v>
      </c>
      <c r="H2133" t="s">
        <v>1779</v>
      </c>
      <c r="I2133" s="16">
        <v>855.8</v>
      </c>
      <c r="J2133" s="16">
        <v>663.18</v>
      </c>
      <c r="K2133" s="16">
        <v>245.9</v>
      </c>
      <c r="L2133" s="159">
        <f t="shared" si="172"/>
        <v>0.77492404767469036</v>
      </c>
      <c r="M2133" s="159">
        <f t="shared" si="172"/>
        <v>0.28733348913297502</v>
      </c>
    </row>
    <row r="2134" spans="2:13">
      <c r="B2134" t="s">
        <v>195</v>
      </c>
      <c r="C2134">
        <f t="shared" si="173"/>
        <v>6</v>
      </c>
      <c r="D2134" t="str">
        <f t="shared" si="170"/>
        <v>BASSIN TOULONNAIS6</v>
      </c>
      <c r="E2134" t="s">
        <v>196</v>
      </c>
      <c r="F2134" t="str">
        <f t="shared" si="171"/>
        <v>BASSIN TOULONNAIS6</v>
      </c>
      <c r="G2134" t="s">
        <v>274</v>
      </c>
      <c r="H2134" t="s">
        <v>275</v>
      </c>
      <c r="I2134" s="16">
        <v>820.5</v>
      </c>
      <c r="J2134" s="16">
        <v>40.39</v>
      </c>
      <c r="K2134" s="16">
        <v>820.5</v>
      </c>
      <c r="L2134" s="159">
        <f t="shared" si="172"/>
        <v>4.92260816575259E-2</v>
      </c>
      <c r="M2134" s="159">
        <f t="shared" si="172"/>
        <v>1</v>
      </c>
    </row>
    <row r="2135" spans="2:13">
      <c r="B2135" t="s">
        <v>195</v>
      </c>
      <c r="C2135">
        <f t="shared" si="173"/>
        <v>7</v>
      </c>
      <c r="D2135" t="str">
        <f t="shared" si="170"/>
        <v>BASSIN TOULONNAIS7</v>
      </c>
      <c r="E2135" t="s">
        <v>196</v>
      </c>
      <c r="F2135" t="str">
        <f t="shared" si="171"/>
        <v>BASSIN TOULONNAIS7</v>
      </c>
      <c r="G2135" t="s">
        <v>211</v>
      </c>
      <c r="H2135" t="s">
        <v>908</v>
      </c>
      <c r="I2135" s="16">
        <v>742.83</v>
      </c>
      <c r="J2135" s="16">
        <v>211.78</v>
      </c>
      <c r="K2135" s="16">
        <v>531.77</v>
      </c>
      <c r="L2135" s="159">
        <f t="shared" si="172"/>
        <v>0.28509887861287236</v>
      </c>
      <c r="M2135" s="159">
        <f t="shared" si="172"/>
        <v>0.71587038757185351</v>
      </c>
    </row>
    <row r="2136" spans="2:13">
      <c r="B2136" t="s">
        <v>195</v>
      </c>
      <c r="C2136">
        <f t="shared" si="173"/>
        <v>8</v>
      </c>
      <c r="D2136" t="str">
        <f t="shared" si="170"/>
        <v>BASSIN TOULONNAIS8</v>
      </c>
      <c r="E2136" t="s">
        <v>196</v>
      </c>
      <c r="F2136" t="str">
        <f t="shared" si="171"/>
        <v>BASSIN TOULONNAIS8</v>
      </c>
      <c r="G2136" t="s">
        <v>216</v>
      </c>
      <c r="H2136" t="s">
        <v>910</v>
      </c>
      <c r="I2136" s="16">
        <v>737.56</v>
      </c>
      <c r="J2136" s="16">
        <v>635.78</v>
      </c>
      <c r="K2136" s="16">
        <v>72.13</v>
      </c>
      <c r="L2136" s="159">
        <f t="shared" si="172"/>
        <v>0.86200444709582957</v>
      </c>
      <c r="M2136" s="159">
        <f t="shared" si="172"/>
        <v>9.7795433591843381E-2</v>
      </c>
    </row>
    <row r="2137" spans="2:13">
      <c r="B2137" t="s">
        <v>195</v>
      </c>
      <c r="C2137">
        <f t="shared" si="173"/>
        <v>9</v>
      </c>
      <c r="D2137" t="str">
        <f t="shared" si="170"/>
        <v>BASSIN TOULONNAIS9</v>
      </c>
      <c r="E2137" t="s">
        <v>196</v>
      </c>
      <c r="F2137" t="str">
        <f t="shared" si="171"/>
        <v>BASSIN TOULONNAIS9</v>
      </c>
      <c r="G2137" t="s">
        <v>209</v>
      </c>
      <c r="H2137" t="s">
        <v>210</v>
      </c>
      <c r="I2137" s="16">
        <v>700.48</v>
      </c>
      <c r="J2137" s="16">
        <v>303.58999999999997</v>
      </c>
      <c r="K2137" s="16">
        <v>633.91</v>
      </c>
      <c r="L2137" s="159">
        <f t="shared" si="172"/>
        <v>0.43340280950205567</v>
      </c>
      <c r="M2137" s="159">
        <f t="shared" si="172"/>
        <v>0.90496516674280492</v>
      </c>
    </row>
    <row r="2138" spans="2:13">
      <c r="B2138" t="s">
        <v>195</v>
      </c>
      <c r="C2138">
        <f t="shared" si="173"/>
        <v>10</v>
      </c>
      <c r="D2138" t="str">
        <f t="shared" si="170"/>
        <v>BASSIN TOULONNAIS10</v>
      </c>
      <c r="E2138" t="s">
        <v>196</v>
      </c>
      <c r="F2138" t="str">
        <f t="shared" si="171"/>
        <v>BASSIN TOULONNAIS10</v>
      </c>
      <c r="G2138" t="s">
        <v>213</v>
      </c>
      <c r="H2138" t="s">
        <v>919</v>
      </c>
      <c r="I2138" s="16">
        <v>504.36</v>
      </c>
      <c r="J2138" s="16">
        <v>132.97999999999999</v>
      </c>
      <c r="K2138" s="16">
        <v>376.55</v>
      </c>
      <c r="L2138" s="159">
        <f t="shared" si="172"/>
        <v>0.26366087715124115</v>
      </c>
      <c r="M2138" s="159">
        <f t="shared" si="172"/>
        <v>0.74658973748909507</v>
      </c>
    </row>
    <row r="2139" spans="2:13">
      <c r="B2139" t="s">
        <v>195</v>
      </c>
      <c r="C2139">
        <f t="shared" si="173"/>
        <v>11</v>
      </c>
      <c r="D2139" t="str">
        <f t="shared" si="170"/>
        <v>BASSIN TOULONNAIS11</v>
      </c>
      <c r="E2139" t="s">
        <v>196</v>
      </c>
      <c r="F2139" t="str">
        <f t="shared" si="171"/>
        <v>BASSIN TOULONNAIS11</v>
      </c>
      <c r="G2139" t="s">
        <v>230</v>
      </c>
      <c r="H2139" t="s">
        <v>231</v>
      </c>
      <c r="I2139" s="16">
        <v>495.89</v>
      </c>
      <c r="J2139" s="16">
        <v>193.63</v>
      </c>
      <c r="K2139" s="16">
        <v>418.61</v>
      </c>
      <c r="L2139" s="159">
        <f t="shared" si="172"/>
        <v>0.39046966061021599</v>
      </c>
      <c r="M2139" s="159">
        <f t="shared" si="172"/>
        <v>0.84415898687208857</v>
      </c>
    </row>
    <row r="2140" spans="2:13">
      <c r="B2140" t="s">
        <v>195</v>
      </c>
      <c r="C2140">
        <f t="shared" si="173"/>
        <v>13</v>
      </c>
      <c r="D2140" t="str">
        <f t="shared" si="170"/>
        <v>BASSIN TOULONNAIS13</v>
      </c>
      <c r="E2140" t="s">
        <v>196</v>
      </c>
      <c r="F2140" t="str">
        <f t="shared" si="171"/>
        <v>BASSIN TOULONNAIS13</v>
      </c>
      <c r="G2140" t="s">
        <v>221</v>
      </c>
      <c r="H2140" t="s">
        <v>914</v>
      </c>
      <c r="I2140" s="16">
        <v>404.81</v>
      </c>
      <c r="J2140" s="16">
        <v>39.119999999999997</v>
      </c>
      <c r="K2140" s="16">
        <v>252.57</v>
      </c>
      <c r="L2140" s="159">
        <f t="shared" si="172"/>
        <v>9.6637928904918347E-2</v>
      </c>
      <c r="M2140" s="159">
        <f t="shared" si="172"/>
        <v>0.62392233393443841</v>
      </c>
    </row>
    <row r="2141" spans="2:13">
      <c r="B2141" t="s">
        <v>195</v>
      </c>
      <c r="C2141">
        <f t="shared" si="173"/>
        <v>14</v>
      </c>
      <c r="D2141" t="str">
        <f t="shared" si="170"/>
        <v>BASSIN TOULONNAIS14</v>
      </c>
      <c r="E2141" t="s">
        <v>196</v>
      </c>
      <c r="F2141" t="str">
        <f t="shared" si="171"/>
        <v>BASSIN TOULONNAIS14</v>
      </c>
      <c r="G2141" t="s">
        <v>222</v>
      </c>
      <c r="H2141" t="s">
        <v>915</v>
      </c>
      <c r="I2141" s="16">
        <v>370.52</v>
      </c>
      <c r="J2141" s="16">
        <v>30.7</v>
      </c>
      <c r="K2141" s="16">
        <v>234.85</v>
      </c>
      <c r="L2141" s="159">
        <f t="shared" si="172"/>
        <v>8.2856525963510744E-2</v>
      </c>
      <c r="M2141" s="159">
        <f t="shared" si="172"/>
        <v>0.63383892907265471</v>
      </c>
    </row>
    <row r="2142" spans="2:13">
      <c r="B2142" t="s">
        <v>195</v>
      </c>
      <c r="C2142">
        <f t="shared" si="173"/>
        <v>15</v>
      </c>
      <c r="D2142" t="str">
        <f t="shared" si="170"/>
        <v>BASSIN TOULONNAIS15</v>
      </c>
      <c r="E2142" t="s">
        <v>196</v>
      </c>
      <c r="F2142" t="str">
        <f t="shared" si="171"/>
        <v>BASSIN TOULONNAIS15</v>
      </c>
      <c r="G2142" t="s">
        <v>224</v>
      </c>
      <c r="H2142" t="s">
        <v>917</v>
      </c>
      <c r="I2142" s="16">
        <v>366.38</v>
      </c>
      <c r="J2142" s="16">
        <v>152.09</v>
      </c>
      <c r="K2142" s="16">
        <v>91.63</v>
      </c>
      <c r="L2142" s="159">
        <f t="shared" si="172"/>
        <v>0.41511545390032206</v>
      </c>
      <c r="M2142" s="159">
        <f t="shared" si="172"/>
        <v>0.25009552923194495</v>
      </c>
    </row>
    <row r="2143" spans="2:13">
      <c r="B2143" t="s">
        <v>195</v>
      </c>
      <c r="C2143">
        <f t="shared" si="173"/>
        <v>16</v>
      </c>
      <c r="D2143" t="str">
        <f t="shared" si="170"/>
        <v>BASSIN TOULONNAIS16</v>
      </c>
      <c r="E2143" t="s">
        <v>196</v>
      </c>
      <c r="F2143" t="str">
        <f t="shared" si="171"/>
        <v>BASSIN TOULONNAIS16</v>
      </c>
      <c r="G2143" t="s">
        <v>239</v>
      </c>
      <c r="H2143" t="s">
        <v>925</v>
      </c>
      <c r="I2143" s="16">
        <v>352.57</v>
      </c>
      <c r="J2143" s="16">
        <v>17.5</v>
      </c>
      <c r="K2143" s="16">
        <v>200.94</v>
      </c>
      <c r="L2143" s="159">
        <f t="shared" si="172"/>
        <v>4.9635533369260007E-2</v>
      </c>
      <c r="M2143" s="159">
        <f t="shared" si="172"/>
        <v>0.56992937572680602</v>
      </c>
    </row>
    <row r="2144" spans="2:13">
      <c r="B2144" t="s">
        <v>195</v>
      </c>
      <c r="C2144">
        <f t="shared" si="173"/>
        <v>17</v>
      </c>
      <c r="D2144" t="str">
        <f t="shared" si="170"/>
        <v>BASSIN TOULONNAIS17</v>
      </c>
      <c r="E2144" t="s">
        <v>196</v>
      </c>
      <c r="F2144" t="str">
        <f t="shared" si="171"/>
        <v>BASSIN TOULONNAIS17</v>
      </c>
      <c r="G2144" t="s">
        <v>226</v>
      </c>
      <c r="H2144" t="s">
        <v>227</v>
      </c>
      <c r="I2144" s="16">
        <v>310.24</v>
      </c>
      <c r="J2144" s="16">
        <v>154.65</v>
      </c>
      <c r="K2144" s="16">
        <v>191.85</v>
      </c>
      <c r="L2144" s="159">
        <f t="shared" si="172"/>
        <v>0.49848504383702941</v>
      </c>
      <c r="M2144" s="159">
        <f t="shared" si="172"/>
        <v>0.61839221248066012</v>
      </c>
    </row>
    <row r="2145" spans="2:13">
      <c r="B2145" t="s">
        <v>195</v>
      </c>
      <c r="C2145">
        <f t="shared" si="173"/>
        <v>18</v>
      </c>
      <c r="D2145" t="str">
        <f t="shared" si="170"/>
        <v>BASSIN TOULONNAIS18</v>
      </c>
      <c r="E2145" t="s">
        <v>196</v>
      </c>
      <c r="F2145" t="str">
        <f t="shared" si="171"/>
        <v>BASSIN TOULONNAIS18</v>
      </c>
      <c r="G2145" t="s">
        <v>223</v>
      </c>
      <c r="H2145" t="s">
        <v>916</v>
      </c>
      <c r="I2145" s="16">
        <v>309.14999999999998</v>
      </c>
      <c r="J2145" s="16">
        <v>46.03</v>
      </c>
      <c r="K2145" s="16">
        <v>205.9</v>
      </c>
      <c r="L2145" s="159">
        <f t="shared" si="172"/>
        <v>0.14889212356461265</v>
      </c>
      <c r="M2145" s="159">
        <f t="shared" si="172"/>
        <v>0.66601973152191496</v>
      </c>
    </row>
    <row r="2146" spans="2:13">
      <c r="B2146" t="s">
        <v>195</v>
      </c>
      <c r="C2146">
        <f t="shared" si="173"/>
        <v>19</v>
      </c>
      <c r="D2146" t="str">
        <f t="shared" si="170"/>
        <v>BASSIN TOULONNAIS19</v>
      </c>
      <c r="E2146" t="s">
        <v>196</v>
      </c>
      <c r="F2146" t="str">
        <f t="shared" si="171"/>
        <v>BASSIN TOULONNAIS19</v>
      </c>
      <c r="G2146" t="s">
        <v>233</v>
      </c>
      <c r="I2146" s="16">
        <v>305.45</v>
      </c>
      <c r="J2146" s="16">
        <v>302</v>
      </c>
      <c r="K2146" s="16">
        <v>0</v>
      </c>
      <c r="L2146" s="159">
        <f t="shared" si="172"/>
        <v>0.98870518906531346</v>
      </c>
      <c r="M2146" s="159">
        <f t="shared" si="172"/>
        <v>0</v>
      </c>
    </row>
    <row r="2147" spans="2:13">
      <c r="B2147" t="s">
        <v>195</v>
      </c>
      <c r="C2147">
        <f t="shared" si="173"/>
        <v>20</v>
      </c>
      <c r="D2147" t="str">
        <f t="shared" si="170"/>
        <v>BASSIN TOULONNAIS20</v>
      </c>
      <c r="E2147" t="s">
        <v>196</v>
      </c>
      <c r="F2147" t="str">
        <f t="shared" si="171"/>
        <v>BASSIN TOULONNAIS20</v>
      </c>
      <c r="G2147" t="s">
        <v>234</v>
      </c>
      <c r="H2147" t="s">
        <v>923</v>
      </c>
      <c r="I2147" s="16">
        <v>252.79</v>
      </c>
      <c r="J2147" s="16">
        <v>72.36</v>
      </c>
      <c r="K2147" s="16">
        <v>27.46</v>
      </c>
      <c r="L2147" s="159">
        <f t="shared" si="172"/>
        <v>0.28624550021757189</v>
      </c>
      <c r="M2147" s="159">
        <f t="shared" si="172"/>
        <v>0.10862771470390443</v>
      </c>
    </row>
    <row r="2148" spans="2:13">
      <c r="B2148" t="s">
        <v>195</v>
      </c>
      <c r="C2148">
        <f t="shared" si="173"/>
        <v>21</v>
      </c>
      <c r="D2148" t="str">
        <f t="shared" si="170"/>
        <v>BASSIN TOULONNAIS21</v>
      </c>
      <c r="E2148" t="s">
        <v>196</v>
      </c>
      <c r="F2148" t="str">
        <f t="shared" si="171"/>
        <v>BASSIN TOULONNAIS21</v>
      </c>
      <c r="G2148" t="s">
        <v>219</v>
      </c>
      <c r="H2148" t="s">
        <v>912</v>
      </c>
      <c r="I2148" s="16">
        <v>249.41</v>
      </c>
      <c r="J2148" s="16">
        <v>23.69</v>
      </c>
      <c r="K2148" s="16">
        <v>117.27</v>
      </c>
      <c r="L2148" s="159">
        <f t="shared" si="172"/>
        <v>9.4984162623792154E-2</v>
      </c>
      <c r="M2148" s="159">
        <f t="shared" si="172"/>
        <v>0.47018964756826109</v>
      </c>
    </row>
    <row r="2149" spans="2:13">
      <c r="B2149" t="s">
        <v>195</v>
      </c>
      <c r="C2149">
        <f t="shared" si="173"/>
        <v>22</v>
      </c>
      <c r="D2149" t="str">
        <f t="shared" si="170"/>
        <v>BASSIN TOULONNAIS22</v>
      </c>
      <c r="E2149" t="s">
        <v>196</v>
      </c>
      <c r="F2149" t="str">
        <f t="shared" si="171"/>
        <v>BASSIN TOULONNAIS22</v>
      </c>
      <c r="G2149" t="s">
        <v>238</v>
      </c>
      <c r="H2149" t="s">
        <v>924</v>
      </c>
      <c r="I2149" s="16">
        <v>242.63</v>
      </c>
      <c r="J2149" s="16">
        <v>41.73</v>
      </c>
      <c r="K2149" s="16">
        <v>24.85</v>
      </c>
      <c r="L2149" s="159">
        <f t="shared" si="172"/>
        <v>0.17199027325557431</v>
      </c>
      <c r="M2149" s="159">
        <f t="shared" si="172"/>
        <v>0.10241932160079134</v>
      </c>
    </row>
    <row r="2150" spans="2:13">
      <c r="B2150" t="s">
        <v>195</v>
      </c>
      <c r="C2150">
        <f t="shared" si="173"/>
        <v>23</v>
      </c>
      <c r="D2150" t="str">
        <f t="shared" si="170"/>
        <v>BASSIN TOULONNAIS23</v>
      </c>
      <c r="E2150" t="s">
        <v>196</v>
      </c>
      <c r="F2150" t="str">
        <f t="shared" si="171"/>
        <v>BASSIN TOULONNAIS23</v>
      </c>
      <c r="G2150" t="s">
        <v>229</v>
      </c>
      <c r="H2150" t="s">
        <v>921</v>
      </c>
      <c r="I2150" s="16">
        <v>239.71</v>
      </c>
      <c r="J2150" s="16">
        <v>60.74</v>
      </c>
      <c r="K2150" s="16">
        <v>135.54</v>
      </c>
      <c r="L2150" s="159">
        <f t="shared" si="172"/>
        <v>0.25338951232739559</v>
      </c>
      <c r="M2150" s="159">
        <f t="shared" si="172"/>
        <v>0.56543323182178462</v>
      </c>
    </row>
    <row r="2151" spans="2:13">
      <c r="B2151" t="s">
        <v>195</v>
      </c>
      <c r="C2151">
        <f t="shared" si="173"/>
        <v>24</v>
      </c>
      <c r="D2151" t="str">
        <f t="shared" si="170"/>
        <v>BASSIN TOULONNAIS24</v>
      </c>
      <c r="E2151" t="s">
        <v>196</v>
      </c>
      <c r="F2151" t="str">
        <f t="shared" si="171"/>
        <v>BASSIN TOULONNAIS24</v>
      </c>
      <c r="G2151" t="s">
        <v>276</v>
      </c>
      <c r="H2151" t="s">
        <v>933</v>
      </c>
      <c r="I2151" s="16">
        <v>227.81</v>
      </c>
      <c r="J2151" s="16">
        <v>0</v>
      </c>
      <c r="K2151" s="16">
        <v>0</v>
      </c>
      <c r="L2151" s="159">
        <f t="shared" si="172"/>
        <v>0</v>
      </c>
      <c r="M2151" s="159">
        <f t="shared" si="172"/>
        <v>0</v>
      </c>
    </row>
    <row r="2152" spans="2:13">
      <c r="B2152" t="s">
        <v>195</v>
      </c>
      <c r="C2152">
        <f t="shared" si="173"/>
        <v>25</v>
      </c>
      <c r="D2152" t="str">
        <f t="shared" si="170"/>
        <v>BASSIN TOULONNAIS25</v>
      </c>
      <c r="E2152" t="s">
        <v>196</v>
      </c>
      <c r="F2152" t="str">
        <f t="shared" si="171"/>
        <v>BASSIN TOULONNAIS25</v>
      </c>
      <c r="G2152" t="s">
        <v>232</v>
      </c>
      <c r="H2152" t="s">
        <v>922</v>
      </c>
      <c r="I2152" s="16">
        <v>216.18</v>
      </c>
      <c r="J2152" s="16">
        <v>163.99</v>
      </c>
      <c r="K2152" s="16">
        <v>63.23</v>
      </c>
      <c r="L2152" s="159">
        <f t="shared" si="172"/>
        <v>0.75858081228605789</v>
      </c>
      <c r="M2152" s="159">
        <f t="shared" si="172"/>
        <v>0.29248774169673419</v>
      </c>
    </row>
    <row r="2153" spans="2:13">
      <c r="B2153" t="s">
        <v>195</v>
      </c>
      <c r="C2153">
        <f t="shared" si="173"/>
        <v>26</v>
      </c>
      <c r="D2153" t="str">
        <f t="shared" si="170"/>
        <v>BASSIN TOULONNAIS26</v>
      </c>
      <c r="E2153" t="s">
        <v>196</v>
      </c>
      <c r="F2153" t="str">
        <f t="shared" si="171"/>
        <v>BASSIN TOULONNAIS26</v>
      </c>
      <c r="G2153" t="s">
        <v>218</v>
      </c>
      <c r="H2153" t="s">
        <v>911</v>
      </c>
      <c r="I2153" s="16">
        <v>196.06</v>
      </c>
      <c r="J2153" s="16">
        <v>110.51</v>
      </c>
      <c r="K2153" s="16">
        <v>114.57</v>
      </c>
      <c r="L2153" s="159">
        <f t="shared" si="172"/>
        <v>0.56365398347444662</v>
      </c>
      <c r="M2153" s="159">
        <f t="shared" si="172"/>
        <v>0.584361930021422</v>
      </c>
    </row>
    <row r="2154" spans="2:13">
      <c r="B2154" t="s">
        <v>195</v>
      </c>
      <c r="C2154">
        <f t="shared" si="173"/>
        <v>27</v>
      </c>
      <c r="D2154" t="str">
        <f t="shared" si="170"/>
        <v>BASSIN TOULONNAIS27</v>
      </c>
      <c r="E2154" t="s">
        <v>196</v>
      </c>
      <c r="F2154" t="str">
        <f t="shared" si="171"/>
        <v>BASSIN TOULONNAIS27</v>
      </c>
      <c r="G2154" t="s">
        <v>228</v>
      </c>
      <c r="I2154" s="16">
        <v>187.71</v>
      </c>
      <c r="J2154" s="16">
        <v>96.58</v>
      </c>
      <c r="K2154" s="16">
        <v>6.79</v>
      </c>
      <c r="L2154" s="159">
        <f t="shared" si="172"/>
        <v>0.51451707421021786</v>
      </c>
      <c r="M2154" s="159">
        <f t="shared" si="172"/>
        <v>3.6172819775185126E-2</v>
      </c>
    </row>
    <row r="2155" spans="2:13">
      <c r="B2155" t="s">
        <v>195</v>
      </c>
      <c r="C2155">
        <f t="shared" si="173"/>
        <v>28</v>
      </c>
      <c r="D2155" t="str">
        <f t="shared" si="170"/>
        <v>BASSIN TOULONNAIS28</v>
      </c>
      <c r="E2155" t="s">
        <v>196</v>
      </c>
      <c r="F2155" t="str">
        <f t="shared" si="171"/>
        <v>BASSIN TOULONNAIS28</v>
      </c>
      <c r="G2155" t="s">
        <v>260</v>
      </c>
      <c r="H2155" t="s">
        <v>932</v>
      </c>
      <c r="I2155" s="16">
        <v>175.12</v>
      </c>
      <c r="J2155" s="16">
        <v>42.14</v>
      </c>
      <c r="K2155" s="16">
        <v>25.34</v>
      </c>
      <c r="L2155" s="159">
        <f t="shared" si="172"/>
        <v>0.24063499314755596</v>
      </c>
      <c r="M2155" s="159">
        <f t="shared" si="172"/>
        <v>0.14470077661032435</v>
      </c>
    </row>
    <row r="2156" spans="2:13">
      <c r="B2156" t="s">
        <v>195</v>
      </c>
      <c r="C2156">
        <f t="shared" si="173"/>
        <v>29</v>
      </c>
      <c r="D2156" t="str">
        <f t="shared" si="170"/>
        <v>BASSIN TOULONNAIS29</v>
      </c>
      <c r="E2156" t="s">
        <v>196</v>
      </c>
      <c r="F2156" t="str">
        <f t="shared" si="171"/>
        <v>BASSIN TOULONNAIS29</v>
      </c>
      <c r="G2156" t="s">
        <v>332</v>
      </c>
      <c r="H2156" t="s">
        <v>940</v>
      </c>
      <c r="I2156" s="16">
        <v>168.28</v>
      </c>
      <c r="J2156" s="16">
        <v>7.96</v>
      </c>
      <c r="K2156" s="16">
        <v>94.93</v>
      </c>
      <c r="L2156" s="159">
        <f t="shared" si="172"/>
        <v>4.7302115521749462E-2</v>
      </c>
      <c r="M2156" s="159">
        <f t="shared" si="172"/>
        <v>0.56411932493463279</v>
      </c>
    </row>
    <row r="2157" spans="2:13">
      <c r="B2157" t="s">
        <v>195</v>
      </c>
      <c r="C2157">
        <f t="shared" si="173"/>
        <v>30</v>
      </c>
      <c r="D2157" t="str">
        <f t="shared" si="170"/>
        <v>BASSIN TOULONNAIS30</v>
      </c>
      <c r="E2157" t="s">
        <v>196</v>
      </c>
      <c r="F2157" t="str">
        <f t="shared" si="171"/>
        <v>BASSIN TOULONNAIS30</v>
      </c>
      <c r="G2157" t="s">
        <v>212</v>
      </c>
      <c r="H2157" t="s">
        <v>909</v>
      </c>
      <c r="I2157" s="16">
        <v>143.22999999999999</v>
      </c>
      <c r="J2157" s="16">
        <v>0</v>
      </c>
      <c r="K2157" s="16">
        <v>79.05</v>
      </c>
      <c r="L2157" s="159">
        <f t="shared" si="172"/>
        <v>0</v>
      </c>
      <c r="M2157" s="159">
        <f t="shared" si="172"/>
        <v>0.55190951616281503</v>
      </c>
    </row>
    <row r="2158" spans="2:13">
      <c r="B2158" t="s">
        <v>195</v>
      </c>
      <c r="C2158">
        <f t="shared" si="173"/>
        <v>31</v>
      </c>
      <c r="D2158" t="str">
        <f t="shared" si="170"/>
        <v>BASSIN TOULONNAIS31</v>
      </c>
      <c r="E2158" t="s">
        <v>196</v>
      </c>
      <c r="F2158" t="str">
        <f t="shared" si="171"/>
        <v>BASSIN TOULONNAIS31</v>
      </c>
      <c r="G2158" t="s">
        <v>265</v>
      </c>
      <c r="I2158" s="16">
        <v>136.44999999999999</v>
      </c>
      <c r="J2158" s="16">
        <v>80.59</v>
      </c>
      <c r="K2158" s="16">
        <v>47.42</v>
      </c>
      <c r="L2158" s="159">
        <f t="shared" si="172"/>
        <v>0.59061927445950901</v>
      </c>
      <c r="M2158" s="159">
        <f t="shared" si="172"/>
        <v>0.34752656650787839</v>
      </c>
    </row>
    <row r="2159" spans="2:13">
      <c r="B2159" t="s">
        <v>195</v>
      </c>
      <c r="C2159">
        <f t="shared" si="173"/>
        <v>32</v>
      </c>
      <c r="D2159" t="str">
        <f t="shared" si="170"/>
        <v>BASSIN TOULONNAIS32</v>
      </c>
      <c r="E2159" t="s">
        <v>196</v>
      </c>
      <c r="F2159" t="str">
        <f t="shared" si="171"/>
        <v>BASSIN TOULONNAIS32</v>
      </c>
      <c r="G2159" t="s">
        <v>270</v>
      </c>
      <c r="I2159" s="16">
        <v>127.73</v>
      </c>
      <c r="J2159" s="16">
        <v>127.73</v>
      </c>
      <c r="K2159" s="16">
        <v>0</v>
      </c>
      <c r="L2159" s="159">
        <f t="shared" si="172"/>
        <v>1</v>
      </c>
      <c r="M2159" s="159">
        <f t="shared" si="172"/>
        <v>0</v>
      </c>
    </row>
    <row r="2160" spans="2:13">
      <c r="B2160" t="s">
        <v>195</v>
      </c>
      <c r="C2160">
        <f t="shared" si="173"/>
        <v>33</v>
      </c>
      <c r="D2160" t="str">
        <f t="shared" si="170"/>
        <v>BASSIN TOULONNAIS33</v>
      </c>
      <c r="E2160" t="s">
        <v>196</v>
      </c>
      <c r="F2160" t="str">
        <f t="shared" si="171"/>
        <v>BASSIN TOULONNAIS33</v>
      </c>
      <c r="G2160" t="s">
        <v>354</v>
      </c>
      <c r="H2160" t="s">
        <v>942</v>
      </c>
      <c r="I2160" s="16">
        <v>115.47</v>
      </c>
      <c r="J2160" s="16">
        <v>60.39</v>
      </c>
      <c r="K2160" s="16">
        <v>0</v>
      </c>
      <c r="L2160" s="159">
        <f t="shared" si="172"/>
        <v>0.52299298519095871</v>
      </c>
      <c r="M2160" s="159">
        <f t="shared" si="172"/>
        <v>0</v>
      </c>
    </row>
    <row r="2161" spans="2:13">
      <c r="B2161" t="s">
        <v>195</v>
      </c>
      <c r="C2161">
        <f t="shared" ref="C2161:C2192" si="174">RANK(I2161,$I$2128:$I$2280,0)</f>
        <v>34</v>
      </c>
      <c r="D2161" t="str">
        <f t="shared" si="170"/>
        <v>BASSIN TOULONNAIS34</v>
      </c>
      <c r="E2161" t="s">
        <v>196</v>
      </c>
      <c r="F2161" t="str">
        <f t="shared" si="171"/>
        <v>BASSIN TOULONNAIS34</v>
      </c>
      <c r="G2161" t="s">
        <v>220</v>
      </c>
      <c r="H2161" t="s">
        <v>913</v>
      </c>
      <c r="I2161" s="16">
        <v>110.79</v>
      </c>
      <c r="J2161" s="16">
        <v>13.18</v>
      </c>
      <c r="K2161" s="16">
        <v>54.35</v>
      </c>
      <c r="L2161" s="159">
        <f t="shared" si="172"/>
        <v>0.11896380539759906</v>
      </c>
      <c r="M2161" s="159">
        <f t="shared" si="172"/>
        <v>0.49056774077082765</v>
      </c>
    </row>
    <row r="2162" spans="2:13">
      <c r="B2162" t="s">
        <v>195</v>
      </c>
      <c r="C2162">
        <f t="shared" si="174"/>
        <v>35</v>
      </c>
      <c r="D2162" t="str">
        <f t="shared" si="170"/>
        <v>BASSIN TOULONNAIS35</v>
      </c>
      <c r="E2162" t="s">
        <v>196</v>
      </c>
      <c r="F2162" t="str">
        <f t="shared" si="171"/>
        <v>BASSIN TOULONNAIS35</v>
      </c>
      <c r="G2162" t="s">
        <v>253</v>
      </c>
      <c r="I2162" s="16">
        <v>106.03</v>
      </c>
      <c r="J2162" s="16">
        <v>38.24</v>
      </c>
      <c r="K2162" s="16">
        <v>74.11</v>
      </c>
      <c r="L2162" s="159">
        <f t="shared" si="172"/>
        <v>0.36065264547769499</v>
      </c>
      <c r="M2162" s="159">
        <f t="shared" si="172"/>
        <v>0.6989531264736395</v>
      </c>
    </row>
    <row r="2163" spans="2:13">
      <c r="B2163" t="s">
        <v>195</v>
      </c>
      <c r="C2163">
        <f t="shared" si="174"/>
        <v>36</v>
      </c>
      <c r="D2163" t="str">
        <f t="shared" si="170"/>
        <v>BASSIN TOULONNAIS36</v>
      </c>
      <c r="E2163" t="s">
        <v>196</v>
      </c>
      <c r="F2163" t="str">
        <f t="shared" si="171"/>
        <v>BASSIN TOULONNAIS36</v>
      </c>
      <c r="G2163" t="s">
        <v>241</v>
      </c>
      <c r="H2163" t="s">
        <v>927</v>
      </c>
      <c r="I2163" s="16">
        <v>105.04</v>
      </c>
      <c r="J2163" s="16">
        <v>9.25</v>
      </c>
      <c r="K2163" s="16">
        <v>9.25</v>
      </c>
      <c r="L2163" s="159">
        <f t="shared" si="172"/>
        <v>8.8061690784463062E-2</v>
      </c>
      <c r="M2163" s="159">
        <f t="shared" si="172"/>
        <v>8.8061690784463062E-2</v>
      </c>
    </row>
    <row r="2164" spans="2:13">
      <c r="B2164" t="s">
        <v>195</v>
      </c>
      <c r="C2164">
        <f t="shared" si="174"/>
        <v>37</v>
      </c>
      <c r="D2164" t="str">
        <f t="shared" si="170"/>
        <v>BASSIN TOULONNAIS37</v>
      </c>
      <c r="E2164" t="s">
        <v>196</v>
      </c>
      <c r="F2164" t="str">
        <f t="shared" si="171"/>
        <v>BASSIN TOULONNAIS37</v>
      </c>
      <c r="G2164" t="s">
        <v>299</v>
      </c>
      <c r="H2164" t="s">
        <v>1800</v>
      </c>
      <c r="I2164" s="16">
        <v>102.5</v>
      </c>
      <c r="J2164" s="16">
        <v>0</v>
      </c>
      <c r="K2164" s="16">
        <v>102.5</v>
      </c>
      <c r="L2164" s="159">
        <f t="shared" si="172"/>
        <v>0</v>
      </c>
      <c r="M2164" s="159">
        <f t="shared" si="172"/>
        <v>1</v>
      </c>
    </row>
    <row r="2165" spans="2:13">
      <c r="B2165" t="s">
        <v>195</v>
      </c>
      <c r="C2165">
        <f t="shared" si="174"/>
        <v>38</v>
      </c>
      <c r="D2165" t="str">
        <f t="shared" si="170"/>
        <v>BASSIN TOULONNAIS38</v>
      </c>
      <c r="E2165" t="s">
        <v>196</v>
      </c>
      <c r="F2165" t="str">
        <f t="shared" si="171"/>
        <v>BASSIN TOULONNAIS38</v>
      </c>
      <c r="G2165" t="s">
        <v>316</v>
      </c>
      <c r="H2165" t="s">
        <v>317</v>
      </c>
      <c r="I2165" s="16">
        <v>100.68</v>
      </c>
      <c r="J2165" s="16">
        <v>0</v>
      </c>
      <c r="K2165" s="16">
        <v>75.34</v>
      </c>
      <c r="L2165" s="159">
        <f t="shared" si="172"/>
        <v>0</v>
      </c>
      <c r="M2165" s="159">
        <f t="shared" si="172"/>
        <v>0.74831148192292407</v>
      </c>
    </row>
    <row r="2166" spans="2:13">
      <c r="B2166" t="s">
        <v>195</v>
      </c>
      <c r="C2166">
        <f t="shared" si="174"/>
        <v>39</v>
      </c>
      <c r="D2166" t="str">
        <f t="shared" si="170"/>
        <v>BASSIN TOULONNAIS39</v>
      </c>
      <c r="E2166" t="s">
        <v>196</v>
      </c>
      <c r="F2166" t="str">
        <f t="shared" si="171"/>
        <v>BASSIN TOULONNAIS39</v>
      </c>
      <c r="G2166" t="s">
        <v>255</v>
      </c>
      <c r="H2166" t="s">
        <v>256</v>
      </c>
      <c r="I2166" s="16">
        <v>98.39</v>
      </c>
      <c r="J2166" s="16">
        <v>21.7</v>
      </c>
      <c r="K2166" s="16">
        <v>55.85</v>
      </c>
      <c r="L2166" s="159">
        <f t="shared" si="172"/>
        <v>0.22055086899075108</v>
      </c>
      <c r="M2166" s="159">
        <f t="shared" si="172"/>
        <v>0.56763898770200227</v>
      </c>
    </row>
    <row r="2167" spans="2:13">
      <c r="B2167" t="s">
        <v>195</v>
      </c>
      <c r="C2167">
        <f t="shared" si="174"/>
        <v>40</v>
      </c>
      <c r="D2167" t="str">
        <f t="shared" si="170"/>
        <v>BASSIN TOULONNAIS40</v>
      </c>
      <c r="E2167" t="s">
        <v>196</v>
      </c>
      <c r="F2167" t="str">
        <f t="shared" si="171"/>
        <v>BASSIN TOULONNAIS40</v>
      </c>
      <c r="G2167" t="s">
        <v>359</v>
      </c>
      <c r="I2167" s="16">
        <v>95.96</v>
      </c>
      <c r="J2167" s="16">
        <v>0</v>
      </c>
      <c r="K2167" s="16">
        <v>95.96</v>
      </c>
      <c r="L2167" s="159">
        <f t="shared" si="172"/>
        <v>0</v>
      </c>
      <c r="M2167" s="159">
        <f t="shared" si="172"/>
        <v>1</v>
      </c>
    </row>
    <row r="2168" spans="2:13">
      <c r="B2168" t="s">
        <v>195</v>
      </c>
      <c r="C2168">
        <f t="shared" si="174"/>
        <v>41</v>
      </c>
      <c r="D2168" t="str">
        <f t="shared" si="170"/>
        <v>BASSIN TOULONNAIS41</v>
      </c>
      <c r="E2168" t="s">
        <v>196</v>
      </c>
      <c r="F2168" t="str">
        <f t="shared" si="171"/>
        <v>BASSIN TOULONNAIS41</v>
      </c>
      <c r="G2168" t="s">
        <v>419</v>
      </c>
      <c r="I2168" s="16">
        <v>94.17</v>
      </c>
      <c r="J2168" s="16">
        <v>4.84</v>
      </c>
      <c r="K2168" s="16">
        <v>69.55</v>
      </c>
      <c r="L2168" s="159">
        <f t="shared" si="172"/>
        <v>5.1396410746522243E-2</v>
      </c>
      <c r="M2168" s="159">
        <f t="shared" si="172"/>
        <v>0.73855792715302104</v>
      </c>
    </row>
    <row r="2169" spans="2:13">
      <c r="B2169" t="s">
        <v>195</v>
      </c>
      <c r="C2169">
        <f t="shared" si="174"/>
        <v>42</v>
      </c>
      <c r="D2169" t="str">
        <f t="shared" si="170"/>
        <v>BASSIN TOULONNAIS42</v>
      </c>
      <c r="E2169" t="s">
        <v>196</v>
      </c>
      <c r="F2169" t="str">
        <f t="shared" si="171"/>
        <v>BASSIN TOULONNAIS42</v>
      </c>
      <c r="G2169" t="s">
        <v>303</v>
      </c>
      <c r="H2169" t="s">
        <v>936</v>
      </c>
      <c r="I2169" s="16">
        <v>92.8</v>
      </c>
      <c r="J2169" s="16">
        <v>64.599999999999994</v>
      </c>
      <c r="K2169" s="16">
        <v>0</v>
      </c>
      <c r="L2169" s="159">
        <f t="shared" si="172"/>
        <v>0.69612068965517238</v>
      </c>
      <c r="M2169" s="159">
        <f t="shared" si="172"/>
        <v>0</v>
      </c>
    </row>
    <row r="2170" spans="2:13">
      <c r="B2170" t="s">
        <v>195</v>
      </c>
      <c r="C2170">
        <f t="shared" si="174"/>
        <v>43</v>
      </c>
      <c r="D2170" t="str">
        <f t="shared" si="170"/>
        <v>BASSIN TOULONNAIS43</v>
      </c>
      <c r="E2170" t="s">
        <v>196</v>
      </c>
      <c r="F2170" t="str">
        <f t="shared" si="171"/>
        <v>BASSIN TOULONNAIS43</v>
      </c>
      <c r="G2170" t="s">
        <v>249</v>
      </c>
      <c r="I2170" s="16">
        <v>92.16</v>
      </c>
      <c r="J2170" s="16">
        <v>1</v>
      </c>
      <c r="K2170" s="16">
        <v>5</v>
      </c>
      <c r="L2170" s="159">
        <f t="shared" si="172"/>
        <v>1.0850694444444444E-2</v>
      </c>
      <c r="M2170" s="159">
        <f t="shared" si="172"/>
        <v>5.4253472222222224E-2</v>
      </c>
    </row>
    <row r="2171" spans="2:13">
      <c r="B2171" t="s">
        <v>195</v>
      </c>
      <c r="C2171">
        <f t="shared" si="174"/>
        <v>44</v>
      </c>
      <c r="D2171" t="str">
        <f t="shared" si="170"/>
        <v>BASSIN TOULONNAIS44</v>
      </c>
      <c r="E2171" t="s">
        <v>196</v>
      </c>
      <c r="F2171" t="str">
        <f t="shared" si="171"/>
        <v>BASSIN TOULONNAIS44</v>
      </c>
      <c r="G2171" t="s">
        <v>240</v>
      </c>
      <c r="H2171" t="s">
        <v>926</v>
      </c>
      <c r="I2171" s="16">
        <v>89.62</v>
      </c>
      <c r="J2171" s="16">
        <v>47.5</v>
      </c>
      <c r="K2171" s="16">
        <v>52.5</v>
      </c>
      <c r="L2171" s="159">
        <f t="shared" si="172"/>
        <v>0.53001562151305515</v>
      </c>
      <c r="M2171" s="159">
        <f t="shared" si="172"/>
        <v>0.58580673956706086</v>
      </c>
    </row>
    <row r="2172" spans="2:13">
      <c r="B2172" t="s">
        <v>195</v>
      </c>
      <c r="C2172">
        <f t="shared" si="174"/>
        <v>45</v>
      </c>
      <c r="D2172" t="str">
        <f t="shared" si="170"/>
        <v>BASSIN TOULONNAIS45</v>
      </c>
      <c r="E2172" t="s">
        <v>196</v>
      </c>
      <c r="F2172" t="str">
        <f t="shared" si="171"/>
        <v>BASSIN TOULONNAIS45</v>
      </c>
      <c r="G2172" t="s">
        <v>330</v>
      </c>
      <c r="I2172" s="16">
        <v>89.03</v>
      </c>
      <c r="J2172" s="16">
        <v>43.95</v>
      </c>
      <c r="K2172" s="16">
        <v>45.52</v>
      </c>
      <c r="L2172" s="159">
        <f t="shared" si="172"/>
        <v>0.4936538245535213</v>
      </c>
      <c r="M2172" s="159">
        <f t="shared" si="172"/>
        <v>0.51128832977647987</v>
      </c>
    </row>
    <row r="2173" spans="2:13">
      <c r="B2173" t="s">
        <v>195</v>
      </c>
      <c r="C2173">
        <f t="shared" si="174"/>
        <v>46</v>
      </c>
      <c r="D2173" t="str">
        <f t="shared" si="170"/>
        <v>BASSIN TOULONNAIS46</v>
      </c>
      <c r="E2173" t="s">
        <v>196</v>
      </c>
      <c r="F2173" t="str">
        <f t="shared" si="171"/>
        <v>BASSIN TOULONNAIS46</v>
      </c>
      <c r="G2173" t="s">
        <v>252</v>
      </c>
      <c r="H2173" t="s">
        <v>930</v>
      </c>
      <c r="I2173" s="16">
        <v>86.37</v>
      </c>
      <c r="J2173" s="16">
        <v>66.849999999999994</v>
      </c>
      <c r="K2173" s="16">
        <v>15.56</v>
      </c>
      <c r="L2173" s="159">
        <f t="shared" si="172"/>
        <v>0.77399560032418657</v>
      </c>
      <c r="M2173" s="159">
        <f t="shared" si="172"/>
        <v>0.18015514646289221</v>
      </c>
    </row>
    <row r="2174" spans="2:13">
      <c r="B2174" t="s">
        <v>195</v>
      </c>
      <c r="C2174">
        <f t="shared" si="174"/>
        <v>47</v>
      </c>
      <c r="D2174" t="str">
        <f t="shared" si="170"/>
        <v>BASSIN TOULONNAIS47</v>
      </c>
      <c r="E2174" t="s">
        <v>196</v>
      </c>
      <c r="F2174" t="str">
        <f t="shared" si="171"/>
        <v>BASSIN TOULONNAIS47</v>
      </c>
      <c r="G2174" t="s">
        <v>268</v>
      </c>
      <c r="H2174" t="s">
        <v>269</v>
      </c>
      <c r="I2174" s="16">
        <v>86.32</v>
      </c>
      <c r="J2174" s="16">
        <v>10.56</v>
      </c>
      <c r="K2174" s="16">
        <v>21.12</v>
      </c>
      <c r="L2174" s="159">
        <f t="shared" si="172"/>
        <v>0.12233549582947174</v>
      </c>
      <c r="M2174" s="159">
        <f t="shared" si="172"/>
        <v>0.24467099165894349</v>
      </c>
    </row>
    <row r="2175" spans="2:13">
      <c r="B2175" t="s">
        <v>195</v>
      </c>
      <c r="C2175">
        <f t="shared" si="174"/>
        <v>48</v>
      </c>
      <c r="D2175" t="str">
        <f t="shared" si="170"/>
        <v>BASSIN TOULONNAIS48</v>
      </c>
      <c r="E2175" t="s">
        <v>196</v>
      </c>
      <c r="F2175" t="str">
        <f t="shared" si="171"/>
        <v>BASSIN TOULONNAIS48</v>
      </c>
      <c r="G2175" t="s">
        <v>289</v>
      </c>
      <c r="H2175" t="s">
        <v>935</v>
      </c>
      <c r="I2175" s="16">
        <v>80.569999999999993</v>
      </c>
      <c r="J2175" s="16">
        <v>49.89</v>
      </c>
      <c r="K2175" s="16">
        <v>39.159999999999997</v>
      </c>
      <c r="L2175" s="159">
        <f t="shared" si="172"/>
        <v>0.61921310661536555</v>
      </c>
      <c r="M2175" s="159">
        <f t="shared" si="172"/>
        <v>0.48603698647139132</v>
      </c>
    </row>
    <row r="2176" spans="2:13">
      <c r="B2176" t="s">
        <v>195</v>
      </c>
      <c r="C2176">
        <f t="shared" si="174"/>
        <v>49</v>
      </c>
      <c r="D2176" t="str">
        <f t="shared" si="170"/>
        <v>BASSIN TOULONNAIS49</v>
      </c>
      <c r="E2176" t="s">
        <v>196</v>
      </c>
      <c r="F2176" t="str">
        <f t="shared" si="171"/>
        <v>BASSIN TOULONNAIS49</v>
      </c>
      <c r="G2176" t="s">
        <v>244</v>
      </c>
      <c r="I2176" s="16">
        <v>77.89</v>
      </c>
      <c r="J2176" s="16">
        <v>25</v>
      </c>
      <c r="K2176" s="16">
        <v>35.06</v>
      </c>
      <c r="L2176" s="159">
        <f t="shared" si="172"/>
        <v>0.32096546411606108</v>
      </c>
      <c r="M2176" s="159">
        <f t="shared" si="172"/>
        <v>0.45012196687636413</v>
      </c>
    </row>
    <row r="2177" spans="2:13">
      <c r="B2177" t="s">
        <v>195</v>
      </c>
      <c r="C2177">
        <f t="shared" si="174"/>
        <v>50</v>
      </c>
      <c r="D2177" t="str">
        <f t="shared" si="170"/>
        <v>BASSIN TOULONNAIS50</v>
      </c>
      <c r="E2177" t="s">
        <v>196</v>
      </c>
      <c r="F2177" t="str">
        <f t="shared" si="171"/>
        <v>BASSIN TOULONNAIS50</v>
      </c>
      <c r="G2177" t="s">
        <v>257</v>
      </c>
      <c r="I2177" s="16">
        <v>76.11</v>
      </c>
      <c r="J2177" s="16">
        <v>37.340000000000003</v>
      </c>
      <c r="K2177" s="16">
        <v>7.57</v>
      </c>
      <c r="L2177" s="159">
        <f t="shared" si="172"/>
        <v>0.49060570227302591</v>
      </c>
      <c r="M2177" s="159">
        <f t="shared" si="172"/>
        <v>9.9461306004467218E-2</v>
      </c>
    </row>
    <row r="2178" spans="2:13">
      <c r="B2178" t="s">
        <v>195</v>
      </c>
      <c r="C2178">
        <f t="shared" si="174"/>
        <v>51</v>
      </c>
      <c r="D2178" t="str">
        <f t="shared" ref="D2178:D2241" si="175">CONCATENATE(E2178,C2178)</f>
        <v>BASSIN TOULONNAIS51</v>
      </c>
      <c r="E2178" t="s">
        <v>196</v>
      </c>
      <c r="F2178" t="str">
        <f t="shared" si="171"/>
        <v>BASSIN TOULONNAIS51</v>
      </c>
      <c r="G2178" t="s">
        <v>246</v>
      </c>
      <c r="H2178" t="s">
        <v>928</v>
      </c>
      <c r="I2178" s="16">
        <v>74.290000000000006</v>
      </c>
      <c r="J2178" s="16">
        <v>39.36</v>
      </c>
      <c r="K2178" s="16">
        <v>20.18</v>
      </c>
      <c r="L2178" s="159">
        <f t="shared" si="172"/>
        <v>0.529815587562256</v>
      </c>
      <c r="M2178" s="159">
        <f t="shared" si="172"/>
        <v>0.27163817472068919</v>
      </c>
    </row>
    <row r="2179" spans="2:13">
      <c r="B2179" t="s">
        <v>195</v>
      </c>
      <c r="C2179">
        <f t="shared" si="174"/>
        <v>52</v>
      </c>
      <c r="D2179" t="str">
        <f t="shared" si="175"/>
        <v>BASSIN TOULONNAIS52</v>
      </c>
      <c r="E2179" t="s">
        <v>196</v>
      </c>
      <c r="F2179" t="str">
        <f t="shared" ref="F2179:F2242" si="176">D2179</f>
        <v>BASSIN TOULONNAIS52</v>
      </c>
      <c r="G2179" t="s">
        <v>259</v>
      </c>
      <c r="I2179" s="16">
        <v>72.89</v>
      </c>
      <c r="J2179" s="16">
        <v>29.99</v>
      </c>
      <c r="K2179" s="16">
        <v>24.3</v>
      </c>
      <c r="L2179" s="159">
        <f t="shared" ref="L2179:M2242" si="177">J2179/$I2179</f>
        <v>0.41144189875154341</v>
      </c>
      <c r="M2179" s="159">
        <f t="shared" si="177"/>
        <v>0.33337906434353137</v>
      </c>
    </row>
    <row r="2180" spans="2:13">
      <c r="B2180" t="s">
        <v>195</v>
      </c>
      <c r="C2180">
        <f t="shared" si="174"/>
        <v>53</v>
      </c>
      <c r="D2180" t="str">
        <f t="shared" si="175"/>
        <v>BASSIN TOULONNAIS53</v>
      </c>
      <c r="E2180" t="s">
        <v>196</v>
      </c>
      <c r="F2180" t="str">
        <f t="shared" si="176"/>
        <v>BASSIN TOULONNAIS53</v>
      </c>
      <c r="G2180" t="s">
        <v>347</v>
      </c>
      <c r="I2180" s="16">
        <v>70.77</v>
      </c>
      <c r="J2180" s="16">
        <v>34.39</v>
      </c>
      <c r="K2180" s="16">
        <v>27.01</v>
      </c>
      <c r="L2180" s="159">
        <f t="shared" si="177"/>
        <v>0.48594037021336728</v>
      </c>
      <c r="M2180" s="159">
        <f t="shared" si="177"/>
        <v>0.38165889501201078</v>
      </c>
    </row>
    <row r="2181" spans="2:13">
      <c r="B2181" t="s">
        <v>195</v>
      </c>
      <c r="C2181">
        <f t="shared" si="174"/>
        <v>54</v>
      </c>
      <c r="D2181" t="str">
        <f t="shared" si="175"/>
        <v>BASSIN TOULONNAIS54</v>
      </c>
      <c r="E2181" t="s">
        <v>196</v>
      </c>
      <c r="F2181" t="str">
        <f t="shared" si="176"/>
        <v>BASSIN TOULONNAIS54</v>
      </c>
      <c r="G2181" t="s">
        <v>308</v>
      </c>
      <c r="I2181" s="16">
        <v>64.19</v>
      </c>
      <c r="J2181" s="16">
        <v>31.98</v>
      </c>
      <c r="K2181" s="16">
        <v>0</v>
      </c>
      <c r="L2181" s="159">
        <f t="shared" si="177"/>
        <v>0.49820844368281664</v>
      </c>
      <c r="M2181" s="159">
        <f t="shared" si="177"/>
        <v>0</v>
      </c>
    </row>
    <row r="2182" spans="2:13">
      <c r="B2182" t="s">
        <v>195</v>
      </c>
      <c r="C2182">
        <f t="shared" si="174"/>
        <v>55</v>
      </c>
      <c r="D2182" t="str">
        <f t="shared" si="175"/>
        <v>BASSIN TOULONNAIS55</v>
      </c>
      <c r="E2182" t="s">
        <v>196</v>
      </c>
      <c r="F2182" t="str">
        <f t="shared" si="176"/>
        <v>BASSIN TOULONNAIS55</v>
      </c>
      <c r="G2182" t="s">
        <v>327</v>
      </c>
      <c r="H2182" t="s">
        <v>1799</v>
      </c>
      <c r="I2182" s="16">
        <v>63.75</v>
      </c>
      <c r="J2182" s="16">
        <v>1.08</v>
      </c>
      <c r="K2182" s="16">
        <v>12.67</v>
      </c>
      <c r="L2182" s="159">
        <f t="shared" si="177"/>
        <v>1.6941176470588237E-2</v>
      </c>
      <c r="M2182" s="159">
        <f t="shared" si="177"/>
        <v>0.1987450980392157</v>
      </c>
    </row>
    <row r="2183" spans="2:13">
      <c r="B2183" t="s">
        <v>195</v>
      </c>
      <c r="C2183">
        <f t="shared" si="174"/>
        <v>56</v>
      </c>
      <c r="D2183" t="str">
        <f t="shared" si="175"/>
        <v>BASSIN TOULONNAIS56</v>
      </c>
      <c r="E2183" t="s">
        <v>196</v>
      </c>
      <c r="F2183" t="str">
        <f t="shared" si="176"/>
        <v>BASSIN TOULONNAIS56</v>
      </c>
      <c r="G2183" t="s">
        <v>304</v>
      </c>
      <c r="I2183" s="16">
        <v>62.11</v>
      </c>
      <c r="J2183" s="16">
        <v>17.57</v>
      </c>
      <c r="K2183" s="16">
        <v>0</v>
      </c>
      <c r="L2183" s="159">
        <f t="shared" si="177"/>
        <v>0.28288520367090647</v>
      </c>
      <c r="M2183" s="159">
        <f t="shared" si="177"/>
        <v>0</v>
      </c>
    </row>
    <row r="2184" spans="2:13">
      <c r="B2184" t="s">
        <v>195</v>
      </c>
      <c r="C2184">
        <f t="shared" si="174"/>
        <v>57</v>
      </c>
      <c r="D2184" t="str">
        <f t="shared" si="175"/>
        <v>BASSIN TOULONNAIS57</v>
      </c>
      <c r="E2184" t="s">
        <v>196</v>
      </c>
      <c r="F2184" t="str">
        <f t="shared" si="176"/>
        <v>BASSIN TOULONNAIS57</v>
      </c>
      <c r="G2184" t="s">
        <v>280</v>
      </c>
      <c r="I2184" s="16">
        <v>61.26</v>
      </c>
      <c r="J2184" s="16">
        <v>37.82</v>
      </c>
      <c r="K2184" s="16">
        <v>18.5</v>
      </c>
      <c r="L2184" s="159">
        <f t="shared" si="177"/>
        <v>0.61736859288279466</v>
      </c>
      <c r="M2184" s="159">
        <f t="shared" si="177"/>
        <v>0.30199151158994453</v>
      </c>
    </row>
    <row r="2185" spans="2:13">
      <c r="B2185" t="s">
        <v>195</v>
      </c>
      <c r="C2185">
        <f t="shared" si="174"/>
        <v>58</v>
      </c>
      <c r="D2185" t="str">
        <f t="shared" si="175"/>
        <v>BASSIN TOULONNAIS58</v>
      </c>
      <c r="E2185" t="s">
        <v>196</v>
      </c>
      <c r="F2185" t="str">
        <f t="shared" si="176"/>
        <v>BASSIN TOULONNAIS58</v>
      </c>
      <c r="G2185" t="s">
        <v>235</v>
      </c>
      <c r="H2185" t="s">
        <v>236</v>
      </c>
      <c r="I2185" s="16">
        <v>60.79</v>
      </c>
      <c r="J2185" s="16">
        <v>2</v>
      </c>
      <c r="K2185" s="16">
        <v>25</v>
      </c>
      <c r="L2185" s="159">
        <f t="shared" si="177"/>
        <v>3.2900148050666225E-2</v>
      </c>
      <c r="M2185" s="159">
        <f t="shared" si="177"/>
        <v>0.41125185063332786</v>
      </c>
    </row>
    <row r="2186" spans="2:13">
      <c r="B2186" t="s">
        <v>195</v>
      </c>
      <c r="C2186">
        <f t="shared" si="174"/>
        <v>59</v>
      </c>
      <c r="D2186" t="str">
        <f t="shared" si="175"/>
        <v>BASSIN TOULONNAIS59</v>
      </c>
      <c r="E2186" t="s">
        <v>196</v>
      </c>
      <c r="F2186" t="str">
        <f t="shared" si="176"/>
        <v>BASSIN TOULONNAIS59</v>
      </c>
      <c r="G2186" t="s">
        <v>247</v>
      </c>
      <c r="H2186" t="s">
        <v>248</v>
      </c>
      <c r="I2186" s="16">
        <v>59.5</v>
      </c>
      <c r="J2186" s="16">
        <v>19.38</v>
      </c>
      <c r="K2186" s="16">
        <v>1.17</v>
      </c>
      <c r="L2186" s="159">
        <f t="shared" si="177"/>
        <v>0.32571428571428568</v>
      </c>
      <c r="M2186" s="159">
        <f t="shared" si="177"/>
        <v>1.9663865546218486E-2</v>
      </c>
    </row>
    <row r="2187" spans="2:13">
      <c r="B2187" t="s">
        <v>195</v>
      </c>
      <c r="C2187">
        <f t="shared" si="174"/>
        <v>60</v>
      </c>
      <c r="D2187" t="str">
        <f t="shared" si="175"/>
        <v>BASSIN TOULONNAIS60</v>
      </c>
      <c r="E2187" t="s">
        <v>196</v>
      </c>
      <c r="F2187" t="str">
        <f t="shared" si="176"/>
        <v>BASSIN TOULONNAIS60</v>
      </c>
      <c r="G2187" t="s">
        <v>362</v>
      </c>
      <c r="H2187" t="s">
        <v>943</v>
      </c>
      <c r="I2187" s="16">
        <v>56.68</v>
      </c>
      <c r="J2187" s="16">
        <v>2.23</v>
      </c>
      <c r="K2187" s="16">
        <v>0</v>
      </c>
      <c r="L2187" s="159">
        <f t="shared" si="177"/>
        <v>3.9343683839096685E-2</v>
      </c>
      <c r="M2187" s="159">
        <f t="shared" si="177"/>
        <v>0</v>
      </c>
    </row>
    <row r="2188" spans="2:13">
      <c r="B2188" t="s">
        <v>195</v>
      </c>
      <c r="C2188">
        <f t="shared" si="174"/>
        <v>61</v>
      </c>
      <c r="D2188" t="str">
        <f t="shared" si="175"/>
        <v>BASSIN TOULONNAIS61</v>
      </c>
      <c r="E2188" t="s">
        <v>196</v>
      </c>
      <c r="F2188" t="str">
        <f t="shared" si="176"/>
        <v>BASSIN TOULONNAIS61</v>
      </c>
      <c r="G2188" t="s">
        <v>290</v>
      </c>
      <c r="H2188" t="s">
        <v>291</v>
      </c>
      <c r="I2188" s="16">
        <v>49.86</v>
      </c>
      <c r="J2188" s="16">
        <v>30.11</v>
      </c>
      <c r="K2188" s="16">
        <v>0</v>
      </c>
      <c r="L2188" s="159">
        <f t="shared" si="177"/>
        <v>0.60389089450461286</v>
      </c>
      <c r="M2188" s="159">
        <f t="shared" si="177"/>
        <v>0</v>
      </c>
    </row>
    <row r="2189" spans="2:13">
      <c r="B2189" t="s">
        <v>195</v>
      </c>
      <c r="C2189">
        <f t="shared" si="174"/>
        <v>62</v>
      </c>
      <c r="D2189" t="str">
        <f t="shared" si="175"/>
        <v>BASSIN TOULONNAIS62</v>
      </c>
      <c r="E2189" t="s">
        <v>196</v>
      </c>
      <c r="F2189" t="str">
        <f t="shared" si="176"/>
        <v>BASSIN TOULONNAIS62</v>
      </c>
      <c r="G2189" t="s">
        <v>310</v>
      </c>
      <c r="I2189" s="16">
        <v>48.92</v>
      </c>
      <c r="J2189" s="16">
        <v>23.92</v>
      </c>
      <c r="K2189" s="16">
        <v>0</v>
      </c>
      <c r="L2189" s="159">
        <f t="shared" si="177"/>
        <v>0.48896156991005724</v>
      </c>
      <c r="M2189" s="159">
        <f t="shared" si="177"/>
        <v>0</v>
      </c>
    </row>
    <row r="2190" spans="2:13">
      <c r="B2190" t="s">
        <v>195</v>
      </c>
      <c r="C2190">
        <f t="shared" si="174"/>
        <v>63</v>
      </c>
      <c r="D2190" t="str">
        <f t="shared" si="175"/>
        <v>BASSIN TOULONNAIS63</v>
      </c>
      <c r="E2190" t="s">
        <v>196</v>
      </c>
      <c r="F2190" t="str">
        <f t="shared" si="176"/>
        <v>BASSIN TOULONNAIS63</v>
      </c>
      <c r="G2190" t="s">
        <v>407</v>
      </c>
      <c r="I2190" s="16">
        <v>48.48</v>
      </c>
      <c r="J2190" s="16">
        <v>45.68</v>
      </c>
      <c r="K2190" s="16">
        <v>15.42</v>
      </c>
      <c r="L2190" s="159">
        <f t="shared" si="177"/>
        <v>0.94224422442244227</v>
      </c>
      <c r="M2190" s="159">
        <f t="shared" si="177"/>
        <v>0.31806930693069307</v>
      </c>
    </row>
    <row r="2191" spans="2:13">
      <c r="B2191" t="s">
        <v>195</v>
      </c>
      <c r="C2191">
        <f t="shared" si="174"/>
        <v>64</v>
      </c>
      <c r="D2191" t="str">
        <f t="shared" si="175"/>
        <v>BASSIN TOULONNAIS64</v>
      </c>
      <c r="E2191" t="s">
        <v>196</v>
      </c>
      <c r="F2191" t="str">
        <f t="shared" si="176"/>
        <v>BASSIN TOULONNAIS64</v>
      </c>
      <c r="G2191" t="s">
        <v>302</v>
      </c>
      <c r="I2191" s="16">
        <v>48.3</v>
      </c>
      <c r="J2191" s="16">
        <v>6.23</v>
      </c>
      <c r="K2191" s="16">
        <v>36.65</v>
      </c>
      <c r="L2191" s="159">
        <f t="shared" si="177"/>
        <v>0.12898550724637683</v>
      </c>
      <c r="M2191" s="159">
        <f t="shared" si="177"/>
        <v>0.75879917184265011</v>
      </c>
    </row>
    <row r="2192" spans="2:13">
      <c r="B2192" t="s">
        <v>195</v>
      </c>
      <c r="C2192">
        <f t="shared" si="174"/>
        <v>65</v>
      </c>
      <c r="D2192" t="str">
        <f t="shared" si="175"/>
        <v>BASSIN TOULONNAIS65</v>
      </c>
      <c r="E2192" t="s">
        <v>196</v>
      </c>
      <c r="F2192" t="str">
        <f t="shared" si="176"/>
        <v>BASSIN TOULONNAIS65</v>
      </c>
      <c r="G2192" t="s">
        <v>326</v>
      </c>
      <c r="I2192" s="16">
        <v>46.6</v>
      </c>
      <c r="J2192" s="16">
        <v>26.92</v>
      </c>
      <c r="K2192" s="16">
        <v>1</v>
      </c>
      <c r="L2192" s="159">
        <f t="shared" si="177"/>
        <v>0.57768240343347643</v>
      </c>
      <c r="M2192" s="159">
        <f t="shared" si="177"/>
        <v>2.1459227467811159E-2</v>
      </c>
    </row>
    <row r="2193" spans="2:13">
      <c r="B2193" t="s">
        <v>195</v>
      </c>
      <c r="C2193">
        <f t="shared" ref="C2193:C2224" si="178">RANK(I2193,$I$2128:$I$2280,0)</f>
        <v>66</v>
      </c>
      <c r="D2193" t="str">
        <f t="shared" si="175"/>
        <v>BASSIN TOULONNAIS66</v>
      </c>
      <c r="E2193" t="s">
        <v>196</v>
      </c>
      <c r="F2193" t="str">
        <f t="shared" si="176"/>
        <v>BASSIN TOULONNAIS66</v>
      </c>
      <c r="G2193" t="s">
        <v>287</v>
      </c>
      <c r="I2193" s="16">
        <v>45.95</v>
      </c>
      <c r="J2193" s="16">
        <v>4.46</v>
      </c>
      <c r="K2193" s="16">
        <v>0</v>
      </c>
      <c r="L2193" s="159">
        <f t="shared" si="177"/>
        <v>9.7062023939064199E-2</v>
      </c>
      <c r="M2193" s="159">
        <f t="shared" si="177"/>
        <v>0</v>
      </c>
    </row>
    <row r="2194" spans="2:13">
      <c r="B2194" t="s">
        <v>195</v>
      </c>
      <c r="C2194">
        <f t="shared" si="178"/>
        <v>67</v>
      </c>
      <c r="D2194" t="str">
        <f t="shared" si="175"/>
        <v>BASSIN TOULONNAIS67</v>
      </c>
      <c r="E2194" t="s">
        <v>196</v>
      </c>
      <c r="F2194" t="str">
        <f t="shared" si="176"/>
        <v>BASSIN TOULONNAIS67</v>
      </c>
      <c r="G2194" t="s">
        <v>305</v>
      </c>
      <c r="H2194" t="s">
        <v>937</v>
      </c>
      <c r="I2194" s="16">
        <v>42.98</v>
      </c>
      <c r="J2194" s="16">
        <v>38.39</v>
      </c>
      <c r="K2194" s="16">
        <v>6.18</v>
      </c>
      <c r="L2194" s="159">
        <f t="shared" si="177"/>
        <v>0.89320614239181018</v>
      </c>
      <c r="M2194" s="159">
        <f t="shared" si="177"/>
        <v>0.14378780828292229</v>
      </c>
    </row>
    <row r="2195" spans="2:13">
      <c r="B2195" t="s">
        <v>195</v>
      </c>
      <c r="C2195">
        <f t="shared" si="178"/>
        <v>68</v>
      </c>
      <c r="D2195" t="str">
        <f t="shared" si="175"/>
        <v>BASSIN TOULONNAIS68</v>
      </c>
      <c r="E2195" t="s">
        <v>196</v>
      </c>
      <c r="F2195" t="str">
        <f t="shared" si="176"/>
        <v>BASSIN TOULONNAIS68</v>
      </c>
      <c r="G2195" t="s">
        <v>341</v>
      </c>
      <c r="I2195" s="16">
        <v>42.21</v>
      </c>
      <c r="J2195" s="16">
        <v>16.16</v>
      </c>
      <c r="K2195" s="16">
        <v>0</v>
      </c>
      <c r="L2195" s="159">
        <f t="shared" si="177"/>
        <v>0.38284766642975598</v>
      </c>
      <c r="M2195" s="159">
        <f t="shared" si="177"/>
        <v>0</v>
      </c>
    </row>
    <row r="2196" spans="2:13">
      <c r="B2196" t="s">
        <v>195</v>
      </c>
      <c r="C2196">
        <f t="shared" si="178"/>
        <v>69</v>
      </c>
      <c r="D2196" t="str">
        <f t="shared" si="175"/>
        <v>BASSIN TOULONNAIS69</v>
      </c>
      <c r="E2196" t="s">
        <v>196</v>
      </c>
      <c r="F2196" t="str">
        <f t="shared" si="176"/>
        <v>BASSIN TOULONNAIS69</v>
      </c>
      <c r="G2196" t="s">
        <v>437</v>
      </c>
      <c r="I2196" s="16">
        <v>42.08</v>
      </c>
      <c r="J2196" s="16">
        <v>42.08</v>
      </c>
      <c r="K2196" s="16">
        <v>42.08</v>
      </c>
      <c r="L2196" s="159">
        <f t="shared" si="177"/>
        <v>1</v>
      </c>
      <c r="M2196" s="159">
        <f t="shared" si="177"/>
        <v>1</v>
      </c>
    </row>
    <row r="2197" spans="2:13">
      <c r="B2197" t="s">
        <v>195</v>
      </c>
      <c r="C2197">
        <f t="shared" si="178"/>
        <v>70</v>
      </c>
      <c r="D2197" t="str">
        <f t="shared" si="175"/>
        <v>BASSIN TOULONNAIS70</v>
      </c>
      <c r="E2197" t="s">
        <v>196</v>
      </c>
      <c r="F2197" t="str">
        <f t="shared" si="176"/>
        <v>BASSIN TOULONNAIS70</v>
      </c>
      <c r="G2197" t="s">
        <v>340</v>
      </c>
      <c r="H2197" t="s">
        <v>945</v>
      </c>
      <c r="I2197" s="16">
        <v>41.82</v>
      </c>
      <c r="J2197" s="16">
        <v>13.44</v>
      </c>
      <c r="K2197" s="16">
        <v>0</v>
      </c>
      <c r="L2197" s="159">
        <f t="shared" si="177"/>
        <v>0.321377331420373</v>
      </c>
      <c r="M2197" s="159">
        <f t="shared" si="177"/>
        <v>0</v>
      </c>
    </row>
    <row r="2198" spans="2:13">
      <c r="B2198" t="s">
        <v>195</v>
      </c>
      <c r="C2198">
        <f t="shared" si="178"/>
        <v>71</v>
      </c>
      <c r="D2198" t="str">
        <f t="shared" si="175"/>
        <v>BASSIN TOULONNAIS71</v>
      </c>
      <c r="E2198" t="s">
        <v>196</v>
      </c>
      <c r="F2198" t="str">
        <f t="shared" si="176"/>
        <v>BASSIN TOULONNAIS71</v>
      </c>
      <c r="G2198" t="s">
        <v>336</v>
      </c>
      <c r="H2198" t="s">
        <v>941</v>
      </c>
      <c r="I2198" s="16">
        <v>41.46</v>
      </c>
      <c r="J2198" s="16">
        <v>24.23</v>
      </c>
      <c r="K2198" s="16">
        <v>0</v>
      </c>
      <c r="L2198" s="159">
        <f t="shared" si="177"/>
        <v>0.58441871683550406</v>
      </c>
      <c r="M2198" s="159">
        <f t="shared" si="177"/>
        <v>0</v>
      </c>
    </row>
    <row r="2199" spans="2:13">
      <c r="B2199" t="s">
        <v>195</v>
      </c>
      <c r="C2199">
        <f t="shared" si="178"/>
        <v>72</v>
      </c>
      <c r="D2199" t="str">
        <f t="shared" si="175"/>
        <v>BASSIN TOULONNAIS72</v>
      </c>
      <c r="E2199" t="s">
        <v>196</v>
      </c>
      <c r="F2199" t="str">
        <f t="shared" si="176"/>
        <v>BASSIN TOULONNAIS72</v>
      </c>
      <c r="G2199" t="s">
        <v>284</v>
      </c>
      <c r="I2199" s="16">
        <v>41.4</v>
      </c>
      <c r="J2199" s="16">
        <v>29</v>
      </c>
      <c r="K2199" s="16">
        <v>0</v>
      </c>
      <c r="L2199" s="159">
        <f t="shared" si="177"/>
        <v>0.70048309178743962</v>
      </c>
      <c r="M2199" s="159">
        <f t="shared" si="177"/>
        <v>0</v>
      </c>
    </row>
    <row r="2200" spans="2:13">
      <c r="B2200" t="s">
        <v>195</v>
      </c>
      <c r="C2200">
        <f t="shared" si="178"/>
        <v>73</v>
      </c>
      <c r="D2200" t="str">
        <f t="shared" si="175"/>
        <v>BASSIN TOULONNAIS73</v>
      </c>
      <c r="E2200" t="s">
        <v>196</v>
      </c>
      <c r="F2200" t="str">
        <f t="shared" si="176"/>
        <v>BASSIN TOULONNAIS73</v>
      </c>
      <c r="G2200" t="s">
        <v>251</v>
      </c>
      <c r="H2200" t="s">
        <v>929</v>
      </c>
      <c r="I2200" s="16">
        <v>40.78</v>
      </c>
      <c r="J2200" s="16">
        <v>31.46</v>
      </c>
      <c r="K2200" s="16">
        <v>16.78</v>
      </c>
      <c r="L2200" s="159">
        <f t="shared" si="177"/>
        <v>0.77145659637077002</v>
      </c>
      <c r="M2200" s="159">
        <f t="shared" si="177"/>
        <v>0.41147621383030897</v>
      </c>
    </row>
    <row r="2201" spans="2:13">
      <c r="B2201" t="s">
        <v>195</v>
      </c>
      <c r="C2201">
        <f t="shared" si="178"/>
        <v>74</v>
      </c>
      <c r="D2201" t="str">
        <f t="shared" si="175"/>
        <v>BASSIN TOULONNAIS74</v>
      </c>
      <c r="E2201" t="s">
        <v>196</v>
      </c>
      <c r="F2201" t="str">
        <f t="shared" si="176"/>
        <v>BASSIN TOULONNAIS74</v>
      </c>
      <c r="G2201" t="s">
        <v>266</v>
      </c>
      <c r="H2201" t="s">
        <v>267</v>
      </c>
      <c r="I2201" s="16">
        <v>40.130000000000003</v>
      </c>
      <c r="J2201" s="16">
        <v>18.16</v>
      </c>
      <c r="K2201" s="16">
        <v>5.96</v>
      </c>
      <c r="L2201" s="159">
        <f t="shared" si="177"/>
        <v>0.45252927984051827</v>
      </c>
      <c r="M2201" s="159">
        <f t="shared" si="177"/>
        <v>0.14851731871417892</v>
      </c>
    </row>
    <row r="2202" spans="2:13">
      <c r="B2202" t="s">
        <v>195</v>
      </c>
      <c r="C2202">
        <f t="shared" si="178"/>
        <v>75</v>
      </c>
      <c r="D2202" t="str">
        <f t="shared" si="175"/>
        <v>BASSIN TOULONNAIS75</v>
      </c>
      <c r="E2202" t="s">
        <v>196</v>
      </c>
      <c r="F2202" t="str">
        <f t="shared" si="176"/>
        <v>BASSIN TOULONNAIS75</v>
      </c>
      <c r="G2202" t="s">
        <v>318</v>
      </c>
      <c r="I2202" s="16">
        <v>37.630000000000003</v>
      </c>
      <c r="J2202" s="16">
        <v>35.630000000000003</v>
      </c>
      <c r="K2202" s="16">
        <v>0</v>
      </c>
      <c r="L2202" s="159">
        <f t="shared" si="177"/>
        <v>0.94685091682168487</v>
      </c>
      <c r="M2202" s="159">
        <f t="shared" si="177"/>
        <v>0</v>
      </c>
    </row>
    <row r="2203" spans="2:13">
      <c r="B2203" t="s">
        <v>195</v>
      </c>
      <c r="C2203">
        <f t="shared" si="178"/>
        <v>76</v>
      </c>
      <c r="D2203" t="str">
        <f t="shared" si="175"/>
        <v>BASSIN TOULONNAIS76</v>
      </c>
      <c r="E2203" t="s">
        <v>196</v>
      </c>
      <c r="F2203" t="str">
        <f t="shared" si="176"/>
        <v>BASSIN TOULONNAIS76</v>
      </c>
      <c r="G2203" t="s">
        <v>295</v>
      </c>
      <c r="I2203" s="16">
        <v>36.729999999999997</v>
      </c>
      <c r="J2203" s="16">
        <v>0</v>
      </c>
      <c r="K2203" s="16">
        <v>36.729999999999997</v>
      </c>
      <c r="L2203" s="159">
        <f t="shared" si="177"/>
        <v>0</v>
      </c>
      <c r="M2203" s="159">
        <f t="shared" si="177"/>
        <v>1</v>
      </c>
    </row>
    <row r="2204" spans="2:13">
      <c r="B2204" t="s">
        <v>195</v>
      </c>
      <c r="C2204">
        <f t="shared" si="178"/>
        <v>77</v>
      </c>
      <c r="D2204" t="str">
        <f t="shared" si="175"/>
        <v>BASSIN TOULONNAIS77</v>
      </c>
      <c r="E2204" t="s">
        <v>196</v>
      </c>
      <c r="F2204" t="str">
        <f t="shared" si="176"/>
        <v>BASSIN TOULONNAIS77</v>
      </c>
      <c r="G2204" t="s">
        <v>278</v>
      </c>
      <c r="H2204" t="s">
        <v>934</v>
      </c>
      <c r="I2204" s="16">
        <v>36.54</v>
      </c>
      <c r="J2204" s="16">
        <v>0</v>
      </c>
      <c r="K2204" s="16">
        <v>18.73</v>
      </c>
      <c r="L2204" s="159">
        <f t="shared" si="177"/>
        <v>0</v>
      </c>
      <c r="M2204" s="159">
        <f t="shared" si="177"/>
        <v>0.51258894362342644</v>
      </c>
    </row>
    <row r="2205" spans="2:13">
      <c r="B2205" t="s">
        <v>195</v>
      </c>
      <c r="C2205">
        <f t="shared" si="178"/>
        <v>78</v>
      </c>
      <c r="D2205" t="str">
        <f t="shared" si="175"/>
        <v>BASSIN TOULONNAIS78</v>
      </c>
      <c r="E2205" t="s">
        <v>196</v>
      </c>
      <c r="F2205" t="str">
        <f t="shared" si="176"/>
        <v>BASSIN TOULONNAIS78</v>
      </c>
      <c r="G2205" t="s">
        <v>417</v>
      </c>
      <c r="I2205" s="16">
        <v>35.630000000000003</v>
      </c>
      <c r="J2205" s="16">
        <v>28.97</v>
      </c>
      <c r="K2205" s="16">
        <v>0</v>
      </c>
      <c r="L2205" s="159">
        <f t="shared" si="177"/>
        <v>0.81307886612405267</v>
      </c>
      <c r="M2205" s="159">
        <f t="shared" si="177"/>
        <v>0</v>
      </c>
    </row>
    <row r="2206" spans="2:13">
      <c r="B2206" t="s">
        <v>195</v>
      </c>
      <c r="C2206">
        <f t="shared" si="178"/>
        <v>79</v>
      </c>
      <c r="D2206" t="str">
        <f t="shared" si="175"/>
        <v>BASSIN TOULONNAIS79</v>
      </c>
      <c r="E2206" t="s">
        <v>196</v>
      </c>
      <c r="F2206" t="str">
        <f t="shared" si="176"/>
        <v>BASSIN TOULONNAIS79</v>
      </c>
      <c r="G2206" t="s">
        <v>393</v>
      </c>
      <c r="I2206" s="16">
        <v>33.99</v>
      </c>
      <c r="J2206" s="16">
        <v>0</v>
      </c>
      <c r="K2206" s="16">
        <v>0</v>
      </c>
      <c r="L2206" s="159">
        <f t="shared" si="177"/>
        <v>0</v>
      </c>
      <c r="M2206" s="159">
        <f t="shared" si="177"/>
        <v>0</v>
      </c>
    </row>
    <row r="2207" spans="2:13">
      <c r="B2207" t="s">
        <v>195</v>
      </c>
      <c r="C2207">
        <f t="shared" si="178"/>
        <v>80</v>
      </c>
      <c r="D2207" t="str">
        <f t="shared" si="175"/>
        <v>BASSIN TOULONNAIS80</v>
      </c>
      <c r="E2207" t="s">
        <v>196</v>
      </c>
      <c r="F2207" t="str">
        <f t="shared" si="176"/>
        <v>BASSIN TOULONNAIS80</v>
      </c>
      <c r="G2207" t="s">
        <v>245</v>
      </c>
      <c r="I2207" s="16">
        <v>33.78</v>
      </c>
      <c r="J2207" s="16">
        <v>23.21</v>
      </c>
      <c r="K2207" s="16">
        <v>33.78</v>
      </c>
      <c r="L2207" s="159">
        <f t="shared" si="177"/>
        <v>0.68709295441089402</v>
      </c>
      <c r="M2207" s="159">
        <f t="shared" si="177"/>
        <v>1</v>
      </c>
    </row>
    <row r="2208" spans="2:13">
      <c r="B2208" t="s">
        <v>195</v>
      </c>
      <c r="C2208">
        <f t="shared" si="178"/>
        <v>81</v>
      </c>
      <c r="D2208" t="str">
        <f t="shared" si="175"/>
        <v>BASSIN TOULONNAIS81</v>
      </c>
      <c r="E2208" t="s">
        <v>196</v>
      </c>
      <c r="F2208" t="str">
        <f t="shared" si="176"/>
        <v>BASSIN TOULONNAIS81</v>
      </c>
      <c r="G2208" t="s">
        <v>386</v>
      </c>
      <c r="I2208" s="16">
        <v>30.05</v>
      </c>
      <c r="J2208" s="16">
        <v>12.22</v>
      </c>
      <c r="K2208" s="16">
        <v>27.09</v>
      </c>
      <c r="L2208" s="159">
        <f t="shared" si="177"/>
        <v>0.40665557404326125</v>
      </c>
      <c r="M2208" s="159">
        <f t="shared" si="177"/>
        <v>0.90149750415973373</v>
      </c>
    </row>
    <row r="2209" spans="2:13">
      <c r="B2209" t="s">
        <v>195</v>
      </c>
      <c r="C2209">
        <f t="shared" si="178"/>
        <v>82</v>
      </c>
      <c r="D2209" t="str">
        <f t="shared" si="175"/>
        <v>BASSIN TOULONNAIS82</v>
      </c>
      <c r="E2209" t="s">
        <v>196</v>
      </c>
      <c r="F2209" t="str">
        <f t="shared" si="176"/>
        <v>BASSIN TOULONNAIS82</v>
      </c>
      <c r="G2209" t="s">
        <v>373</v>
      </c>
      <c r="I2209" s="16">
        <v>29.52</v>
      </c>
      <c r="J2209" s="16">
        <v>17.510000000000002</v>
      </c>
      <c r="K2209" s="16">
        <v>28.35</v>
      </c>
      <c r="L2209" s="159">
        <f t="shared" si="177"/>
        <v>0.59315718157181574</v>
      </c>
      <c r="M2209" s="159">
        <f t="shared" si="177"/>
        <v>0.96036585365853666</v>
      </c>
    </row>
    <row r="2210" spans="2:13">
      <c r="B2210" t="s">
        <v>195</v>
      </c>
      <c r="C2210">
        <f t="shared" si="178"/>
        <v>83</v>
      </c>
      <c r="D2210" t="str">
        <f t="shared" si="175"/>
        <v>BASSIN TOULONNAIS83</v>
      </c>
      <c r="E2210" t="s">
        <v>196</v>
      </c>
      <c r="F2210" t="str">
        <f t="shared" si="176"/>
        <v>BASSIN TOULONNAIS83</v>
      </c>
      <c r="G2210" t="s">
        <v>378</v>
      </c>
      <c r="I2210" s="16">
        <v>29.47</v>
      </c>
      <c r="J2210" s="16">
        <v>17.71</v>
      </c>
      <c r="K2210" s="16">
        <v>24.28</v>
      </c>
      <c r="L2210" s="159">
        <f t="shared" si="177"/>
        <v>0.60095011876484561</v>
      </c>
      <c r="M2210" s="159">
        <f t="shared" si="177"/>
        <v>0.82388870037326101</v>
      </c>
    </row>
    <row r="2211" spans="2:13">
      <c r="B2211" t="s">
        <v>195</v>
      </c>
      <c r="C2211">
        <f t="shared" si="178"/>
        <v>84</v>
      </c>
      <c r="D2211" t="str">
        <f t="shared" si="175"/>
        <v>BASSIN TOULONNAIS84</v>
      </c>
      <c r="E2211" t="s">
        <v>196</v>
      </c>
      <c r="F2211" t="str">
        <f t="shared" si="176"/>
        <v>BASSIN TOULONNAIS84</v>
      </c>
      <c r="G2211" t="s">
        <v>297</v>
      </c>
      <c r="I2211" s="16">
        <v>29.23</v>
      </c>
      <c r="J2211" s="16">
        <v>29.23</v>
      </c>
      <c r="K2211" s="16">
        <v>12.99</v>
      </c>
      <c r="L2211" s="159">
        <f t="shared" si="177"/>
        <v>1</v>
      </c>
      <c r="M2211" s="159">
        <f t="shared" si="177"/>
        <v>0.44440643174820388</v>
      </c>
    </row>
    <row r="2212" spans="2:13">
      <c r="B2212" t="s">
        <v>195</v>
      </c>
      <c r="C2212">
        <f t="shared" si="178"/>
        <v>85</v>
      </c>
      <c r="D2212" t="str">
        <f t="shared" si="175"/>
        <v>BASSIN TOULONNAIS85</v>
      </c>
      <c r="E2212" t="s">
        <v>196</v>
      </c>
      <c r="F2212" t="str">
        <f t="shared" si="176"/>
        <v>BASSIN TOULONNAIS85</v>
      </c>
      <c r="G2212" t="s">
        <v>261</v>
      </c>
      <c r="I2212" s="16">
        <v>27.18</v>
      </c>
      <c r="J2212" s="16">
        <v>4</v>
      </c>
      <c r="K2212" s="16">
        <v>21.18</v>
      </c>
      <c r="L2212" s="159">
        <f t="shared" si="177"/>
        <v>0.14716703458425312</v>
      </c>
      <c r="M2212" s="159">
        <f t="shared" si="177"/>
        <v>0.77924944812362029</v>
      </c>
    </row>
    <row r="2213" spans="2:13">
      <c r="B2213" t="s">
        <v>195</v>
      </c>
      <c r="C2213">
        <f t="shared" si="178"/>
        <v>86</v>
      </c>
      <c r="D2213" t="str">
        <f t="shared" si="175"/>
        <v>BASSIN TOULONNAIS86</v>
      </c>
      <c r="E2213" t="s">
        <v>196</v>
      </c>
      <c r="F2213" t="str">
        <f t="shared" si="176"/>
        <v>BASSIN TOULONNAIS86</v>
      </c>
      <c r="G2213" t="s">
        <v>363</v>
      </c>
      <c r="I2213" s="16">
        <v>26.04</v>
      </c>
      <c r="J2213" s="16">
        <v>16.63</v>
      </c>
      <c r="K2213" s="16">
        <v>0</v>
      </c>
      <c r="L2213" s="159">
        <f t="shared" si="177"/>
        <v>0.63863287250384027</v>
      </c>
      <c r="M2213" s="159">
        <f t="shared" si="177"/>
        <v>0</v>
      </c>
    </row>
    <row r="2214" spans="2:13">
      <c r="B2214" t="s">
        <v>195</v>
      </c>
      <c r="C2214">
        <f t="shared" si="178"/>
        <v>87</v>
      </c>
      <c r="D2214" t="str">
        <f t="shared" si="175"/>
        <v>BASSIN TOULONNAIS87</v>
      </c>
      <c r="E2214" t="s">
        <v>196</v>
      </c>
      <c r="F2214" t="str">
        <f t="shared" si="176"/>
        <v>BASSIN TOULONNAIS87</v>
      </c>
      <c r="G2214" t="s">
        <v>346</v>
      </c>
      <c r="I2214" s="16">
        <v>25.97</v>
      </c>
      <c r="J2214" s="16">
        <v>23.97</v>
      </c>
      <c r="K2214" s="16">
        <v>7.42</v>
      </c>
      <c r="L2214" s="159">
        <f t="shared" si="177"/>
        <v>0.92298806314978821</v>
      </c>
      <c r="M2214" s="159">
        <f t="shared" si="177"/>
        <v>0.2857142857142857</v>
      </c>
    </row>
    <row r="2215" spans="2:13">
      <c r="B2215" t="s">
        <v>195</v>
      </c>
      <c r="C2215">
        <f t="shared" si="178"/>
        <v>88</v>
      </c>
      <c r="D2215" t="str">
        <f t="shared" si="175"/>
        <v>BASSIN TOULONNAIS88</v>
      </c>
      <c r="E2215" t="s">
        <v>196</v>
      </c>
      <c r="F2215" t="str">
        <f t="shared" si="176"/>
        <v>BASSIN TOULONNAIS88</v>
      </c>
      <c r="G2215" t="s">
        <v>272</v>
      </c>
      <c r="I2215" s="16">
        <v>25.96</v>
      </c>
      <c r="J2215" s="16">
        <v>1</v>
      </c>
      <c r="K2215" s="16">
        <v>20.62</v>
      </c>
      <c r="L2215" s="159">
        <f t="shared" si="177"/>
        <v>3.8520801232665637E-2</v>
      </c>
      <c r="M2215" s="159">
        <f t="shared" si="177"/>
        <v>0.79429892141756553</v>
      </c>
    </row>
    <row r="2216" spans="2:13">
      <c r="B2216" t="s">
        <v>195</v>
      </c>
      <c r="C2216">
        <f t="shared" si="178"/>
        <v>88</v>
      </c>
      <c r="D2216" t="str">
        <f t="shared" si="175"/>
        <v>BASSIN TOULONNAIS88</v>
      </c>
      <c r="E2216" t="s">
        <v>196</v>
      </c>
      <c r="F2216" t="str">
        <f t="shared" si="176"/>
        <v>BASSIN TOULONNAIS88</v>
      </c>
      <c r="G2216" t="s">
        <v>418</v>
      </c>
      <c r="I2216" s="16">
        <v>25.96</v>
      </c>
      <c r="J2216" s="16">
        <v>25.96</v>
      </c>
      <c r="K2216" s="16">
        <v>0</v>
      </c>
      <c r="L2216" s="159">
        <f t="shared" si="177"/>
        <v>1</v>
      </c>
      <c r="M2216" s="159">
        <f t="shared" si="177"/>
        <v>0</v>
      </c>
    </row>
    <row r="2217" spans="2:13">
      <c r="B2217" t="s">
        <v>195</v>
      </c>
      <c r="C2217">
        <f t="shared" si="178"/>
        <v>90</v>
      </c>
      <c r="D2217" t="str">
        <f t="shared" si="175"/>
        <v>BASSIN TOULONNAIS90</v>
      </c>
      <c r="E2217" t="s">
        <v>196</v>
      </c>
      <c r="F2217" t="str">
        <f t="shared" si="176"/>
        <v>BASSIN TOULONNAIS90</v>
      </c>
      <c r="G2217" t="s">
        <v>357</v>
      </c>
      <c r="I2217" s="16">
        <v>25.47</v>
      </c>
      <c r="J2217" s="16">
        <v>0</v>
      </c>
      <c r="K2217" s="16">
        <v>0</v>
      </c>
      <c r="L2217" s="159">
        <f t="shared" si="177"/>
        <v>0</v>
      </c>
      <c r="M2217" s="159">
        <f t="shared" si="177"/>
        <v>0</v>
      </c>
    </row>
    <row r="2218" spans="2:13">
      <c r="B2218" t="s">
        <v>195</v>
      </c>
      <c r="C2218">
        <f t="shared" si="178"/>
        <v>91</v>
      </c>
      <c r="D2218" t="str">
        <f t="shared" si="175"/>
        <v>BASSIN TOULONNAIS91</v>
      </c>
      <c r="E2218" t="s">
        <v>196</v>
      </c>
      <c r="F2218" t="str">
        <f t="shared" si="176"/>
        <v>BASSIN TOULONNAIS91</v>
      </c>
      <c r="G2218" t="s">
        <v>374</v>
      </c>
      <c r="I2218" s="16">
        <v>25.36</v>
      </c>
      <c r="J2218" s="16">
        <v>4.2300000000000004</v>
      </c>
      <c r="K2218" s="16">
        <v>0</v>
      </c>
      <c r="L2218" s="159">
        <f t="shared" si="177"/>
        <v>0.16679810725552052</v>
      </c>
      <c r="M2218" s="159">
        <f t="shared" si="177"/>
        <v>0</v>
      </c>
    </row>
    <row r="2219" spans="2:13">
      <c r="B2219" t="s">
        <v>195</v>
      </c>
      <c r="C2219">
        <f t="shared" si="178"/>
        <v>92</v>
      </c>
      <c r="D2219" t="str">
        <f t="shared" si="175"/>
        <v>BASSIN TOULONNAIS92</v>
      </c>
      <c r="E2219" t="s">
        <v>196</v>
      </c>
      <c r="F2219" t="str">
        <f t="shared" si="176"/>
        <v>BASSIN TOULONNAIS92</v>
      </c>
      <c r="G2219" t="s">
        <v>396</v>
      </c>
      <c r="I2219" s="16">
        <v>25.24</v>
      </c>
      <c r="J2219" s="16">
        <v>10.82</v>
      </c>
      <c r="K2219" s="16">
        <v>0</v>
      </c>
      <c r="L2219" s="159">
        <f t="shared" si="177"/>
        <v>0.42868462757527737</v>
      </c>
      <c r="M2219" s="159">
        <f t="shared" si="177"/>
        <v>0</v>
      </c>
    </row>
    <row r="2220" spans="2:13">
      <c r="B2220" t="s">
        <v>195</v>
      </c>
      <c r="C2220">
        <f t="shared" si="178"/>
        <v>93</v>
      </c>
      <c r="D2220" t="str">
        <f t="shared" si="175"/>
        <v>BASSIN TOULONNAIS93</v>
      </c>
      <c r="E2220" t="s">
        <v>196</v>
      </c>
      <c r="F2220" t="str">
        <f t="shared" si="176"/>
        <v>BASSIN TOULONNAIS93</v>
      </c>
      <c r="G2220" t="s">
        <v>321</v>
      </c>
      <c r="I2220" s="16">
        <v>25.17</v>
      </c>
      <c r="J2220" s="16">
        <v>0</v>
      </c>
      <c r="K2220" s="16">
        <v>10.78</v>
      </c>
      <c r="L2220" s="159">
        <f t="shared" si="177"/>
        <v>0</v>
      </c>
      <c r="M2220" s="159">
        <f t="shared" si="177"/>
        <v>0.42828764402065944</v>
      </c>
    </row>
    <row r="2221" spans="2:13">
      <c r="B2221" t="s">
        <v>195</v>
      </c>
      <c r="C2221">
        <f t="shared" si="178"/>
        <v>94</v>
      </c>
      <c r="D2221" t="str">
        <f t="shared" si="175"/>
        <v>BASSIN TOULONNAIS94</v>
      </c>
      <c r="E2221" t="s">
        <v>196</v>
      </c>
      <c r="F2221" t="str">
        <f t="shared" si="176"/>
        <v>BASSIN TOULONNAIS94</v>
      </c>
      <c r="G2221" t="s">
        <v>282</v>
      </c>
      <c r="H2221" t="s">
        <v>920</v>
      </c>
      <c r="I2221" s="16">
        <v>25.15</v>
      </c>
      <c r="J2221" s="16">
        <v>19.29</v>
      </c>
      <c r="K2221" s="16">
        <v>2.4300000000000002</v>
      </c>
      <c r="L2221" s="159">
        <f t="shared" si="177"/>
        <v>0.76699801192842942</v>
      </c>
      <c r="M2221" s="159">
        <f t="shared" si="177"/>
        <v>9.662027833001989E-2</v>
      </c>
    </row>
    <row r="2222" spans="2:13">
      <c r="B2222" t="s">
        <v>195</v>
      </c>
      <c r="C2222">
        <f t="shared" si="178"/>
        <v>95</v>
      </c>
      <c r="D2222" t="str">
        <f t="shared" si="175"/>
        <v>BASSIN TOULONNAIS95</v>
      </c>
      <c r="E2222" t="s">
        <v>196</v>
      </c>
      <c r="F2222" t="str">
        <f t="shared" si="176"/>
        <v>BASSIN TOULONNAIS95</v>
      </c>
      <c r="G2222" t="s">
        <v>365</v>
      </c>
      <c r="I2222" s="16">
        <v>23.3</v>
      </c>
      <c r="J2222" s="16">
        <v>23.3</v>
      </c>
      <c r="K2222" s="16">
        <v>0</v>
      </c>
      <c r="L2222" s="159">
        <f t="shared" si="177"/>
        <v>1</v>
      </c>
      <c r="M2222" s="159">
        <f t="shared" si="177"/>
        <v>0</v>
      </c>
    </row>
    <row r="2223" spans="2:13">
      <c r="B2223" t="s">
        <v>195</v>
      </c>
      <c r="C2223">
        <f t="shared" si="178"/>
        <v>96</v>
      </c>
      <c r="D2223" t="str">
        <f t="shared" si="175"/>
        <v>BASSIN TOULONNAIS96</v>
      </c>
      <c r="E2223" t="s">
        <v>196</v>
      </c>
      <c r="F2223" t="str">
        <f t="shared" si="176"/>
        <v>BASSIN TOULONNAIS96</v>
      </c>
      <c r="G2223" t="s">
        <v>313</v>
      </c>
      <c r="I2223" s="16">
        <v>23.06</v>
      </c>
      <c r="J2223" s="16">
        <v>17.09</v>
      </c>
      <c r="K2223" s="16">
        <v>8.7799999999999994</v>
      </c>
      <c r="L2223" s="159">
        <f t="shared" si="177"/>
        <v>0.74111014744145709</v>
      </c>
      <c r="M2223" s="159">
        <f t="shared" si="177"/>
        <v>0.38074588031222895</v>
      </c>
    </row>
    <row r="2224" spans="2:13">
      <c r="B2224" t="s">
        <v>195</v>
      </c>
      <c r="C2224">
        <f t="shared" si="178"/>
        <v>97</v>
      </c>
      <c r="D2224" t="str">
        <f t="shared" si="175"/>
        <v>BASSIN TOULONNAIS97</v>
      </c>
      <c r="E2224" t="s">
        <v>196</v>
      </c>
      <c r="F2224" t="str">
        <f t="shared" si="176"/>
        <v>BASSIN TOULONNAIS97</v>
      </c>
      <c r="G2224" t="s">
        <v>375</v>
      </c>
      <c r="I2224" s="16">
        <v>22.88</v>
      </c>
      <c r="J2224" s="16">
        <v>11.15</v>
      </c>
      <c r="K2224" s="16">
        <v>0</v>
      </c>
      <c r="L2224" s="159">
        <f t="shared" si="177"/>
        <v>0.48732517482517484</v>
      </c>
      <c r="M2224" s="159">
        <f t="shared" si="177"/>
        <v>0</v>
      </c>
    </row>
    <row r="2225" spans="2:13">
      <c r="B2225" t="s">
        <v>195</v>
      </c>
      <c r="C2225">
        <f t="shared" ref="C2225:C2256" si="179">RANK(I2225,$I$2128:$I$2280,0)</f>
        <v>98</v>
      </c>
      <c r="D2225" t="str">
        <f t="shared" si="175"/>
        <v>BASSIN TOULONNAIS98</v>
      </c>
      <c r="E2225" t="s">
        <v>196</v>
      </c>
      <c r="F2225" t="str">
        <f t="shared" si="176"/>
        <v>BASSIN TOULONNAIS98</v>
      </c>
      <c r="G2225" t="s">
        <v>242</v>
      </c>
      <c r="H2225" t="s">
        <v>243</v>
      </c>
      <c r="I2225" s="16">
        <v>22.36</v>
      </c>
      <c r="J2225" s="16">
        <v>5.71</v>
      </c>
      <c r="K2225" s="16">
        <v>8.33</v>
      </c>
      <c r="L2225" s="159">
        <f t="shared" si="177"/>
        <v>0.25536672629695883</v>
      </c>
      <c r="M2225" s="159">
        <f t="shared" si="177"/>
        <v>0.37254025044722722</v>
      </c>
    </row>
    <row r="2226" spans="2:13">
      <c r="B2226" t="s">
        <v>195</v>
      </c>
      <c r="C2226">
        <f t="shared" si="179"/>
        <v>99</v>
      </c>
      <c r="D2226" t="str">
        <f t="shared" si="175"/>
        <v>BASSIN TOULONNAIS99</v>
      </c>
      <c r="E2226" t="s">
        <v>196</v>
      </c>
      <c r="F2226" t="str">
        <f t="shared" si="176"/>
        <v>BASSIN TOULONNAIS99</v>
      </c>
      <c r="G2226" t="s">
        <v>455</v>
      </c>
      <c r="I2226" s="16">
        <v>21.78</v>
      </c>
      <c r="J2226" s="16">
        <v>7.5</v>
      </c>
      <c r="K2226" s="16">
        <v>12.5</v>
      </c>
      <c r="L2226" s="159">
        <f t="shared" si="177"/>
        <v>0.34435261707988979</v>
      </c>
      <c r="M2226" s="159">
        <f t="shared" si="177"/>
        <v>0.57392102846648296</v>
      </c>
    </row>
    <row r="2227" spans="2:13">
      <c r="B2227" t="s">
        <v>195</v>
      </c>
      <c r="C2227">
        <f t="shared" si="179"/>
        <v>100</v>
      </c>
      <c r="D2227" t="str">
        <f t="shared" si="175"/>
        <v>BASSIN TOULONNAIS100</v>
      </c>
      <c r="E2227" t="s">
        <v>196</v>
      </c>
      <c r="F2227" t="str">
        <f t="shared" si="176"/>
        <v>BASSIN TOULONNAIS100</v>
      </c>
      <c r="G2227" t="s">
        <v>353</v>
      </c>
      <c r="I2227" s="16">
        <v>21.3</v>
      </c>
      <c r="J2227" s="16">
        <v>21.3</v>
      </c>
      <c r="K2227" s="16">
        <v>0</v>
      </c>
      <c r="L2227" s="159">
        <f t="shared" si="177"/>
        <v>1</v>
      </c>
      <c r="M2227" s="159">
        <f t="shared" si="177"/>
        <v>0</v>
      </c>
    </row>
    <row r="2228" spans="2:13">
      <c r="B2228" t="s">
        <v>195</v>
      </c>
      <c r="C2228">
        <f t="shared" si="179"/>
        <v>101</v>
      </c>
      <c r="D2228" t="str">
        <f t="shared" si="175"/>
        <v>BASSIN TOULONNAIS101</v>
      </c>
      <c r="E2228" t="s">
        <v>196</v>
      </c>
      <c r="F2228" t="str">
        <f t="shared" si="176"/>
        <v>BASSIN TOULONNAIS101</v>
      </c>
      <c r="G2228" t="s">
        <v>360</v>
      </c>
      <c r="I2228" s="16">
        <v>21.21</v>
      </c>
      <c r="J2228" s="16">
        <v>12.76</v>
      </c>
      <c r="K2228" s="16">
        <v>4.2300000000000004</v>
      </c>
      <c r="L2228" s="159">
        <f t="shared" si="177"/>
        <v>0.60160301744460154</v>
      </c>
      <c r="M2228" s="159">
        <f t="shared" si="177"/>
        <v>0.19943422913719944</v>
      </c>
    </row>
    <row r="2229" spans="2:13">
      <c r="B2229" t="s">
        <v>195</v>
      </c>
      <c r="C2229">
        <f t="shared" si="179"/>
        <v>102</v>
      </c>
      <c r="D2229" t="str">
        <f t="shared" si="175"/>
        <v>BASSIN TOULONNAIS102</v>
      </c>
      <c r="E2229" t="s">
        <v>196</v>
      </c>
      <c r="F2229" t="str">
        <f t="shared" si="176"/>
        <v>BASSIN TOULONNAIS102</v>
      </c>
      <c r="G2229" t="s">
        <v>325</v>
      </c>
      <c r="H2229" t="s">
        <v>938</v>
      </c>
      <c r="I2229" s="16">
        <v>20.67</v>
      </c>
      <c r="J2229" s="16">
        <v>0</v>
      </c>
      <c r="K2229" s="16">
        <v>5.65</v>
      </c>
      <c r="L2229" s="159">
        <f t="shared" si="177"/>
        <v>0</v>
      </c>
      <c r="M2229" s="159">
        <f t="shared" si="177"/>
        <v>0.27334300919206578</v>
      </c>
    </row>
    <row r="2230" spans="2:13">
      <c r="B2230" t="s">
        <v>195</v>
      </c>
      <c r="C2230">
        <f t="shared" si="179"/>
        <v>103</v>
      </c>
      <c r="D2230" t="str">
        <f t="shared" si="175"/>
        <v>BASSIN TOULONNAIS103</v>
      </c>
      <c r="E2230" t="s">
        <v>196</v>
      </c>
      <c r="F2230" t="str">
        <f t="shared" si="176"/>
        <v>BASSIN TOULONNAIS103</v>
      </c>
      <c r="G2230" t="s">
        <v>298</v>
      </c>
      <c r="I2230" s="16">
        <v>19.61</v>
      </c>
      <c r="J2230" s="16">
        <v>19.61</v>
      </c>
      <c r="K2230" s="16">
        <v>0</v>
      </c>
      <c r="L2230" s="159">
        <f t="shared" si="177"/>
        <v>1</v>
      </c>
      <c r="M2230" s="159">
        <f t="shared" si="177"/>
        <v>0</v>
      </c>
    </row>
    <row r="2231" spans="2:13">
      <c r="B2231" t="s">
        <v>195</v>
      </c>
      <c r="C2231">
        <f t="shared" si="179"/>
        <v>104</v>
      </c>
      <c r="D2231" t="str">
        <f t="shared" si="175"/>
        <v>BASSIN TOULONNAIS104</v>
      </c>
      <c r="E2231" t="s">
        <v>196</v>
      </c>
      <c r="F2231" t="str">
        <f t="shared" si="176"/>
        <v>BASSIN TOULONNAIS104</v>
      </c>
      <c r="G2231" t="s">
        <v>424</v>
      </c>
      <c r="I2231" s="16">
        <v>19.29</v>
      </c>
      <c r="J2231" s="16">
        <v>0</v>
      </c>
      <c r="K2231" s="16">
        <v>15.43</v>
      </c>
      <c r="L2231" s="159">
        <f t="shared" si="177"/>
        <v>0</v>
      </c>
      <c r="M2231" s="159">
        <f t="shared" si="177"/>
        <v>0.79989631933644378</v>
      </c>
    </row>
    <row r="2232" spans="2:13">
      <c r="B2232" t="s">
        <v>195</v>
      </c>
      <c r="C2232">
        <f t="shared" si="179"/>
        <v>105</v>
      </c>
      <c r="D2232" t="str">
        <f t="shared" si="175"/>
        <v>BASSIN TOULONNAIS105</v>
      </c>
      <c r="E2232" t="s">
        <v>196</v>
      </c>
      <c r="F2232" t="str">
        <f t="shared" si="176"/>
        <v>BASSIN TOULONNAIS105</v>
      </c>
      <c r="G2232" t="s">
        <v>254</v>
      </c>
      <c r="H2232" t="s">
        <v>931</v>
      </c>
      <c r="I2232" s="16">
        <v>18.52</v>
      </c>
      <c r="J2232" s="16">
        <v>8.4499999999999993</v>
      </c>
      <c r="K2232" s="16">
        <v>0</v>
      </c>
      <c r="L2232" s="159">
        <f t="shared" si="177"/>
        <v>0.45626349892008639</v>
      </c>
      <c r="M2232" s="159">
        <f t="shared" si="177"/>
        <v>0</v>
      </c>
    </row>
    <row r="2233" spans="2:13">
      <c r="B2233" t="s">
        <v>195</v>
      </c>
      <c r="C2233">
        <f t="shared" si="179"/>
        <v>106</v>
      </c>
      <c r="D2233" t="str">
        <f t="shared" si="175"/>
        <v>BASSIN TOULONNAIS106</v>
      </c>
      <c r="E2233" t="s">
        <v>196</v>
      </c>
      <c r="F2233" t="str">
        <f t="shared" si="176"/>
        <v>BASSIN TOULONNAIS106</v>
      </c>
      <c r="G2233" t="s">
        <v>366</v>
      </c>
      <c r="I2233" s="16">
        <v>17.989999999999998</v>
      </c>
      <c r="J2233" s="16">
        <v>13</v>
      </c>
      <c r="K2233" s="16">
        <v>0</v>
      </c>
      <c r="L2233" s="159">
        <f t="shared" si="177"/>
        <v>0.7226236798221235</v>
      </c>
      <c r="M2233" s="159">
        <f t="shared" si="177"/>
        <v>0</v>
      </c>
    </row>
    <row r="2234" spans="2:13">
      <c r="B2234" t="s">
        <v>195</v>
      </c>
      <c r="C2234">
        <f t="shared" si="179"/>
        <v>106</v>
      </c>
      <c r="D2234" t="str">
        <f t="shared" si="175"/>
        <v>BASSIN TOULONNAIS106</v>
      </c>
      <c r="E2234" t="s">
        <v>196</v>
      </c>
      <c r="F2234" t="str">
        <f t="shared" si="176"/>
        <v>BASSIN TOULONNAIS106</v>
      </c>
      <c r="G2234" t="s">
        <v>371</v>
      </c>
      <c r="I2234" s="16">
        <v>17.989999999999998</v>
      </c>
      <c r="J2234" s="16">
        <v>8.48</v>
      </c>
      <c r="K2234" s="16">
        <v>0</v>
      </c>
      <c r="L2234" s="159">
        <f t="shared" si="177"/>
        <v>0.47137298499166208</v>
      </c>
      <c r="M2234" s="159">
        <f t="shared" si="177"/>
        <v>0</v>
      </c>
    </row>
    <row r="2235" spans="2:13">
      <c r="B2235" t="s">
        <v>195</v>
      </c>
      <c r="C2235">
        <f t="shared" si="179"/>
        <v>108</v>
      </c>
      <c r="D2235" t="str">
        <f t="shared" si="175"/>
        <v>BASSIN TOULONNAIS108</v>
      </c>
      <c r="E2235" t="s">
        <v>196</v>
      </c>
      <c r="F2235" t="str">
        <f t="shared" si="176"/>
        <v>BASSIN TOULONNAIS108</v>
      </c>
      <c r="G2235" t="s">
        <v>345</v>
      </c>
      <c r="I2235" s="16">
        <v>17.45</v>
      </c>
      <c r="J2235" s="16">
        <v>17.45</v>
      </c>
      <c r="K2235" s="16">
        <v>0</v>
      </c>
      <c r="L2235" s="159">
        <f t="shared" si="177"/>
        <v>1</v>
      </c>
      <c r="M2235" s="159">
        <f t="shared" si="177"/>
        <v>0</v>
      </c>
    </row>
    <row r="2236" spans="2:13">
      <c r="B2236" t="s">
        <v>195</v>
      </c>
      <c r="C2236">
        <f t="shared" si="179"/>
        <v>109</v>
      </c>
      <c r="D2236" t="str">
        <f t="shared" si="175"/>
        <v>BASSIN TOULONNAIS109</v>
      </c>
      <c r="E2236" t="s">
        <v>196</v>
      </c>
      <c r="F2236" t="str">
        <f t="shared" si="176"/>
        <v>BASSIN TOULONNAIS109</v>
      </c>
      <c r="G2236" t="s">
        <v>285</v>
      </c>
      <c r="H2236" t="s">
        <v>286</v>
      </c>
      <c r="I2236" s="16">
        <v>16.95</v>
      </c>
      <c r="J2236" s="16">
        <v>8.48</v>
      </c>
      <c r="K2236" s="16">
        <v>0</v>
      </c>
      <c r="L2236" s="159">
        <f t="shared" si="177"/>
        <v>0.50029498525073746</v>
      </c>
      <c r="M2236" s="159">
        <f t="shared" si="177"/>
        <v>0</v>
      </c>
    </row>
    <row r="2237" spans="2:13">
      <c r="B2237" t="s">
        <v>195</v>
      </c>
      <c r="C2237">
        <f t="shared" si="179"/>
        <v>110</v>
      </c>
      <c r="D2237" t="str">
        <f t="shared" si="175"/>
        <v>BASSIN TOULONNAIS110</v>
      </c>
      <c r="E2237" t="s">
        <v>196</v>
      </c>
      <c r="F2237" t="str">
        <f t="shared" si="176"/>
        <v>BASSIN TOULONNAIS110</v>
      </c>
      <c r="G2237" t="s">
        <v>292</v>
      </c>
      <c r="I2237" s="16">
        <v>16.739999999999998</v>
      </c>
      <c r="J2237" s="16">
        <v>0</v>
      </c>
      <c r="K2237" s="16">
        <v>0</v>
      </c>
      <c r="L2237" s="159">
        <f t="shared" si="177"/>
        <v>0</v>
      </c>
      <c r="M2237" s="159">
        <f t="shared" si="177"/>
        <v>0</v>
      </c>
    </row>
    <row r="2238" spans="2:13">
      <c r="B2238" t="s">
        <v>195</v>
      </c>
      <c r="C2238">
        <f t="shared" si="179"/>
        <v>111</v>
      </c>
      <c r="D2238" t="str">
        <f t="shared" si="175"/>
        <v>BASSIN TOULONNAIS111</v>
      </c>
      <c r="E2238" t="s">
        <v>196</v>
      </c>
      <c r="F2238" t="str">
        <f t="shared" si="176"/>
        <v>BASSIN TOULONNAIS111</v>
      </c>
      <c r="G2238" t="s">
        <v>333</v>
      </c>
      <c r="I2238" s="16">
        <v>16.57</v>
      </c>
      <c r="J2238" s="16">
        <v>10.56</v>
      </c>
      <c r="K2238" s="16">
        <v>10.56</v>
      </c>
      <c r="L2238" s="159">
        <f t="shared" si="177"/>
        <v>0.63729631864815939</v>
      </c>
      <c r="M2238" s="159">
        <f t="shared" si="177"/>
        <v>0.63729631864815939</v>
      </c>
    </row>
    <row r="2239" spans="2:13">
      <c r="B2239" t="s">
        <v>195</v>
      </c>
      <c r="C2239">
        <f t="shared" si="179"/>
        <v>112</v>
      </c>
      <c r="D2239" t="str">
        <f t="shared" si="175"/>
        <v>BASSIN TOULONNAIS112</v>
      </c>
      <c r="E2239" t="s">
        <v>196</v>
      </c>
      <c r="F2239" t="str">
        <f t="shared" si="176"/>
        <v>BASSIN TOULONNAIS112</v>
      </c>
      <c r="G2239" t="s">
        <v>445</v>
      </c>
      <c r="I2239" s="16">
        <v>16.3</v>
      </c>
      <c r="J2239" s="16">
        <v>16.3</v>
      </c>
      <c r="K2239" s="16">
        <v>0</v>
      </c>
      <c r="L2239" s="159">
        <f t="shared" si="177"/>
        <v>1</v>
      </c>
      <c r="M2239" s="159">
        <f t="shared" si="177"/>
        <v>0</v>
      </c>
    </row>
    <row r="2240" spans="2:13">
      <c r="B2240" t="s">
        <v>195</v>
      </c>
      <c r="C2240">
        <f t="shared" si="179"/>
        <v>113</v>
      </c>
      <c r="D2240" t="str">
        <f t="shared" si="175"/>
        <v>BASSIN TOULONNAIS113</v>
      </c>
      <c r="E2240" t="s">
        <v>196</v>
      </c>
      <c r="F2240" t="str">
        <f t="shared" si="176"/>
        <v>BASSIN TOULONNAIS113</v>
      </c>
      <c r="G2240" t="s">
        <v>429</v>
      </c>
      <c r="I2240" s="16">
        <v>16.21</v>
      </c>
      <c r="J2240" s="16">
        <v>5.48</v>
      </c>
      <c r="K2240" s="16">
        <v>8.93</v>
      </c>
      <c r="L2240" s="159">
        <f t="shared" si="177"/>
        <v>0.33806292412091304</v>
      </c>
      <c r="M2240" s="159">
        <f t="shared" si="177"/>
        <v>0.5508945095619987</v>
      </c>
    </row>
    <row r="2241" spans="2:13">
      <c r="B2241" t="s">
        <v>195</v>
      </c>
      <c r="C2241">
        <f t="shared" si="179"/>
        <v>114</v>
      </c>
      <c r="D2241" t="str">
        <f t="shared" si="175"/>
        <v>BASSIN TOULONNAIS114</v>
      </c>
      <c r="E2241" t="s">
        <v>196</v>
      </c>
      <c r="F2241" t="str">
        <f t="shared" si="176"/>
        <v>BASSIN TOULONNAIS114</v>
      </c>
      <c r="G2241" t="s">
        <v>451</v>
      </c>
      <c r="I2241" s="16">
        <v>16</v>
      </c>
      <c r="J2241" s="16">
        <v>16</v>
      </c>
      <c r="K2241" s="16">
        <v>16</v>
      </c>
      <c r="L2241" s="159">
        <f t="shared" si="177"/>
        <v>1</v>
      </c>
      <c r="M2241" s="159">
        <f t="shared" si="177"/>
        <v>1</v>
      </c>
    </row>
    <row r="2242" spans="2:13">
      <c r="B2242" t="s">
        <v>195</v>
      </c>
      <c r="C2242">
        <f t="shared" si="179"/>
        <v>115</v>
      </c>
      <c r="D2242" t="str">
        <f t="shared" ref="D2242:D2305" si="180">CONCATENATE(E2242,C2242)</f>
        <v>BASSIN TOULONNAIS115</v>
      </c>
      <c r="E2242" t="s">
        <v>196</v>
      </c>
      <c r="F2242" t="str">
        <f t="shared" si="176"/>
        <v>BASSIN TOULONNAIS115</v>
      </c>
      <c r="G2242" t="s">
        <v>435</v>
      </c>
      <c r="I2242" s="16">
        <v>15.44</v>
      </c>
      <c r="J2242" s="16">
        <v>15.44</v>
      </c>
      <c r="K2242" s="16">
        <v>0</v>
      </c>
      <c r="L2242" s="159">
        <f t="shared" si="177"/>
        <v>1</v>
      </c>
      <c r="M2242" s="159">
        <f t="shared" si="177"/>
        <v>0</v>
      </c>
    </row>
    <row r="2243" spans="2:13">
      <c r="B2243" t="s">
        <v>195</v>
      </c>
      <c r="C2243">
        <f t="shared" si="179"/>
        <v>116</v>
      </c>
      <c r="D2243" t="str">
        <f t="shared" si="180"/>
        <v>BASSIN TOULONNAIS116</v>
      </c>
      <c r="E2243" t="s">
        <v>196</v>
      </c>
      <c r="F2243" t="str">
        <f t="shared" ref="F2243:F2306" si="181">D2243</f>
        <v>BASSIN TOULONNAIS116</v>
      </c>
      <c r="G2243" t="s">
        <v>262</v>
      </c>
      <c r="I2243" s="16">
        <v>15</v>
      </c>
      <c r="J2243" s="16">
        <v>0</v>
      </c>
      <c r="K2243" s="16">
        <v>0</v>
      </c>
      <c r="L2243" s="159">
        <f t="shared" ref="L2243:M2306" si="182">J2243/$I2243</f>
        <v>0</v>
      </c>
      <c r="M2243" s="159">
        <f t="shared" si="182"/>
        <v>0</v>
      </c>
    </row>
    <row r="2244" spans="2:13">
      <c r="B2244" t="s">
        <v>195</v>
      </c>
      <c r="C2244">
        <f t="shared" si="179"/>
        <v>117</v>
      </c>
      <c r="D2244" t="str">
        <f t="shared" si="180"/>
        <v>BASSIN TOULONNAIS117</v>
      </c>
      <c r="E2244" t="s">
        <v>196</v>
      </c>
      <c r="F2244" t="str">
        <f t="shared" si="181"/>
        <v>BASSIN TOULONNAIS117</v>
      </c>
      <c r="G2244" t="s">
        <v>397</v>
      </c>
      <c r="I2244" s="16">
        <v>14.98</v>
      </c>
      <c r="J2244" s="16">
        <v>14.98</v>
      </c>
      <c r="K2244" s="16">
        <v>0</v>
      </c>
      <c r="L2244" s="159">
        <f t="shared" si="182"/>
        <v>1</v>
      </c>
      <c r="M2244" s="159">
        <f t="shared" si="182"/>
        <v>0</v>
      </c>
    </row>
    <row r="2245" spans="2:13">
      <c r="B2245" t="s">
        <v>195</v>
      </c>
      <c r="C2245">
        <f t="shared" si="179"/>
        <v>118</v>
      </c>
      <c r="D2245" t="str">
        <f t="shared" si="180"/>
        <v>BASSIN TOULONNAIS118</v>
      </c>
      <c r="E2245" t="s">
        <v>196</v>
      </c>
      <c r="F2245" t="str">
        <f t="shared" si="181"/>
        <v>BASSIN TOULONNAIS118</v>
      </c>
      <c r="G2245" t="s">
        <v>312</v>
      </c>
      <c r="I2245" s="16">
        <v>14.73</v>
      </c>
      <c r="J2245" s="16">
        <v>3.79</v>
      </c>
      <c r="K2245" s="16">
        <v>0</v>
      </c>
      <c r="L2245" s="159">
        <f t="shared" si="182"/>
        <v>0.25729803122878481</v>
      </c>
      <c r="M2245" s="159">
        <f t="shared" si="182"/>
        <v>0</v>
      </c>
    </row>
    <row r="2246" spans="2:13">
      <c r="B2246" t="s">
        <v>195</v>
      </c>
      <c r="C2246">
        <f t="shared" si="179"/>
        <v>119</v>
      </c>
      <c r="D2246" t="str">
        <f t="shared" si="180"/>
        <v>BASSIN TOULONNAIS119</v>
      </c>
      <c r="E2246" t="s">
        <v>196</v>
      </c>
      <c r="F2246" t="str">
        <f t="shared" si="181"/>
        <v>BASSIN TOULONNAIS119</v>
      </c>
      <c r="G2246" t="s">
        <v>412</v>
      </c>
      <c r="I2246" s="16">
        <v>14.71</v>
      </c>
      <c r="J2246" s="16">
        <v>11.91</v>
      </c>
      <c r="K2246" s="16">
        <v>0</v>
      </c>
      <c r="L2246" s="159">
        <f t="shared" si="182"/>
        <v>0.80965329707681843</v>
      </c>
      <c r="M2246" s="159">
        <f t="shared" si="182"/>
        <v>0</v>
      </c>
    </row>
    <row r="2247" spans="2:13">
      <c r="B2247" t="s">
        <v>195</v>
      </c>
      <c r="C2247">
        <f t="shared" si="179"/>
        <v>120</v>
      </c>
      <c r="D2247" t="str">
        <f t="shared" si="180"/>
        <v>BASSIN TOULONNAIS120</v>
      </c>
      <c r="E2247" t="s">
        <v>196</v>
      </c>
      <c r="F2247" t="str">
        <f t="shared" si="181"/>
        <v>BASSIN TOULONNAIS120</v>
      </c>
      <c r="G2247" t="s">
        <v>288</v>
      </c>
      <c r="I2247" s="16">
        <v>14.66</v>
      </c>
      <c r="J2247" s="16">
        <v>8.48</v>
      </c>
      <c r="K2247" s="16">
        <v>0</v>
      </c>
      <c r="L2247" s="159">
        <f t="shared" si="182"/>
        <v>0.57844474761255116</v>
      </c>
      <c r="M2247" s="159">
        <f t="shared" si="182"/>
        <v>0</v>
      </c>
    </row>
    <row r="2248" spans="2:13">
      <c r="B2248" t="s">
        <v>195</v>
      </c>
      <c r="C2248">
        <f t="shared" si="179"/>
        <v>121</v>
      </c>
      <c r="D2248" t="str">
        <f t="shared" si="180"/>
        <v>BASSIN TOULONNAIS121</v>
      </c>
      <c r="E2248" t="s">
        <v>196</v>
      </c>
      <c r="F2248" t="str">
        <f t="shared" si="181"/>
        <v>BASSIN TOULONNAIS121</v>
      </c>
      <c r="G2248" t="s">
        <v>343</v>
      </c>
      <c r="I2248" s="16">
        <v>14.56</v>
      </c>
      <c r="J2248" s="16">
        <v>10.39</v>
      </c>
      <c r="K2248" s="16">
        <v>0</v>
      </c>
      <c r="L2248" s="159">
        <f t="shared" si="182"/>
        <v>0.71359890109890112</v>
      </c>
      <c r="M2248" s="159">
        <f t="shared" si="182"/>
        <v>0</v>
      </c>
    </row>
    <row r="2249" spans="2:13">
      <c r="B2249" t="s">
        <v>195</v>
      </c>
      <c r="C2249">
        <f t="shared" si="179"/>
        <v>122</v>
      </c>
      <c r="D2249" t="str">
        <f t="shared" si="180"/>
        <v>BASSIN TOULONNAIS122</v>
      </c>
      <c r="E2249" t="s">
        <v>196</v>
      </c>
      <c r="F2249" t="str">
        <f t="shared" si="181"/>
        <v>BASSIN TOULONNAIS122</v>
      </c>
      <c r="G2249" t="s">
        <v>349</v>
      </c>
      <c r="I2249" s="16">
        <v>14.41</v>
      </c>
      <c r="J2249" s="16">
        <v>11.17</v>
      </c>
      <c r="K2249" s="16">
        <v>0</v>
      </c>
      <c r="L2249" s="159">
        <f t="shared" si="182"/>
        <v>0.77515614156835533</v>
      </c>
      <c r="M2249" s="159">
        <f t="shared" si="182"/>
        <v>0</v>
      </c>
    </row>
    <row r="2250" spans="2:13">
      <c r="B2250" t="s">
        <v>195</v>
      </c>
      <c r="C2250">
        <f t="shared" si="179"/>
        <v>123</v>
      </c>
      <c r="D2250" t="str">
        <f t="shared" si="180"/>
        <v>BASSIN TOULONNAIS123</v>
      </c>
      <c r="E2250" t="s">
        <v>196</v>
      </c>
      <c r="F2250" t="str">
        <f t="shared" si="181"/>
        <v>BASSIN TOULONNAIS123</v>
      </c>
      <c r="G2250" t="s">
        <v>320</v>
      </c>
      <c r="I2250" s="16">
        <v>13.16</v>
      </c>
      <c r="J2250" s="16">
        <v>5.77</v>
      </c>
      <c r="K2250" s="16">
        <v>0</v>
      </c>
      <c r="L2250" s="159">
        <f t="shared" si="182"/>
        <v>0.43844984802431608</v>
      </c>
      <c r="M2250" s="159">
        <f t="shared" si="182"/>
        <v>0</v>
      </c>
    </row>
    <row r="2251" spans="2:13">
      <c r="B2251" t="s">
        <v>195</v>
      </c>
      <c r="C2251">
        <f t="shared" si="179"/>
        <v>124</v>
      </c>
      <c r="D2251" t="str">
        <f t="shared" si="180"/>
        <v>BASSIN TOULONNAIS124</v>
      </c>
      <c r="E2251" t="s">
        <v>196</v>
      </c>
      <c r="F2251" t="str">
        <f t="shared" si="181"/>
        <v>BASSIN TOULONNAIS124</v>
      </c>
      <c r="G2251" t="s">
        <v>402</v>
      </c>
      <c r="H2251" t="s">
        <v>1790</v>
      </c>
      <c r="I2251" s="16">
        <v>13.05</v>
      </c>
      <c r="J2251" s="16">
        <v>8.06</v>
      </c>
      <c r="K2251" s="16">
        <v>0</v>
      </c>
      <c r="L2251" s="159">
        <f t="shared" si="182"/>
        <v>0.61762452107279697</v>
      </c>
      <c r="M2251" s="159">
        <f t="shared" si="182"/>
        <v>0</v>
      </c>
    </row>
    <row r="2252" spans="2:13">
      <c r="B2252" t="s">
        <v>195</v>
      </c>
      <c r="C2252">
        <f t="shared" si="179"/>
        <v>125</v>
      </c>
      <c r="D2252" t="str">
        <f t="shared" si="180"/>
        <v>BASSIN TOULONNAIS125</v>
      </c>
      <c r="E2252" t="s">
        <v>196</v>
      </c>
      <c r="F2252" t="str">
        <f t="shared" si="181"/>
        <v>BASSIN TOULONNAIS125</v>
      </c>
      <c r="G2252" t="s">
        <v>306</v>
      </c>
      <c r="H2252" t="s">
        <v>307</v>
      </c>
      <c r="I2252" s="16">
        <v>12.48</v>
      </c>
      <c r="J2252" s="16">
        <v>0</v>
      </c>
      <c r="K2252" s="16">
        <v>0</v>
      </c>
      <c r="L2252" s="159">
        <f t="shared" si="182"/>
        <v>0</v>
      </c>
      <c r="M2252" s="159">
        <f t="shared" si="182"/>
        <v>0</v>
      </c>
    </row>
    <row r="2253" spans="2:13">
      <c r="B2253" t="s">
        <v>195</v>
      </c>
      <c r="C2253">
        <f t="shared" si="179"/>
        <v>126</v>
      </c>
      <c r="D2253" t="str">
        <f t="shared" si="180"/>
        <v>BASSIN TOULONNAIS126</v>
      </c>
      <c r="E2253" t="s">
        <v>196</v>
      </c>
      <c r="F2253" t="str">
        <f t="shared" si="181"/>
        <v>BASSIN TOULONNAIS126</v>
      </c>
      <c r="G2253" t="s">
        <v>293</v>
      </c>
      <c r="I2253" s="16">
        <v>11.92</v>
      </c>
      <c r="J2253" s="16">
        <v>11.92</v>
      </c>
      <c r="K2253" s="16">
        <v>0</v>
      </c>
      <c r="L2253" s="159">
        <f t="shared" si="182"/>
        <v>1</v>
      </c>
      <c r="M2253" s="159">
        <f t="shared" si="182"/>
        <v>0</v>
      </c>
    </row>
    <row r="2254" spans="2:13">
      <c r="B2254" t="s">
        <v>195</v>
      </c>
      <c r="C2254">
        <f t="shared" si="179"/>
        <v>127</v>
      </c>
      <c r="D2254" t="str">
        <f t="shared" si="180"/>
        <v>BASSIN TOULONNAIS127</v>
      </c>
      <c r="E2254" t="s">
        <v>196</v>
      </c>
      <c r="F2254" t="str">
        <f t="shared" si="181"/>
        <v>BASSIN TOULONNAIS127</v>
      </c>
      <c r="G2254" t="s">
        <v>379</v>
      </c>
      <c r="H2254" t="s">
        <v>944</v>
      </c>
      <c r="I2254" s="16">
        <v>11.57</v>
      </c>
      <c r="J2254" s="16">
        <v>11.57</v>
      </c>
      <c r="K2254" s="16">
        <v>0</v>
      </c>
      <c r="L2254" s="159">
        <f t="shared" si="182"/>
        <v>1</v>
      </c>
      <c r="M2254" s="159">
        <f t="shared" si="182"/>
        <v>0</v>
      </c>
    </row>
    <row r="2255" spans="2:13">
      <c r="B2255" t="s">
        <v>195</v>
      </c>
      <c r="C2255">
        <f t="shared" si="179"/>
        <v>128</v>
      </c>
      <c r="D2255" t="str">
        <f t="shared" si="180"/>
        <v>BASSIN TOULONNAIS128</v>
      </c>
      <c r="E2255" t="s">
        <v>196</v>
      </c>
      <c r="F2255" t="str">
        <f t="shared" si="181"/>
        <v>BASSIN TOULONNAIS128</v>
      </c>
      <c r="G2255" t="s">
        <v>421</v>
      </c>
      <c r="I2255" s="16">
        <v>11.45</v>
      </c>
      <c r="J2255" s="16">
        <v>5.73</v>
      </c>
      <c r="K2255" s="16">
        <v>0</v>
      </c>
      <c r="L2255" s="159">
        <f t="shared" si="182"/>
        <v>0.50043668122270746</v>
      </c>
      <c r="M2255" s="159">
        <f t="shared" si="182"/>
        <v>0</v>
      </c>
    </row>
    <row r="2256" spans="2:13">
      <c r="B2256" t="s">
        <v>195</v>
      </c>
      <c r="C2256">
        <f t="shared" si="179"/>
        <v>129</v>
      </c>
      <c r="D2256" t="str">
        <f t="shared" si="180"/>
        <v>BASSIN TOULONNAIS129</v>
      </c>
      <c r="E2256" t="s">
        <v>196</v>
      </c>
      <c r="F2256" t="str">
        <f t="shared" si="181"/>
        <v>BASSIN TOULONNAIS129</v>
      </c>
      <c r="G2256" t="s">
        <v>328</v>
      </c>
      <c r="H2256" t="s">
        <v>939</v>
      </c>
      <c r="I2256" s="16">
        <v>10.14</v>
      </c>
      <c r="J2256" s="16">
        <v>7.12</v>
      </c>
      <c r="K2256" s="16">
        <v>0</v>
      </c>
      <c r="L2256" s="159">
        <f t="shared" si="182"/>
        <v>0.70216962524654825</v>
      </c>
      <c r="M2256" s="159">
        <f t="shared" si="182"/>
        <v>0</v>
      </c>
    </row>
    <row r="2257" spans="2:13">
      <c r="B2257" t="s">
        <v>195</v>
      </c>
      <c r="C2257">
        <f t="shared" ref="C2257:C2279" si="183">RANK(I2257,$I$2128:$I$2280,0)</f>
        <v>130</v>
      </c>
      <c r="D2257" t="str">
        <f t="shared" si="180"/>
        <v>BASSIN TOULONNAIS130</v>
      </c>
      <c r="E2257" t="s">
        <v>196</v>
      </c>
      <c r="F2257" t="str">
        <f t="shared" si="181"/>
        <v>BASSIN TOULONNAIS130</v>
      </c>
      <c r="G2257" t="s">
        <v>329</v>
      </c>
      <c r="I2257" s="16">
        <v>9.09</v>
      </c>
      <c r="J2257" s="16">
        <v>0</v>
      </c>
      <c r="K2257" s="16">
        <v>2</v>
      </c>
      <c r="L2257" s="159">
        <f t="shared" si="182"/>
        <v>0</v>
      </c>
      <c r="M2257" s="159">
        <f t="shared" si="182"/>
        <v>0.22002200220022003</v>
      </c>
    </row>
    <row r="2258" spans="2:13">
      <c r="B2258" t="s">
        <v>195</v>
      </c>
      <c r="C2258">
        <f t="shared" si="183"/>
        <v>131</v>
      </c>
      <c r="D2258" t="str">
        <f t="shared" si="180"/>
        <v>BASSIN TOULONNAIS131</v>
      </c>
      <c r="E2258" t="s">
        <v>196</v>
      </c>
      <c r="F2258" t="str">
        <f t="shared" si="181"/>
        <v>BASSIN TOULONNAIS131</v>
      </c>
      <c r="G2258" t="s">
        <v>433</v>
      </c>
      <c r="I2258" s="16">
        <v>8.73</v>
      </c>
      <c r="J2258" s="16">
        <v>6.94</v>
      </c>
      <c r="K2258" s="16">
        <v>0</v>
      </c>
      <c r="L2258" s="159">
        <f t="shared" si="182"/>
        <v>0.79495990836197017</v>
      </c>
      <c r="M2258" s="159">
        <f t="shared" si="182"/>
        <v>0</v>
      </c>
    </row>
    <row r="2259" spans="2:13">
      <c r="B2259" t="s">
        <v>195</v>
      </c>
      <c r="C2259">
        <f t="shared" si="183"/>
        <v>132</v>
      </c>
      <c r="D2259" t="str">
        <f t="shared" si="180"/>
        <v>BASSIN TOULONNAIS132</v>
      </c>
      <c r="E2259" t="s">
        <v>196</v>
      </c>
      <c r="F2259" t="str">
        <f t="shared" si="181"/>
        <v>BASSIN TOULONNAIS132</v>
      </c>
      <c r="G2259" t="s">
        <v>279</v>
      </c>
      <c r="I2259" s="16">
        <v>8.48</v>
      </c>
      <c r="J2259" s="16">
        <v>0</v>
      </c>
      <c r="K2259" s="16">
        <v>0</v>
      </c>
      <c r="L2259" s="159">
        <f t="shared" si="182"/>
        <v>0</v>
      </c>
      <c r="M2259" s="159">
        <f t="shared" si="182"/>
        <v>0</v>
      </c>
    </row>
    <row r="2260" spans="2:13">
      <c r="B2260" t="s">
        <v>195</v>
      </c>
      <c r="C2260">
        <f t="shared" si="183"/>
        <v>133</v>
      </c>
      <c r="D2260" t="str">
        <f t="shared" si="180"/>
        <v>BASSIN TOULONNAIS133</v>
      </c>
      <c r="E2260" t="s">
        <v>196</v>
      </c>
      <c r="F2260" t="str">
        <f t="shared" si="181"/>
        <v>BASSIN TOULONNAIS133</v>
      </c>
      <c r="G2260" t="s">
        <v>411</v>
      </c>
      <c r="I2260" s="16">
        <v>8.33</v>
      </c>
      <c r="J2260" s="16">
        <v>8.33</v>
      </c>
      <c r="K2260" s="16">
        <v>0</v>
      </c>
      <c r="L2260" s="159">
        <f t="shared" si="182"/>
        <v>1</v>
      </c>
      <c r="M2260" s="159">
        <f t="shared" si="182"/>
        <v>0</v>
      </c>
    </row>
    <row r="2261" spans="2:13">
      <c r="B2261" t="s">
        <v>195</v>
      </c>
      <c r="C2261">
        <f t="shared" si="183"/>
        <v>134</v>
      </c>
      <c r="D2261" t="str">
        <f t="shared" si="180"/>
        <v>BASSIN TOULONNAIS134</v>
      </c>
      <c r="E2261" t="s">
        <v>196</v>
      </c>
      <c r="F2261" t="str">
        <f t="shared" si="181"/>
        <v>BASSIN TOULONNAIS134</v>
      </c>
      <c r="G2261" t="s">
        <v>352</v>
      </c>
      <c r="I2261" s="16">
        <v>7.6</v>
      </c>
      <c r="J2261" s="16">
        <v>0</v>
      </c>
      <c r="K2261" s="16">
        <v>0</v>
      </c>
      <c r="L2261" s="159">
        <f t="shared" si="182"/>
        <v>0</v>
      </c>
      <c r="M2261" s="159">
        <f t="shared" si="182"/>
        <v>0</v>
      </c>
    </row>
    <row r="2262" spans="2:13">
      <c r="B2262" t="s">
        <v>195</v>
      </c>
      <c r="C2262">
        <f t="shared" si="183"/>
        <v>135</v>
      </c>
      <c r="D2262" t="str">
        <f t="shared" si="180"/>
        <v>BASSIN TOULONNAIS135</v>
      </c>
      <c r="E2262" t="s">
        <v>196</v>
      </c>
      <c r="F2262" t="str">
        <f t="shared" si="181"/>
        <v>BASSIN TOULONNAIS135</v>
      </c>
      <c r="G2262" t="s">
        <v>388</v>
      </c>
      <c r="I2262" s="16">
        <v>7.58</v>
      </c>
      <c r="J2262" s="16">
        <v>7.58</v>
      </c>
      <c r="K2262" s="16">
        <v>0</v>
      </c>
      <c r="L2262" s="159">
        <f t="shared" si="182"/>
        <v>1</v>
      </c>
      <c r="M2262" s="159">
        <f t="shared" si="182"/>
        <v>0</v>
      </c>
    </row>
    <row r="2263" spans="2:13">
      <c r="B2263" t="s">
        <v>195</v>
      </c>
      <c r="C2263">
        <f t="shared" si="183"/>
        <v>136</v>
      </c>
      <c r="D2263" t="str">
        <f t="shared" si="180"/>
        <v>BASSIN TOULONNAIS136</v>
      </c>
      <c r="E2263" t="s">
        <v>196</v>
      </c>
      <c r="F2263" t="str">
        <f t="shared" si="181"/>
        <v>BASSIN TOULONNAIS136</v>
      </c>
      <c r="G2263" t="s">
        <v>423</v>
      </c>
      <c r="I2263" s="16">
        <v>7.57</v>
      </c>
      <c r="J2263" s="16">
        <v>0</v>
      </c>
      <c r="K2263" s="16">
        <v>7.57</v>
      </c>
      <c r="L2263" s="159">
        <f t="shared" si="182"/>
        <v>0</v>
      </c>
      <c r="M2263" s="159">
        <f t="shared" si="182"/>
        <v>1</v>
      </c>
    </row>
    <row r="2264" spans="2:13">
      <c r="B2264" t="s">
        <v>195</v>
      </c>
      <c r="C2264">
        <f t="shared" si="183"/>
        <v>137</v>
      </c>
      <c r="D2264" t="str">
        <f t="shared" si="180"/>
        <v>BASSIN TOULONNAIS137</v>
      </c>
      <c r="E2264" t="s">
        <v>196</v>
      </c>
      <c r="F2264" t="str">
        <f t="shared" si="181"/>
        <v>BASSIN TOULONNAIS137</v>
      </c>
      <c r="G2264" t="s">
        <v>372</v>
      </c>
      <c r="I2264" s="16">
        <v>7.54</v>
      </c>
      <c r="J2264" s="16">
        <v>6.54</v>
      </c>
      <c r="K2264" s="16">
        <v>0</v>
      </c>
      <c r="L2264" s="159">
        <f t="shared" si="182"/>
        <v>0.86737400530503983</v>
      </c>
      <c r="M2264" s="159">
        <f t="shared" si="182"/>
        <v>0</v>
      </c>
    </row>
    <row r="2265" spans="2:13">
      <c r="B2265" t="s">
        <v>195</v>
      </c>
      <c r="C2265">
        <f t="shared" si="183"/>
        <v>138</v>
      </c>
      <c r="D2265" t="str">
        <f t="shared" si="180"/>
        <v>BASSIN TOULONNAIS138</v>
      </c>
      <c r="E2265" t="s">
        <v>196</v>
      </c>
      <c r="F2265" t="str">
        <f t="shared" si="181"/>
        <v>BASSIN TOULONNAIS138</v>
      </c>
      <c r="G2265" t="s">
        <v>315</v>
      </c>
      <c r="I2265" s="16">
        <v>6.23</v>
      </c>
      <c r="J2265" s="16">
        <v>6.23</v>
      </c>
      <c r="K2265" s="16">
        <v>0</v>
      </c>
      <c r="L2265" s="159">
        <f t="shared" si="182"/>
        <v>1</v>
      </c>
      <c r="M2265" s="159">
        <f t="shared" si="182"/>
        <v>0</v>
      </c>
    </row>
    <row r="2266" spans="2:13">
      <c r="B2266" t="s">
        <v>195</v>
      </c>
      <c r="C2266">
        <f t="shared" si="183"/>
        <v>139</v>
      </c>
      <c r="D2266" t="str">
        <f t="shared" si="180"/>
        <v>BASSIN TOULONNAIS139</v>
      </c>
      <c r="E2266" t="s">
        <v>196</v>
      </c>
      <c r="F2266" t="str">
        <f t="shared" si="181"/>
        <v>BASSIN TOULONNAIS139</v>
      </c>
      <c r="G2266" t="s">
        <v>425</v>
      </c>
      <c r="I2266" s="16">
        <v>6.18</v>
      </c>
      <c r="J2266" s="16">
        <v>0</v>
      </c>
      <c r="K2266" s="16">
        <v>6.18</v>
      </c>
      <c r="L2266" s="159">
        <f t="shared" si="182"/>
        <v>0</v>
      </c>
      <c r="M2266" s="159">
        <f t="shared" si="182"/>
        <v>1</v>
      </c>
    </row>
    <row r="2267" spans="2:13">
      <c r="B2267" t="s">
        <v>195</v>
      </c>
      <c r="C2267">
        <f t="shared" si="183"/>
        <v>140</v>
      </c>
      <c r="D2267" t="str">
        <f t="shared" si="180"/>
        <v>BASSIN TOULONNAIS140</v>
      </c>
      <c r="E2267" t="s">
        <v>196</v>
      </c>
      <c r="F2267" t="str">
        <f t="shared" si="181"/>
        <v>BASSIN TOULONNAIS140</v>
      </c>
      <c r="G2267" t="s">
        <v>381</v>
      </c>
      <c r="I2267" s="16">
        <v>6.01</v>
      </c>
      <c r="J2267" s="16">
        <v>4.58</v>
      </c>
      <c r="K2267" s="16">
        <v>0</v>
      </c>
      <c r="L2267" s="159">
        <f t="shared" si="182"/>
        <v>0.76206322795341097</v>
      </c>
      <c r="M2267" s="159">
        <f t="shared" si="182"/>
        <v>0</v>
      </c>
    </row>
    <row r="2268" spans="2:13">
      <c r="B2268" t="s">
        <v>195</v>
      </c>
      <c r="C2268">
        <f t="shared" si="183"/>
        <v>141</v>
      </c>
      <c r="D2268" t="str">
        <f t="shared" si="180"/>
        <v>BASSIN TOULONNAIS141</v>
      </c>
      <c r="E2268" t="s">
        <v>196</v>
      </c>
      <c r="F2268" t="str">
        <f t="shared" si="181"/>
        <v>BASSIN TOULONNAIS141</v>
      </c>
      <c r="G2268" t="s">
        <v>368</v>
      </c>
      <c r="I2268" s="16">
        <v>5.2</v>
      </c>
      <c r="J2268" s="16">
        <v>0</v>
      </c>
      <c r="K2268" s="16">
        <v>0</v>
      </c>
      <c r="L2268" s="159">
        <f t="shared" si="182"/>
        <v>0</v>
      </c>
      <c r="M2268" s="159">
        <f t="shared" si="182"/>
        <v>0</v>
      </c>
    </row>
    <row r="2269" spans="2:13">
      <c r="B2269" t="s">
        <v>195</v>
      </c>
      <c r="C2269">
        <f t="shared" si="183"/>
        <v>142</v>
      </c>
      <c r="D2269" t="str">
        <f t="shared" si="180"/>
        <v>BASSIN TOULONNAIS142</v>
      </c>
      <c r="E2269" t="s">
        <v>196</v>
      </c>
      <c r="F2269" t="str">
        <f t="shared" si="181"/>
        <v>BASSIN TOULONNAIS142</v>
      </c>
      <c r="G2269" t="s">
        <v>439</v>
      </c>
      <c r="H2269" t="s">
        <v>440</v>
      </c>
      <c r="I2269" s="16">
        <v>5.17</v>
      </c>
      <c r="J2269" s="16">
        <v>0</v>
      </c>
      <c r="K2269" s="16">
        <v>0</v>
      </c>
      <c r="L2269" s="159">
        <f t="shared" si="182"/>
        <v>0</v>
      </c>
      <c r="M2269" s="159">
        <f t="shared" si="182"/>
        <v>0</v>
      </c>
    </row>
    <row r="2270" spans="2:13">
      <c r="B2270" t="s">
        <v>195</v>
      </c>
      <c r="C2270">
        <f t="shared" si="183"/>
        <v>143</v>
      </c>
      <c r="D2270" t="str">
        <f t="shared" si="180"/>
        <v>BASSIN TOULONNAIS143</v>
      </c>
      <c r="E2270" t="s">
        <v>196</v>
      </c>
      <c r="F2270" t="str">
        <f t="shared" si="181"/>
        <v>BASSIN TOULONNAIS143</v>
      </c>
      <c r="G2270" t="s">
        <v>436</v>
      </c>
      <c r="I2270" s="16">
        <v>5</v>
      </c>
      <c r="J2270" s="16">
        <v>4</v>
      </c>
      <c r="K2270" s="16">
        <v>0</v>
      </c>
      <c r="L2270" s="159">
        <f t="shared" si="182"/>
        <v>0.8</v>
      </c>
      <c r="M2270" s="159">
        <f t="shared" si="182"/>
        <v>0</v>
      </c>
    </row>
    <row r="2271" spans="2:13">
      <c r="B2271" t="s">
        <v>195</v>
      </c>
      <c r="C2271">
        <f t="shared" si="183"/>
        <v>144</v>
      </c>
      <c r="D2271" t="str">
        <f t="shared" si="180"/>
        <v>BASSIN TOULONNAIS144</v>
      </c>
      <c r="E2271" t="s">
        <v>196</v>
      </c>
      <c r="F2271" t="str">
        <f t="shared" si="181"/>
        <v>BASSIN TOULONNAIS144</v>
      </c>
      <c r="G2271" t="s">
        <v>283</v>
      </c>
      <c r="I2271" s="16">
        <v>4.2300000000000004</v>
      </c>
      <c r="J2271" s="16">
        <v>0</v>
      </c>
      <c r="K2271" s="16">
        <v>0</v>
      </c>
      <c r="L2271" s="159">
        <f t="shared" si="182"/>
        <v>0</v>
      </c>
      <c r="M2271" s="159">
        <f t="shared" si="182"/>
        <v>0</v>
      </c>
    </row>
    <row r="2272" spans="2:13">
      <c r="B2272" t="s">
        <v>195</v>
      </c>
      <c r="C2272">
        <f t="shared" si="183"/>
        <v>145</v>
      </c>
      <c r="D2272" t="str">
        <f t="shared" si="180"/>
        <v>BASSIN TOULONNAIS145</v>
      </c>
      <c r="E2272" t="s">
        <v>196</v>
      </c>
      <c r="F2272" t="str">
        <f t="shared" si="181"/>
        <v>BASSIN TOULONNAIS145</v>
      </c>
      <c r="G2272" t="s">
        <v>277</v>
      </c>
      <c r="I2272" s="16">
        <v>4</v>
      </c>
      <c r="J2272" s="16">
        <v>0</v>
      </c>
      <c r="K2272" s="16">
        <v>0</v>
      </c>
      <c r="L2272" s="159">
        <f t="shared" si="182"/>
        <v>0</v>
      </c>
      <c r="M2272" s="159">
        <f t="shared" si="182"/>
        <v>0</v>
      </c>
    </row>
    <row r="2273" spans="2:13">
      <c r="B2273" t="s">
        <v>195</v>
      </c>
      <c r="C2273">
        <f t="shared" si="183"/>
        <v>146</v>
      </c>
      <c r="D2273" t="str">
        <f t="shared" si="180"/>
        <v>BASSIN TOULONNAIS146</v>
      </c>
      <c r="E2273" t="s">
        <v>196</v>
      </c>
      <c r="F2273" t="str">
        <f t="shared" si="181"/>
        <v>BASSIN TOULONNAIS146</v>
      </c>
      <c r="G2273" t="s">
        <v>383</v>
      </c>
      <c r="I2273" s="16">
        <v>3.94</v>
      </c>
      <c r="J2273" s="16">
        <v>0</v>
      </c>
      <c r="K2273" s="16">
        <v>3.94</v>
      </c>
      <c r="L2273" s="159">
        <f t="shared" si="182"/>
        <v>0</v>
      </c>
      <c r="M2273" s="159">
        <f t="shared" si="182"/>
        <v>1</v>
      </c>
    </row>
    <row r="2274" spans="2:13">
      <c r="B2274" t="s">
        <v>195</v>
      </c>
      <c r="C2274">
        <f t="shared" si="183"/>
        <v>147</v>
      </c>
      <c r="D2274" t="str">
        <f t="shared" si="180"/>
        <v>BASSIN TOULONNAIS147</v>
      </c>
      <c r="E2274" t="s">
        <v>196</v>
      </c>
      <c r="F2274" t="str">
        <f t="shared" si="181"/>
        <v>BASSIN TOULONNAIS147</v>
      </c>
      <c r="G2274" t="s">
        <v>367</v>
      </c>
      <c r="I2274" s="16">
        <v>3.86</v>
      </c>
      <c r="J2274" s="16">
        <v>3.86</v>
      </c>
      <c r="K2274" s="16">
        <v>0</v>
      </c>
      <c r="L2274" s="159">
        <f t="shared" si="182"/>
        <v>1</v>
      </c>
      <c r="M2274" s="159">
        <f t="shared" si="182"/>
        <v>0</v>
      </c>
    </row>
    <row r="2275" spans="2:13">
      <c r="B2275" t="s">
        <v>195</v>
      </c>
      <c r="C2275">
        <f t="shared" si="183"/>
        <v>148</v>
      </c>
      <c r="D2275" t="str">
        <f t="shared" si="180"/>
        <v>BASSIN TOULONNAIS148</v>
      </c>
      <c r="E2275" t="s">
        <v>196</v>
      </c>
      <c r="F2275" t="str">
        <f t="shared" si="181"/>
        <v>BASSIN TOULONNAIS148</v>
      </c>
      <c r="G2275" t="s">
        <v>415</v>
      </c>
      <c r="I2275" s="16">
        <v>3.79</v>
      </c>
      <c r="J2275" s="16">
        <v>0</v>
      </c>
      <c r="K2275" s="16">
        <v>0</v>
      </c>
      <c r="L2275" s="159">
        <f t="shared" si="182"/>
        <v>0</v>
      </c>
      <c r="M2275" s="159">
        <f t="shared" si="182"/>
        <v>0</v>
      </c>
    </row>
    <row r="2276" spans="2:13">
      <c r="B2276" t="s">
        <v>195</v>
      </c>
      <c r="C2276">
        <f t="shared" si="183"/>
        <v>149</v>
      </c>
      <c r="D2276" t="str">
        <f t="shared" si="180"/>
        <v>BASSIN TOULONNAIS149</v>
      </c>
      <c r="E2276" t="s">
        <v>196</v>
      </c>
      <c r="F2276" t="str">
        <f t="shared" si="181"/>
        <v>BASSIN TOULONNAIS149</v>
      </c>
      <c r="G2276" t="s">
        <v>391</v>
      </c>
      <c r="I2276" s="16">
        <v>2.8</v>
      </c>
      <c r="J2276" s="16">
        <v>0</v>
      </c>
      <c r="K2276" s="16">
        <v>0</v>
      </c>
      <c r="L2276" s="159">
        <f t="shared" si="182"/>
        <v>0</v>
      </c>
      <c r="M2276" s="159">
        <f t="shared" si="182"/>
        <v>0</v>
      </c>
    </row>
    <row r="2277" spans="2:13">
      <c r="B2277" t="s">
        <v>195</v>
      </c>
      <c r="C2277">
        <f t="shared" si="183"/>
        <v>150</v>
      </c>
      <c r="D2277" t="str">
        <f t="shared" si="180"/>
        <v>BASSIN TOULONNAIS150</v>
      </c>
      <c r="E2277" t="s">
        <v>196</v>
      </c>
      <c r="F2277" t="str">
        <f t="shared" si="181"/>
        <v>BASSIN TOULONNAIS150</v>
      </c>
      <c r="G2277" t="s">
        <v>301</v>
      </c>
      <c r="H2277" t="s">
        <v>918</v>
      </c>
      <c r="I2277" s="16">
        <v>2.39</v>
      </c>
      <c r="J2277" s="16">
        <v>0</v>
      </c>
      <c r="K2277" s="16">
        <v>0</v>
      </c>
      <c r="L2277" s="159">
        <f t="shared" si="182"/>
        <v>0</v>
      </c>
      <c r="M2277" s="159">
        <f t="shared" si="182"/>
        <v>0</v>
      </c>
    </row>
    <row r="2278" spans="2:13">
      <c r="B2278" t="s">
        <v>195</v>
      </c>
      <c r="C2278">
        <f t="shared" si="183"/>
        <v>151</v>
      </c>
      <c r="D2278" t="str">
        <f t="shared" si="180"/>
        <v>BASSIN TOULONNAIS151</v>
      </c>
      <c r="E2278" t="s">
        <v>196</v>
      </c>
      <c r="F2278" t="str">
        <f t="shared" si="181"/>
        <v>BASSIN TOULONNAIS151</v>
      </c>
      <c r="G2278" t="s">
        <v>401</v>
      </c>
      <c r="I2278" s="16">
        <v>1.51</v>
      </c>
      <c r="J2278" s="16">
        <v>1.51</v>
      </c>
      <c r="K2278" s="16">
        <v>0</v>
      </c>
      <c r="L2278" s="159">
        <f t="shared" si="182"/>
        <v>1</v>
      </c>
      <c r="M2278" s="159">
        <f t="shared" si="182"/>
        <v>0</v>
      </c>
    </row>
    <row r="2279" spans="2:13">
      <c r="B2279" t="s">
        <v>195</v>
      </c>
      <c r="C2279">
        <f t="shared" si="183"/>
        <v>152</v>
      </c>
      <c r="D2279" t="str">
        <f t="shared" si="180"/>
        <v>BASSIN TOULONNAIS152</v>
      </c>
      <c r="E2279" t="s">
        <v>196</v>
      </c>
      <c r="F2279" t="str">
        <f t="shared" si="181"/>
        <v>BASSIN TOULONNAIS152</v>
      </c>
      <c r="G2279" t="s">
        <v>420</v>
      </c>
      <c r="I2279" s="16">
        <v>1.1599999999999999</v>
      </c>
      <c r="J2279" s="16">
        <v>1.1599999999999999</v>
      </c>
      <c r="K2279" s="16">
        <v>0</v>
      </c>
      <c r="L2279" s="159">
        <f t="shared" si="182"/>
        <v>1</v>
      </c>
      <c r="M2279" s="159">
        <f t="shared" si="182"/>
        <v>0</v>
      </c>
    </row>
    <row r="2280" spans="2:13">
      <c r="B2280" t="s">
        <v>198</v>
      </c>
      <c r="C2280">
        <f t="shared" ref="C2280:C2311" si="184">RANK(I2280,$I$2280:$I$2419,0)</f>
        <v>1</v>
      </c>
      <c r="D2280" t="str">
        <f t="shared" si="180"/>
        <v>BASSIN D'AVIGNON1</v>
      </c>
      <c r="E2280" t="s">
        <v>199</v>
      </c>
      <c r="F2280" t="str">
        <f t="shared" si="181"/>
        <v>BASSIN D'AVIGNON1</v>
      </c>
      <c r="G2280" t="s">
        <v>208</v>
      </c>
      <c r="H2280" t="s">
        <v>907</v>
      </c>
      <c r="I2280" s="16">
        <v>492.81</v>
      </c>
      <c r="J2280" s="16">
        <v>72.08</v>
      </c>
      <c r="K2280" s="16">
        <v>412.82</v>
      </c>
      <c r="L2280" s="159">
        <f t="shared" si="182"/>
        <v>0.14626326576165255</v>
      </c>
      <c r="M2280" s="159">
        <f t="shared" si="182"/>
        <v>0.83768592358109617</v>
      </c>
    </row>
    <row r="2281" spans="2:13">
      <c r="B2281" t="s">
        <v>198</v>
      </c>
      <c r="C2281">
        <f t="shared" si="184"/>
        <v>2</v>
      </c>
      <c r="D2281" t="str">
        <f t="shared" si="180"/>
        <v>BASSIN D'AVIGNON2</v>
      </c>
      <c r="E2281" t="s">
        <v>199</v>
      </c>
      <c r="F2281" t="str">
        <f t="shared" si="181"/>
        <v>BASSIN D'AVIGNON2</v>
      </c>
      <c r="G2281" t="s">
        <v>216</v>
      </c>
      <c r="H2281" t="s">
        <v>910</v>
      </c>
      <c r="I2281" s="16">
        <v>459.31</v>
      </c>
      <c r="J2281" s="16">
        <v>342.6</v>
      </c>
      <c r="K2281" s="16">
        <v>207.61</v>
      </c>
      <c r="L2281" s="159">
        <f t="shared" si="182"/>
        <v>0.74590146088698273</v>
      </c>
      <c r="M2281" s="159">
        <f t="shared" si="182"/>
        <v>0.45200409309616602</v>
      </c>
    </row>
    <row r="2282" spans="2:13">
      <c r="B2282" t="s">
        <v>198</v>
      </c>
      <c r="C2282">
        <f t="shared" si="184"/>
        <v>3</v>
      </c>
      <c r="D2282" t="str">
        <f t="shared" si="180"/>
        <v>BASSIN D'AVIGNON3</v>
      </c>
      <c r="E2282" t="s">
        <v>199</v>
      </c>
      <c r="F2282" t="str">
        <f t="shared" si="181"/>
        <v>BASSIN D'AVIGNON3</v>
      </c>
      <c r="G2282" t="s">
        <v>274</v>
      </c>
      <c r="H2282" t="s">
        <v>275</v>
      </c>
      <c r="I2282" s="16">
        <v>381.46</v>
      </c>
      <c r="J2282" s="16">
        <v>98.54</v>
      </c>
      <c r="K2282" s="16">
        <v>321.45999999999998</v>
      </c>
      <c r="L2282" s="159">
        <f t="shared" si="182"/>
        <v>0.25832328422377188</v>
      </c>
      <c r="M2282" s="159">
        <f t="shared" si="182"/>
        <v>0.84270958947202856</v>
      </c>
    </row>
    <row r="2283" spans="2:13">
      <c r="B2283" t="s">
        <v>198</v>
      </c>
      <c r="C2283">
        <f t="shared" si="184"/>
        <v>4</v>
      </c>
      <c r="D2283" t="str">
        <f t="shared" si="180"/>
        <v>BASSIN D'AVIGNON4</v>
      </c>
      <c r="E2283" t="s">
        <v>199</v>
      </c>
      <c r="F2283" t="str">
        <f t="shared" si="181"/>
        <v>BASSIN D'AVIGNON4</v>
      </c>
      <c r="G2283" t="s">
        <v>225</v>
      </c>
      <c r="H2283" t="s">
        <v>1779</v>
      </c>
      <c r="I2283" s="16">
        <v>372.56</v>
      </c>
      <c r="J2283" s="16">
        <v>227.04</v>
      </c>
      <c r="K2283" s="16">
        <v>70.58</v>
      </c>
      <c r="L2283" s="159">
        <f t="shared" si="182"/>
        <v>0.60940519647841951</v>
      </c>
      <c r="M2283" s="159">
        <f t="shared" si="182"/>
        <v>0.1894459952759287</v>
      </c>
    </row>
    <row r="2284" spans="2:13">
      <c r="B2284" t="s">
        <v>198</v>
      </c>
      <c r="C2284">
        <f t="shared" si="184"/>
        <v>5</v>
      </c>
      <c r="D2284" t="str">
        <f t="shared" si="180"/>
        <v>BASSIN D'AVIGNON5</v>
      </c>
      <c r="E2284" t="s">
        <v>199</v>
      </c>
      <c r="F2284" t="str">
        <f t="shared" si="181"/>
        <v>BASSIN D'AVIGNON5</v>
      </c>
      <c r="G2284" t="s">
        <v>207</v>
      </c>
      <c r="H2284" t="s">
        <v>906</v>
      </c>
      <c r="I2284" s="16">
        <v>352.91</v>
      </c>
      <c r="J2284" s="16">
        <v>166.85</v>
      </c>
      <c r="K2284" s="16">
        <v>264.48</v>
      </c>
      <c r="L2284" s="159">
        <f t="shared" si="182"/>
        <v>0.47278342920291289</v>
      </c>
      <c r="M2284" s="159">
        <f t="shared" si="182"/>
        <v>0.74942619931427279</v>
      </c>
    </row>
    <row r="2285" spans="2:13">
      <c r="B2285" t="s">
        <v>198</v>
      </c>
      <c r="C2285">
        <f t="shared" si="184"/>
        <v>6</v>
      </c>
      <c r="D2285" t="str">
        <f t="shared" si="180"/>
        <v>BASSIN D'AVIGNON6</v>
      </c>
      <c r="E2285" t="s">
        <v>199</v>
      </c>
      <c r="F2285" t="str">
        <f t="shared" si="181"/>
        <v>BASSIN D'AVIGNON6</v>
      </c>
      <c r="G2285" t="s">
        <v>334</v>
      </c>
      <c r="H2285" t="s">
        <v>335</v>
      </c>
      <c r="I2285" s="16">
        <v>350.22</v>
      </c>
      <c r="J2285" s="16">
        <v>60</v>
      </c>
      <c r="K2285" s="16">
        <v>331.19</v>
      </c>
      <c r="L2285" s="159">
        <f t="shared" si="182"/>
        <v>0.17132088401576151</v>
      </c>
      <c r="M2285" s="159">
        <f t="shared" si="182"/>
        <v>0.94566272628633419</v>
      </c>
    </row>
    <row r="2286" spans="2:13">
      <c r="B2286" t="s">
        <v>198</v>
      </c>
      <c r="C2286">
        <f t="shared" si="184"/>
        <v>7</v>
      </c>
      <c r="D2286" t="str">
        <f t="shared" si="180"/>
        <v>BASSIN D'AVIGNON7</v>
      </c>
      <c r="E2286" t="s">
        <v>199</v>
      </c>
      <c r="F2286" t="str">
        <f t="shared" si="181"/>
        <v>BASSIN D'AVIGNON7</v>
      </c>
      <c r="G2286" t="s">
        <v>211</v>
      </c>
      <c r="H2286" t="s">
        <v>908</v>
      </c>
      <c r="I2286" s="16">
        <v>311.63</v>
      </c>
      <c r="J2286" s="16">
        <v>0</v>
      </c>
      <c r="K2286" s="16">
        <v>282.60000000000002</v>
      </c>
      <c r="L2286" s="159">
        <f t="shared" si="182"/>
        <v>0</v>
      </c>
      <c r="M2286" s="159">
        <f t="shared" si="182"/>
        <v>0.90684465552097049</v>
      </c>
    </row>
    <row r="2287" spans="2:13">
      <c r="B2287" t="s">
        <v>198</v>
      </c>
      <c r="C2287">
        <f t="shared" si="184"/>
        <v>8</v>
      </c>
      <c r="D2287" t="str">
        <f t="shared" si="180"/>
        <v>BASSIN D'AVIGNON8</v>
      </c>
      <c r="E2287" t="s">
        <v>199</v>
      </c>
      <c r="F2287" t="str">
        <f t="shared" si="181"/>
        <v>BASSIN D'AVIGNON8</v>
      </c>
      <c r="G2287" t="s">
        <v>223</v>
      </c>
      <c r="H2287" t="s">
        <v>916</v>
      </c>
      <c r="I2287" s="16">
        <v>282.14</v>
      </c>
      <c r="J2287" s="16">
        <v>27.67</v>
      </c>
      <c r="K2287" s="16">
        <v>202.32</v>
      </c>
      <c r="L2287" s="159">
        <f t="shared" si="182"/>
        <v>9.8071879208903395E-2</v>
      </c>
      <c r="M2287" s="159">
        <f t="shared" si="182"/>
        <v>0.71709080598284536</v>
      </c>
    </row>
    <row r="2288" spans="2:13">
      <c r="B2288" t="s">
        <v>198</v>
      </c>
      <c r="C2288">
        <f t="shared" si="184"/>
        <v>9</v>
      </c>
      <c r="D2288" t="str">
        <f t="shared" si="180"/>
        <v>BASSIN D'AVIGNON9</v>
      </c>
      <c r="E2288" t="s">
        <v>199</v>
      </c>
      <c r="F2288" t="str">
        <f t="shared" si="181"/>
        <v>BASSIN D'AVIGNON9</v>
      </c>
      <c r="G2288" t="s">
        <v>212</v>
      </c>
      <c r="H2288" t="s">
        <v>909</v>
      </c>
      <c r="I2288" s="16">
        <v>253.41</v>
      </c>
      <c r="J2288" s="16">
        <v>8</v>
      </c>
      <c r="K2288" s="16">
        <v>198</v>
      </c>
      <c r="L2288" s="159">
        <f t="shared" si="182"/>
        <v>3.1569393473027903E-2</v>
      </c>
      <c r="M2288" s="159">
        <f t="shared" si="182"/>
        <v>0.78134248845744048</v>
      </c>
    </row>
    <row r="2289" spans="2:13">
      <c r="B2289" t="s">
        <v>198</v>
      </c>
      <c r="C2289">
        <f t="shared" si="184"/>
        <v>10</v>
      </c>
      <c r="D2289" t="str">
        <f t="shared" si="180"/>
        <v>BASSIN D'AVIGNON10</v>
      </c>
      <c r="E2289" t="s">
        <v>199</v>
      </c>
      <c r="F2289" t="str">
        <f t="shared" si="181"/>
        <v>BASSIN D'AVIGNON10</v>
      </c>
      <c r="G2289" t="s">
        <v>209</v>
      </c>
      <c r="H2289" t="s">
        <v>210</v>
      </c>
      <c r="I2289" s="16">
        <v>248.14</v>
      </c>
      <c r="J2289" s="16">
        <v>94.24</v>
      </c>
      <c r="K2289" s="16">
        <v>233.04</v>
      </c>
      <c r="L2289" s="159">
        <f t="shared" si="182"/>
        <v>0.37978560490045943</v>
      </c>
      <c r="M2289" s="159">
        <f t="shared" si="182"/>
        <v>0.93914725558152656</v>
      </c>
    </row>
    <row r="2290" spans="2:13">
      <c r="B2290" t="s">
        <v>198</v>
      </c>
      <c r="C2290">
        <f t="shared" si="184"/>
        <v>11</v>
      </c>
      <c r="D2290" t="str">
        <f t="shared" si="180"/>
        <v>BASSIN D'AVIGNON11</v>
      </c>
      <c r="E2290" t="s">
        <v>199</v>
      </c>
      <c r="F2290" t="str">
        <f t="shared" si="181"/>
        <v>BASSIN D'AVIGNON11</v>
      </c>
      <c r="G2290" t="s">
        <v>235</v>
      </c>
      <c r="H2290" t="s">
        <v>236</v>
      </c>
      <c r="I2290" s="16">
        <v>206.64</v>
      </c>
      <c r="J2290" s="16">
        <v>16</v>
      </c>
      <c r="K2290" s="16">
        <v>113.23</v>
      </c>
      <c r="L2290" s="159">
        <f t="shared" si="182"/>
        <v>7.7429345722028656E-2</v>
      </c>
      <c r="M2290" s="159">
        <f t="shared" si="182"/>
        <v>0.54795780100658154</v>
      </c>
    </row>
    <row r="2291" spans="2:13">
      <c r="B2291" t="s">
        <v>198</v>
      </c>
      <c r="C2291">
        <f t="shared" si="184"/>
        <v>12</v>
      </c>
      <c r="D2291" t="str">
        <f t="shared" si="180"/>
        <v>BASSIN D'AVIGNON12</v>
      </c>
      <c r="E2291" t="s">
        <v>199</v>
      </c>
      <c r="F2291" t="str">
        <f t="shared" si="181"/>
        <v>BASSIN D'AVIGNON12</v>
      </c>
      <c r="G2291" t="s">
        <v>213</v>
      </c>
      <c r="H2291" t="s">
        <v>919</v>
      </c>
      <c r="I2291" s="16">
        <v>196.62</v>
      </c>
      <c r="J2291" s="16">
        <v>9</v>
      </c>
      <c r="K2291" s="16">
        <v>132.80000000000001</v>
      </c>
      <c r="L2291" s="159">
        <f t="shared" si="182"/>
        <v>4.5773573390296002E-2</v>
      </c>
      <c r="M2291" s="159">
        <f t="shared" si="182"/>
        <v>0.67541450513681212</v>
      </c>
    </row>
    <row r="2292" spans="2:13">
      <c r="B2292" t="s">
        <v>198</v>
      </c>
      <c r="C2292">
        <f t="shared" si="184"/>
        <v>13</v>
      </c>
      <c r="D2292" t="str">
        <f t="shared" si="180"/>
        <v>BASSIN D'AVIGNON13</v>
      </c>
      <c r="E2292" t="s">
        <v>199</v>
      </c>
      <c r="F2292" t="str">
        <f t="shared" si="181"/>
        <v>BASSIN D'AVIGNON13</v>
      </c>
      <c r="G2292" t="s">
        <v>222</v>
      </c>
      <c r="H2292" t="s">
        <v>915</v>
      </c>
      <c r="I2292" s="16">
        <v>190.71</v>
      </c>
      <c r="J2292" s="16">
        <v>0</v>
      </c>
      <c r="K2292" s="16">
        <v>100.52</v>
      </c>
      <c r="L2292" s="159">
        <f t="shared" si="182"/>
        <v>0</v>
      </c>
      <c r="M2292" s="159">
        <f t="shared" si="182"/>
        <v>0.52708300561061294</v>
      </c>
    </row>
    <row r="2293" spans="2:13">
      <c r="B2293" t="s">
        <v>198</v>
      </c>
      <c r="C2293">
        <f t="shared" si="184"/>
        <v>14</v>
      </c>
      <c r="D2293" t="str">
        <f t="shared" si="180"/>
        <v>BASSIN D'AVIGNON14</v>
      </c>
      <c r="E2293" t="s">
        <v>199</v>
      </c>
      <c r="F2293" t="str">
        <f t="shared" si="181"/>
        <v>BASSIN D'AVIGNON14</v>
      </c>
      <c r="G2293" t="s">
        <v>229</v>
      </c>
      <c r="H2293" t="s">
        <v>921</v>
      </c>
      <c r="I2293" s="16">
        <v>174.2</v>
      </c>
      <c r="J2293" s="16">
        <v>74.73</v>
      </c>
      <c r="K2293" s="16">
        <v>156.22999999999999</v>
      </c>
      <c r="L2293" s="159">
        <f t="shared" si="182"/>
        <v>0.42898966704936858</v>
      </c>
      <c r="M2293" s="159">
        <f t="shared" si="182"/>
        <v>0.89684270952927669</v>
      </c>
    </row>
    <row r="2294" spans="2:13">
      <c r="B2294" t="s">
        <v>198</v>
      </c>
      <c r="C2294">
        <f t="shared" si="184"/>
        <v>15</v>
      </c>
      <c r="D2294" t="str">
        <f t="shared" si="180"/>
        <v>BASSIN D'AVIGNON15</v>
      </c>
      <c r="E2294" t="s">
        <v>199</v>
      </c>
      <c r="F2294" t="str">
        <f t="shared" si="181"/>
        <v>BASSIN D'AVIGNON15</v>
      </c>
      <c r="G2294" t="s">
        <v>251</v>
      </c>
      <c r="H2294" t="s">
        <v>929</v>
      </c>
      <c r="I2294" s="16">
        <v>168.97</v>
      </c>
      <c r="J2294" s="16">
        <v>52.12</v>
      </c>
      <c r="K2294" s="16">
        <v>28.38</v>
      </c>
      <c r="L2294" s="159">
        <f t="shared" si="182"/>
        <v>0.308457122566136</v>
      </c>
      <c r="M2294" s="159">
        <f t="shared" si="182"/>
        <v>0.16795880925608095</v>
      </c>
    </row>
    <row r="2295" spans="2:13">
      <c r="B2295" t="s">
        <v>198</v>
      </c>
      <c r="C2295">
        <f t="shared" si="184"/>
        <v>16</v>
      </c>
      <c r="D2295" t="str">
        <f t="shared" si="180"/>
        <v>BASSIN D'AVIGNON16</v>
      </c>
      <c r="E2295" t="s">
        <v>199</v>
      </c>
      <c r="F2295" t="str">
        <f t="shared" si="181"/>
        <v>BASSIN D'AVIGNON16</v>
      </c>
      <c r="G2295" t="s">
        <v>238</v>
      </c>
      <c r="H2295" t="s">
        <v>924</v>
      </c>
      <c r="I2295" s="16">
        <v>164.86</v>
      </c>
      <c r="J2295" s="16">
        <v>1</v>
      </c>
      <c r="K2295" s="16">
        <v>0</v>
      </c>
      <c r="L2295" s="159">
        <f t="shared" si="182"/>
        <v>6.0657527599175054E-3</v>
      </c>
      <c r="M2295" s="159">
        <f t="shared" si="182"/>
        <v>0</v>
      </c>
    </row>
    <row r="2296" spans="2:13">
      <c r="B2296" t="s">
        <v>198</v>
      </c>
      <c r="C2296">
        <f t="shared" si="184"/>
        <v>17</v>
      </c>
      <c r="D2296" t="str">
        <f t="shared" si="180"/>
        <v>BASSIN D'AVIGNON17</v>
      </c>
      <c r="E2296" t="s">
        <v>199</v>
      </c>
      <c r="F2296" t="str">
        <f t="shared" si="181"/>
        <v>BASSIN D'AVIGNON17</v>
      </c>
      <c r="G2296" t="s">
        <v>218</v>
      </c>
      <c r="H2296" t="s">
        <v>911</v>
      </c>
      <c r="I2296" s="16">
        <v>160.52000000000001</v>
      </c>
      <c r="J2296" s="16">
        <v>16.399999999999999</v>
      </c>
      <c r="K2296" s="16">
        <v>67.23</v>
      </c>
      <c r="L2296" s="159">
        <f t="shared" si="182"/>
        <v>0.10216795414901568</v>
      </c>
      <c r="M2296" s="159">
        <f t="shared" si="182"/>
        <v>0.41882631447794666</v>
      </c>
    </row>
    <row r="2297" spans="2:13">
      <c r="B2297" t="s">
        <v>198</v>
      </c>
      <c r="C2297">
        <f t="shared" si="184"/>
        <v>18</v>
      </c>
      <c r="D2297" t="str">
        <f t="shared" si="180"/>
        <v>BASSIN D'AVIGNON18</v>
      </c>
      <c r="E2297" t="s">
        <v>199</v>
      </c>
      <c r="F2297" t="str">
        <f t="shared" si="181"/>
        <v>BASSIN D'AVIGNON18</v>
      </c>
      <c r="G2297" t="s">
        <v>302</v>
      </c>
      <c r="I2297" s="16">
        <v>152.41</v>
      </c>
      <c r="J2297" s="16">
        <v>113.1</v>
      </c>
      <c r="K2297" s="16">
        <v>77.260000000000005</v>
      </c>
      <c r="L2297" s="159">
        <f t="shared" si="182"/>
        <v>0.74207729151630464</v>
      </c>
      <c r="M2297" s="159">
        <f t="shared" si="182"/>
        <v>0.50692211797126174</v>
      </c>
    </row>
    <row r="2298" spans="2:13">
      <c r="B2298" t="s">
        <v>198</v>
      </c>
      <c r="C2298">
        <f t="shared" si="184"/>
        <v>19</v>
      </c>
      <c r="D2298" t="str">
        <f t="shared" si="180"/>
        <v>BASSIN D'AVIGNON19</v>
      </c>
      <c r="E2298" t="s">
        <v>199</v>
      </c>
      <c r="F2298" t="str">
        <f t="shared" si="181"/>
        <v>BASSIN D'AVIGNON19</v>
      </c>
      <c r="G2298" t="s">
        <v>260</v>
      </c>
      <c r="H2298" t="s">
        <v>932</v>
      </c>
      <c r="I2298" s="16">
        <v>152.27000000000001</v>
      </c>
      <c r="J2298" s="16">
        <v>11.28</v>
      </c>
      <c r="K2298" s="16">
        <v>31.83</v>
      </c>
      <c r="L2298" s="159">
        <f t="shared" si="182"/>
        <v>7.4078938727260776E-2</v>
      </c>
      <c r="M2298" s="159">
        <f t="shared" si="182"/>
        <v>0.20903657975963746</v>
      </c>
    </row>
    <row r="2299" spans="2:13">
      <c r="B2299" t="s">
        <v>198</v>
      </c>
      <c r="C2299">
        <f t="shared" si="184"/>
        <v>20</v>
      </c>
      <c r="D2299" t="str">
        <f t="shared" si="180"/>
        <v>BASSIN D'AVIGNON20</v>
      </c>
      <c r="E2299" t="s">
        <v>199</v>
      </c>
      <c r="F2299" t="str">
        <f t="shared" si="181"/>
        <v>BASSIN D'AVIGNON20</v>
      </c>
      <c r="G2299" t="s">
        <v>228</v>
      </c>
      <c r="I2299" s="16">
        <v>139.79</v>
      </c>
      <c r="J2299" s="16">
        <v>42.17</v>
      </c>
      <c r="K2299" s="16">
        <v>0</v>
      </c>
      <c r="L2299" s="159">
        <f t="shared" si="182"/>
        <v>0.30166678589312546</v>
      </c>
      <c r="M2299" s="159">
        <f t="shared" si="182"/>
        <v>0</v>
      </c>
    </row>
    <row r="2300" spans="2:13">
      <c r="B2300" t="s">
        <v>198</v>
      </c>
      <c r="C2300">
        <f t="shared" si="184"/>
        <v>21</v>
      </c>
      <c r="D2300" t="str">
        <f t="shared" si="180"/>
        <v>BASSIN D'AVIGNON21</v>
      </c>
      <c r="E2300" t="s">
        <v>199</v>
      </c>
      <c r="F2300" t="str">
        <f t="shared" si="181"/>
        <v>BASSIN D'AVIGNON21</v>
      </c>
      <c r="G2300" t="s">
        <v>214</v>
      </c>
      <c r="H2300" t="s">
        <v>215</v>
      </c>
      <c r="I2300" s="16">
        <v>132.68</v>
      </c>
      <c r="J2300" s="16">
        <v>58.82</v>
      </c>
      <c r="K2300" s="16">
        <v>71.260000000000005</v>
      </c>
      <c r="L2300" s="159">
        <f t="shared" si="182"/>
        <v>0.44332227916792283</v>
      </c>
      <c r="M2300" s="159">
        <f t="shared" si="182"/>
        <v>0.53708170033162494</v>
      </c>
    </row>
    <row r="2301" spans="2:13">
      <c r="B2301" t="s">
        <v>198</v>
      </c>
      <c r="C2301">
        <f t="shared" si="184"/>
        <v>22</v>
      </c>
      <c r="D2301" t="str">
        <f t="shared" si="180"/>
        <v>BASSIN D'AVIGNON22</v>
      </c>
      <c r="E2301" t="s">
        <v>199</v>
      </c>
      <c r="F2301" t="str">
        <f t="shared" si="181"/>
        <v>BASSIN D'AVIGNON22</v>
      </c>
      <c r="G2301" t="s">
        <v>221</v>
      </c>
      <c r="H2301" t="s">
        <v>914</v>
      </c>
      <c r="I2301" s="16">
        <v>121.73</v>
      </c>
      <c r="J2301" s="16">
        <v>0</v>
      </c>
      <c r="K2301" s="16">
        <v>42.61</v>
      </c>
      <c r="L2301" s="159">
        <f t="shared" si="182"/>
        <v>0</v>
      </c>
      <c r="M2301" s="159">
        <f t="shared" si="182"/>
        <v>0.35003696705824366</v>
      </c>
    </row>
    <row r="2302" spans="2:13">
      <c r="B2302" t="s">
        <v>198</v>
      </c>
      <c r="C2302">
        <f t="shared" si="184"/>
        <v>23</v>
      </c>
      <c r="D2302" t="str">
        <f t="shared" si="180"/>
        <v>BASSIN D'AVIGNON23</v>
      </c>
      <c r="E2302" t="s">
        <v>199</v>
      </c>
      <c r="F2302" t="str">
        <f t="shared" si="181"/>
        <v>BASSIN D'AVIGNON23</v>
      </c>
      <c r="G2302" t="s">
        <v>224</v>
      </c>
      <c r="H2302" t="s">
        <v>917</v>
      </c>
      <c r="I2302" s="16">
        <v>120.39</v>
      </c>
      <c r="J2302" s="16">
        <v>14.52</v>
      </c>
      <c r="K2302" s="16">
        <v>12.33</v>
      </c>
      <c r="L2302" s="159">
        <f t="shared" si="182"/>
        <v>0.12060802392225267</v>
      </c>
      <c r="M2302" s="159">
        <f t="shared" si="182"/>
        <v>0.10241714428108648</v>
      </c>
    </row>
    <row r="2303" spans="2:13">
      <c r="B2303" t="s">
        <v>198</v>
      </c>
      <c r="C2303">
        <f t="shared" si="184"/>
        <v>24</v>
      </c>
      <c r="D2303" t="str">
        <f t="shared" si="180"/>
        <v>BASSIN D'AVIGNON24</v>
      </c>
      <c r="E2303" t="s">
        <v>199</v>
      </c>
      <c r="F2303" t="str">
        <f t="shared" si="181"/>
        <v>BASSIN D'AVIGNON24</v>
      </c>
      <c r="G2303" t="s">
        <v>230</v>
      </c>
      <c r="H2303" t="s">
        <v>231</v>
      </c>
      <c r="I2303" s="16">
        <v>116.6</v>
      </c>
      <c r="J2303" s="16">
        <v>45.12</v>
      </c>
      <c r="K2303" s="16">
        <v>97.86</v>
      </c>
      <c r="L2303" s="159">
        <f t="shared" si="182"/>
        <v>0.3869639794168096</v>
      </c>
      <c r="M2303" s="159">
        <f t="shared" si="182"/>
        <v>0.83927958833619209</v>
      </c>
    </row>
    <row r="2304" spans="2:13">
      <c r="B2304" t="s">
        <v>198</v>
      </c>
      <c r="C2304">
        <f t="shared" si="184"/>
        <v>25</v>
      </c>
      <c r="D2304" t="str">
        <f t="shared" si="180"/>
        <v>BASSIN D'AVIGNON25</v>
      </c>
      <c r="E2304" t="s">
        <v>199</v>
      </c>
      <c r="F2304" t="str">
        <f t="shared" si="181"/>
        <v>BASSIN D'AVIGNON25</v>
      </c>
      <c r="G2304" t="s">
        <v>220</v>
      </c>
      <c r="H2304" t="s">
        <v>913</v>
      </c>
      <c r="I2304" s="16">
        <v>106.16</v>
      </c>
      <c r="J2304" s="16">
        <v>9.18</v>
      </c>
      <c r="K2304" s="16">
        <v>56.73</v>
      </c>
      <c r="L2304" s="159">
        <f t="shared" si="182"/>
        <v>8.6473247927656371E-2</v>
      </c>
      <c r="M2304" s="159">
        <f t="shared" si="182"/>
        <v>0.53438206480783723</v>
      </c>
    </row>
    <row r="2305" spans="2:13">
      <c r="B2305" t="s">
        <v>198</v>
      </c>
      <c r="C2305">
        <f t="shared" si="184"/>
        <v>26</v>
      </c>
      <c r="D2305" t="str">
        <f t="shared" si="180"/>
        <v>BASSIN D'AVIGNON26</v>
      </c>
      <c r="E2305" t="s">
        <v>199</v>
      </c>
      <c r="F2305" t="str">
        <f t="shared" si="181"/>
        <v>BASSIN D'AVIGNON26</v>
      </c>
      <c r="G2305" t="s">
        <v>386</v>
      </c>
      <c r="I2305" s="16">
        <v>105</v>
      </c>
      <c r="J2305" s="16">
        <v>10</v>
      </c>
      <c r="K2305" s="16">
        <v>95</v>
      </c>
      <c r="L2305" s="159">
        <f t="shared" si="182"/>
        <v>9.5238095238095233E-2</v>
      </c>
      <c r="M2305" s="159">
        <f t="shared" si="182"/>
        <v>0.90476190476190477</v>
      </c>
    </row>
    <row r="2306" spans="2:13">
      <c r="B2306" t="s">
        <v>198</v>
      </c>
      <c r="C2306">
        <f t="shared" si="184"/>
        <v>27</v>
      </c>
      <c r="D2306" t="str">
        <f t="shared" ref="D2306:D2369" si="185">CONCATENATE(E2306,C2306)</f>
        <v>BASSIN D'AVIGNON27</v>
      </c>
      <c r="E2306" t="s">
        <v>199</v>
      </c>
      <c r="F2306" t="str">
        <f t="shared" si="181"/>
        <v>BASSIN D'AVIGNON27</v>
      </c>
      <c r="G2306" t="s">
        <v>316</v>
      </c>
      <c r="H2306" t="s">
        <v>317</v>
      </c>
      <c r="I2306" s="16">
        <v>102.4</v>
      </c>
      <c r="J2306" s="16">
        <v>0</v>
      </c>
      <c r="K2306" s="16">
        <v>102.4</v>
      </c>
      <c r="L2306" s="159">
        <f t="shared" si="182"/>
        <v>0</v>
      </c>
      <c r="M2306" s="159">
        <f t="shared" si="182"/>
        <v>1</v>
      </c>
    </row>
    <row r="2307" spans="2:13">
      <c r="B2307" t="s">
        <v>198</v>
      </c>
      <c r="C2307">
        <f t="shared" si="184"/>
        <v>28</v>
      </c>
      <c r="D2307" t="str">
        <f t="shared" si="185"/>
        <v>BASSIN D'AVIGNON28</v>
      </c>
      <c r="E2307" t="s">
        <v>199</v>
      </c>
      <c r="F2307" t="str">
        <f t="shared" ref="F2307:F2370" si="186">D2307</f>
        <v>BASSIN D'AVIGNON28</v>
      </c>
      <c r="G2307" t="s">
        <v>234</v>
      </c>
      <c r="H2307" t="s">
        <v>923</v>
      </c>
      <c r="I2307" s="16">
        <v>99.09</v>
      </c>
      <c r="J2307" s="16">
        <v>32.94</v>
      </c>
      <c r="K2307" s="16">
        <v>33.29</v>
      </c>
      <c r="L2307" s="159">
        <f t="shared" ref="L2307:M2370" si="187">J2307/$I2307</f>
        <v>0.33242506811989098</v>
      </c>
      <c r="M2307" s="159">
        <f t="shared" si="187"/>
        <v>0.33595721061661116</v>
      </c>
    </row>
    <row r="2308" spans="2:13">
      <c r="B2308" t="s">
        <v>198</v>
      </c>
      <c r="C2308">
        <f t="shared" si="184"/>
        <v>29</v>
      </c>
      <c r="D2308" t="str">
        <f t="shared" si="185"/>
        <v>BASSIN D'AVIGNON29</v>
      </c>
      <c r="E2308" t="s">
        <v>199</v>
      </c>
      <c r="F2308" t="str">
        <f t="shared" si="186"/>
        <v>BASSIN D'AVIGNON29</v>
      </c>
      <c r="G2308" t="s">
        <v>270</v>
      </c>
      <c r="I2308" s="16">
        <v>84.01</v>
      </c>
      <c r="J2308" s="16">
        <v>64.25</v>
      </c>
      <c r="K2308" s="16">
        <v>0</v>
      </c>
      <c r="L2308" s="159">
        <f t="shared" si="187"/>
        <v>0.76478990596357577</v>
      </c>
      <c r="M2308" s="159">
        <f t="shared" si="187"/>
        <v>0</v>
      </c>
    </row>
    <row r="2309" spans="2:13">
      <c r="B2309" t="s">
        <v>198</v>
      </c>
      <c r="C2309">
        <f t="shared" si="184"/>
        <v>30</v>
      </c>
      <c r="D2309" t="str">
        <f t="shared" si="185"/>
        <v>BASSIN D'AVIGNON30</v>
      </c>
      <c r="E2309" t="s">
        <v>199</v>
      </c>
      <c r="F2309" t="str">
        <f t="shared" si="186"/>
        <v>BASSIN D'AVIGNON30</v>
      </c>
      <c r="G2309" t="s">
        <v>303</v>
      </c>
      <c r="H2309" t="s">
        <v>936</v>
      </c>
      <c r="I2309" s="16">
        <v>83.72</v>
      </c>
      <c r="J2309" s="16">
        <v>40</v>
      </c>
      <c r="K2309" s="16">
        <v>0</v>
      </c>
      <c r="L2309" s="159">
        <f t="shared" si="187"/>
        <v>0.47778308647873868</v>
      </c>
      <c r="M2309" s="159">
        <f t="shared" si="187"/>
        <v>0</v>
      </c>
    </row>
    <row r="2310" spans="2:13">
      <c r="B2310" t="s">
        <v>198</v>
      </c>
      <c r="C2310">
        <f t="shared" si="184"/>
        <v>31</v>
      </c>
      <c r="D2310" t="str">
        <f t="shared" si="185"/>
        <v>BASSIN D'AVIGNON31</v>
      </c>
      <c r="E2310" t="s">
        <v>199</v>
      </c>
      <c r="F2310" t="str">
        <f t="shared" si="186"/>
        <v>BASSIN D'AVIGNON31</v>
      </c>
      <c r="G2310" t="s">
        <v>232</v>
      </c>
      <c r="H2310" t="s">
        <v>922</v>
      </c>
      <c r="I2310" s="16">
        <v>80.05</v>
      </c>
      <c r="J2310" s="16">
        <v>61.94</v>
      </c>
      <c r="K2310" s="16">
        <v>0</v>
      </c>
      <c r="L2310" s="159">
        <f t="shared" si="187"/>
        <v>0.77376639600249841</v>
      </c>
      <c r="M2310" s="159">
        <f t="shared" si="187"/>
        <v>0</v>
      </c>
    </row>
    <row r="2311" spans="2:13">
      <c r="B2311" t="s">
        <v>198</v>
      </c>
      <c r="C2311">
        <f t="shared" si="184"/>
        <v>32</v>
      </c>
      <c r="D2311" t="str">
        <f t="shared" si="185"/>
        <v>BASSIN D'AVIGNON32</v>
      </c>
      <c r="E2311" t="s">
        <v>199</v>
      </c>
      <c r="F2311" t="str">
        <f t="shared" si="186"/>
        <v>BASSIN D'AVIGNON32</v>
      </c>
      <c r="G2311" t="s">
        <v>219</v>
      </c>
      <c r="H2311" t="s">
        <v>912</v>
      </c>
      <c r="I2311" s="16">
        <v>75.87</v>
      </c>
      <c r="J2311" s="16">
        <v>1.98</v>
      </c>
      <c r="K2311" s="16">
        <v>44.4</v>
      </c>
      <c r="L2311" s="159">
        <f t="shared" si="187"/>
        <v>2.6097271648873072E-2</v>
      </c>
      <c r="M2311" s="159">
        <f t="shared" si="187"/>
        <v>0.58521154606563852</v>
      </c>
    </row>
    <row r="2312" spans="2:13">
      <c r="B2312" t="s">
        <v>198</v>
      </c>
      <c r="C2312">
        <f t="shared" ref="C2312:C2343" si="188">RANK(I2312,$I$2280:$I$2419,0)</f>
        <v>33</v>
      </c>
      <c r="D2312" t="str">
        <f t="shared" si="185"/>
        <v>BASSIN D'AVIGNON33</v>
      </c>
      <c r="E2312" t="s">
        <v>199</v>
      </c>
      <c r="F2312" t="str">
        <f t="shared" si="186"/>
        <v>BASSIN D'AVIGNON33</v>
      </c>
      <c r="G2312" t="s">
        <v>255</v>
      </c>
      <c r="H2312" t="s">
        <v>256</v>
      </c>
      <c r="I2312" s="16">
        <v>75.77</v>
      </c>
      <c r="J2312" s="16">
        <v>13.31</v>
      </c>
      <c r="K2312" s="16">
        <v>20.76</v>
      </c>
      <c r="L2312" s="159">
        <f t="shared" si="187"/>
        <v>0.17566319123663721</v>
      </c>
      <c r="M2312" s="159">
        <f t="shared" si="187"/>
        <v>0.27398706612115614</v>
      </c>
    </row>
    <row r="2313" spans="2:13">
      <c r="B2313" t="s">
        <v>198</v>
      </c>
      <c r="C2313">
        <f t="shared" si="188"/>
        <v>34</v>
      </c>
      <c r="D2313" t="str">
        <f t="shared" si="185"/>
        <v>BASSIN D'AVIGNON34</v>
      </c>
      <c r="E2313" t="s">
        <v>199</v>
      </c>
      <c r="F2313" t="str">
        <f t="shared" si="186"/>
        <v>BASSIN D'AVIGNON34</v>
      </c>
      <c r="G2313" t="s">
        <v>254</v>
      </c>
      <c r="H2313" t="s">
        <v>931</v>
      </c>
      <c r="I2313" s="16">
        <v>69.040000000000006</v>
      </c>
      <c r="J2313" s="16">
        <v>8.74</v>
      </c>
      <c r="K2313" s="16">
        <v>0</v>
      </c>
      <c r="L2313" s="159">
        <f t="shared" si="187"/>
        <v>0.12659327925840091</v>
      </c>
      <c r="M2313" s="159">
        <f t="shared" si="187"/>
        <v>0</v>
      </c>
    </row>
    <row r="2314" spans="2:13">
      <c r="B2314" t="s">
        <v>198</v>
      </c>
      <c r="C2314">
        <f t="shared" si="188"/>
        <v>35</v>
      </c>
      <c r="D2314" t="str">
        <f t="shared" si="185"/>
        <v>BASSIN D'AVIGNON35</v>
      </c>
      <c r="E2314" t="s">
        <v>199</v>
      </c>
      <c r="F2314" t="str">
        <f t="shared" si="186"/>
        <v>BASSIN D'AVIGNON35</v>
      </c>
      <c r="G2314" t="s">
        <v>268</v>
      </c>
      <c r="H2314" t="s">
        <v>269</v>
      </c>
      <c r="I2314" s="16">
        <v>65.739999999999995</v>
      </c>
      <c r="J2314" s="16">
        <v>41.42</v>
      </c>
      <c r="K2314" s="16">
        <v>0</v>
      </c>
      <c r="L2314" s="159">
        <f t="shared" si="187"/>
        <v>0.63005780346820817</v>
      </c>
      <c r="M2314" s="159">
        <f t="shared" si="187"/>
        <v>0</v>
      </c>
    </row>
    <row r="2315" spans="2:13">
      <c r="B2315" t="s">
        <v>198</v>
      </c>
      <c r="C2315">
        <f t="shared" si="188"/>
        <v>36</v>
      </c>
      <c r="D2315" t="str">
        <f t="shared" si="185"/>
        <v>BASSIN D'AVIGNON36</v>
      </c>
      <c r="E2315" t="s">
        <v>199</v>
      </c>
      <c r="F2315" t="str">
        <f t="shared" si="186"/>
        <v>BASSIN D'AVIGNON36</v>
      </c>
      <c r="G2315" t="s">
        <v>259</v>
      </c>
      <c r="I2315" s="16">
        <v>65.09</v>
      </c>
      <c r="J2315" s="16">
        <v>51.87</v>
      </c>
      <c r="K2315" s="16">
        <v>21</v>
      </c>
      <c r="L2315" s="159">
        <f t="shared" si="187"/>
        <v>0.79689660470118284</v>
      </c>
      <c r="M2315" s="159">
        <f t="shared" si="187"/>
        <v>0.3226302043324627</v>
      </c>
    </row>
    <row r="2316" spans="2:13">
      <c r="B2316" t="s">
        <v>198</v>
      </c>
      <c r="C2316">
        <f t="shared" si="188"/>
        <v>37</v>
      </c>
      <c r="D2316" t="str">
        <f t="shared" si="185"/>
        <v>BASSIN D'AVIGNON37</v>
      </c>
      <c r="E2316" t="s">
        <v>199</v>
      </c>
      <c r="F2316" t="str">
        <f t="shared" si="186"/>
        <v>BASSIN D'AVIGNON37</v>
      </c>
      <c r="G2316" t="s">
        <v>289</v>
      </c>
      <c r="H2316" t="s">
        <v>935</v>
      </c>
      <c r="I2316" s="16">
        <v>64.66</v>
      </c>
      <c r="J2316" s="16">
        <v>34.130000000000003</v>
      </c>
      <c r="K2316" s="16">
        <v>0</v>
      </c>
      <c r="L2316" s="159">
        <f t="shared" si="187"/>
        <v>0.52783792143519959</v>
      </c>
      <c r="M2316" s="159">
        <f t="shared" si="187"/>
        <v>0</v>
      </c>
    </row>
    <row r="2317" spans="2:13">
      <c r="B2317" t="s">
        <v>198</v>
      </c>
      <c r="C2317">
        <f t="shared" si="188"/>
        <v>38</v>
      </c>
      <c r="D2317" t="str">
        <f t="shared" si="185"/>
        <v>BASSIN D'AVIGNON38</v>
      </c>
      <c r="E2317" t="s">
        <v>199</v>
      </c>
      <c r="F2317" t="str">
        <f t="shared" si="186"/>
        <v>BASSIN D'AVIGNON38</v>
      </c>
      <c r="G2317" t="s">
        <v>226</v>
      </c>
      <c r="H2317" t="s">
        <v>227</v>
      </c>
      <c r="I2317" s="16">
        <v>61.86</v>
      </c>
      <c r="J2317" s="16">
        <v>3.2</v>
      </c>
      <c r="K2317" s="16">
        <v>19.04</v>
      </c>
      <c r="L2317" s="159">
        <f t="shared" si="187"/>
        <v>5.1729712253475592E-2</v>
      </c>
      <c r="M2317" s="159">
        <f t="shared" si="187"/>
        <v>0.30779178790817974</v>
      </c>
    </row>
    <row r="2318" spans="2:13">
      <c r="B2318" t="s">
        <v>198</v>
      </c>
      <c r="C2318">
        <f t="shared" si="188"/>
        <v>39</v>
      </c>
      <c r="D2318" t="str">
        <f t="shared" si="185"/>
        <v>BASSIN D'AVIGNON39</v>
      </c>
      <c r="E2318" t="s">
        <v>199</v>
      </c>
      <c r="F2318" t="str">
        <f t="shared" si="186"/>
        <v>BASSIN D'AVIGNON39</v>
      </c>
      <c r="G2318" t="s">
        <v>239</v>
      </c>
      <c r="H2318" t="s">
        <v>925</v>
      </c>
      <c r="I2318" s="16">
        <v>56.51</v>
      </c>
      <c r="J2318" s="16">
        <v>4.67</v>
      </c>
      <c r="K2318" s="16">
        <v>49.92</v>
      </c>
      <c r="L2318" s="159">
        <f t="shared" si="187"/>
        <v>8.2640240665368958E-2</v>
      </c>
      <c r="M2318" s="159">
        <f t="shared" si="187"/>
        <v>0.88338347195186695</v>
      </c>
    </row>
    <row r="2319" spans="2:13">
      <c r="B2319" t="s">
        <v>198</v>
      </c>
      <c r="C2319">
        <f t="shared" si="188"/>
        <v>40</v>
      </c>
      <c r="D2319" t="str">
        <f t="shared" si="185"/>
        <v>BASSIN D'AVIGNON40</v>
      </c>
      <c r="E2319" t="s">
        <v>199</v>
      </c>
      <c r="F2319" t="str">
        <f t="shared" si="186"/>
        <v>BASSIN D'AVIGNON40</v>
      </c>
      <c r="G2319" t="s">
        <v>266</v>
      </c>
      <c r="H2319" t="s">
        <v>267</v>
      </c>
      <c r="I2319" s="16">
        <v>55.47</v>
      </c>
      <c r="J2319" s="16">
        <v>0</v>
      </c>
      <c r="K2319" s="16">
        <v>0</v>
      </c>
      <c r="L2319" s="159">
        <f t="shared" si="187"/>
        <v>0</v>
      </c>
      <c r="M2319" s="159">
        <f t="shared" si="187"/>
        <v>0</v>
      </c>
    </row>
    <row r="2320" spans="2:13">
      <c r="B2320" t="s">
        <v>198</v>
      </c>
      <c r="C2320">
        <f t="shared" si="188"/>
        <v>41</v>
      </c>
      <c r="D2320" t="str">
        <f t="shared" si="185"/>
        <v>BASSIN D'AVIGNON41</v>
      </c>
      <c r="E2320" t="s">
        <v>199</v>
      </c>
      <c r="F2320" t="str">
        <f t="shared" si="186"/>
        <v>BASSIN D'AVIGNON41</v>
      </c>
      <c r="G2320" t="s">
        <v>249</v>
      </c>
      <c r="I2320" s="16">
        <v>54</v>
      </c>
      <c r="J2320" s="16">
        <v>0</v>
      </c>
      <c r="K2320" s="16">
        <v>0</v>
      </c>
      <c r="L2320" s="159">
        <f t="shared" si="187"/>
        <v>0</v>
      </c>
      <c r="M2320" s="159">
        <f t="shared" si="187"/>
        <v>0</v>
      </c>
    </row>
    <row r="2321" spans="2:13">
      <c r="B2321" t="s">
        <v>198</v>
      </c>
      <c r="C2321">
        <f t="shared" si="188"/>
        <v>42</v>
      </c>
      <c r="D2321" t="str">
        <f t="shared" si="185"/>
        <v>BASSIN D'AVIGNON42</v>
      </c>
      <c r="E2321" t="s">
        <v>199</v>
      </c>
      <c r="F2321" t="str">
        <f t="shared" si="186"/>
        <v>BASSIN D'AVIGNON42</v>
      </c>
      <c r="G2321" t="s">
        <v>241</v>
      </c>
      <c r="H2321" t="s">
        <v>927</v>
      </c>
      <c r="I2321" s="16">
        <v>52.99</v>
      </c>
      <c r="J2321" s="16">
        <v>35.51</v>
      </c>
      <c r="K2321" s="16">
        <v>8.74</v>
      </c>
      <c r="L2321" s="159">
        <f t="shared" si="187"/>
        <v>0.67012643895074531</v>
      </c>
      <c r="M2321" s="159">
        <f t="shared" si="187"/>
        <v>0.16493678052462729</v>
      </c>
    </row>
    <row r="2322" spans="2:13">
      <c r="B2322" t="s">
        <v>198</v>
      </c>
      <c r="C2322">
        <f t="shared" si="188"/>
        <v>43</v>
      </c>
      <c r="D2322" t="str">
        <f t="shared" si="185"/>
        <v>BASSIN D'AVIGNON43</v>
      </c>
      <c r="E2322" t="s">
        <v>199</v>
      </c>
      <c r="F2322" t="str">
        <f t="shared" si="186"/>
        <v>BASSIN D'AVIGNON43</v>
      </c>
      <c r="G2322" t="s">
        <v>261</v>
      </c>
      <c r="I2322" s="16">
        <v>50</v>
      </c>
      <c r="J2322" s="16">
        <v>0</v>
      </c>
      <c r="K2322" s="16">
        <v>50</v>
      </c>
      <c r="L2322" s="159">
        <f t="shared" si="187"/>
        <v>0</v>
      </c>
      <c r="M2322" s="159">
        <f t="shared" si="187"/>
        <v>1</v>
      </c>
    </row>
    <row r="2323" spans="2:13">
      <c r="B2323" t="s">
        <v>198</v>
      </c>
      <c r="C2323">
        <f t="shared" si="188"/>
        <v>44</v>
      </c>
      <c r="D2323" t="str">
        <f t="shared" si="185"/>
        <v>BASSIN D'AVIGNON44</v>
      </c>
      <c r="E2323" t="s">
        <v>199</v>
      </c>
      <c r="F2323" t="str">
        <f t="shared" si="186"/>
        <v>BASSIN D'AVIGNON44</v>
      </c>
      <c r="G2323" t="s">
        <v>282</v>
      </c>
      <c r="H2323" t="s">
        <v>920</v>
      </c>
      <c r="I2323" s="16">
        <v>45.03</v>
      </c>
      <c r="J2323" s="16">
        <v>3.28</v>
      </c>
      <c r="K2323" s="16">
        <v>0</v>
      </c>
      <c r="L2323" s="159">
        <f t="shared" si="187"/>
        <v>7.2840328669775703E-2</v>
      </c>
      <c r="M2323" s="159">
        <f t="shared" si="187"/>
        <v>0</v>
      </c>
    </row>
    <row r="2324" spans="2:13">
      <c r="B2324" t="s">
        <v>198</v>
      </c>
      <c r="C2324">
        <f t="shared" si="188"/>
        <v>45</v>
      </c>
      <c r="D2324" t="str">
        <f t="shared" si="185"/>
        <v>BASSIN D'AVIGNON45</v>
      </c>
      <c r="E2324" t="s">
        <v>199</v>
      </c>
      <c r="F2324" t="str">
        <f t="shared" si="186"/>
        <v>BASSIN D'AVIGNON45</v>
      </c>
      <c r="G2324" t="s">
        <v>427</v>
      </c>
      <c r="H2324" t="s">
        <v>1797</v>
      </c>
      <c r="I2324" s="16">
        <v>44.79</v>
      </c>
      <c r="J2324" s="16">
        <v>37.159999999999997</v>
      </c>
      <c r="K2324" s="16">
        <v>24.79</v>
      </c>
      <c r="L2324" s="159">
        <f t="shared" si="187"/>
        <v>0.82964947532931455</v>
      </c>
      <c r="M2324" s="159">
        <f t="shared" si="187"/>
        <v>0.55347175708863583</v>
      </c>
    </row>
    <row r="2325" spans="2:13">
      <c r="B2325" t="s">
        <v>198</v>
      </c>
      <c r="C2325">
        <f t="shared" si="188"/>
        <v>46</v>
      </c>
      <c r="D2325" t="str">
        <f t="shared" si="185"/>
        <v>BASSIN D'AVIGNON46</v>
      </c>
      <c r="E2325" t="s">
        <v>199</v>
      </c>
      <c r="F2325" t="str">
        <f t="shared" si="186"/>
        <v>BASSIN D'AVIGNON46</v>
      </c>
      <c r="G2325" t="s">
        <v>341</v>
      </c>
      <c r="I2325" s="16">
        <v>43.34</v>
      </c>
      <c r="J2325" s="16">
        <v>16.75</v>
      </c>
      <c r="K2325" s="16">
        <v>0</v>
      </c>
      <c r="L2325" s="159">
        <f t="shared" si="187"/>
        <v>0.38647900323027223</v>
      </c>
      <c r="M2325" s="159">
        <f t="shared" si="187"/>
        <v>0</v>
      </c>
    </row>
    <row r="2326" spans="2:13">
      <c r="B2326" t="s">
        <v>198</v>
      </c>
      <c r="C2326">
        <f t="shared" si="188"/>
        <v>47</v>
      </c>
      <c r="D2326" t="str">
        <f t="shared" si="185"/>
        <v>BASSIN D'AVIGNON47</v>
      </c>
      <c r="E2326" t="s">
        <v>199</v>
      </c>
      <c r="F2326" t="str">
        <f t="shared" si="186"/>
        <v>BASSIN D'AVIGNON47</v>
      </c>
      <c r="G2326" t="s">
        <v>330</v>
      </c>
      <c r="I2326" s="16">
        <v>42.45</v>
      </c>
      <c r="J2326" s="16">
        <v>29.14</v>
      </c>
      <c r="K2326" s="16">
        <v>0</v>
      </c>
      <c r="L2326" s="159">
        <f t="shared" si="187"/>
        <v>0.68645465253239102</v>
      </c>
      <c r="M2326" s="159">
        <f t="shared" si="187"/>
        <v>0</v>
      </c>
    </row>
    <row r="2327" spans="2:13">
      <c r="B2327" t="s">
        <v>198</v>
      </c>
      <c r="C2327">
        <f t="shared" si="188"/>
        <v>48</v>
      </c>
      <c r="D2327" t="str">
        <f t="shared" si="185"/>
        <v>BASSIN D'AVIGNON48</v>
      </c>
      <c r="E2327" t="s">
        <v>199</v>
      </c>
      <c r="F2327" t="str">
        <f t="shared" si="186"/>
        <v>BASSIN D'AVIGNON48</v>
      </c>
      <c r="G2327" t="s">
        <v>257</v>
      </c>
      <c r="I2327" s="16">
        <v>40.01</v>
      </c>
      <c r="J2327" s="16">
        <v>20.010000000000002</v>
      </c>
      <c r="K2327" s="16">
        <v>8.58</v>
      </c>
      <c r="L2327" s="159">
        <f t="shared" si="187"/>
        <v>0.50012496875781065</v>
      </c>
      <c r="M2327" s="159">
        <f t="shared" si="187"/>
        <v>0.21444638840289929</v>
      </c>
    </row>
    <row r="2328" spans="2:13">
      <c r="B2328" t="s">
        <v>198</v>
      </c>
      <c r="C2328">
        <f t="shared" si="188"/>
        <v>49</v>
      </c>
      <c r="D2328" t="str">
        <f t="shared" si="185"/>
        <v>BASSIN D'AVIGNON49</v>
      </c>
      <c r="E2328" t="s">
        <v>199</v>
      </c>
      <c r="F2328" t="str">
        <f t="shared" si="186"/>
        <v>BASSIN D'AVIGNON49</v>
      </c>
      <c r="G2328" t="s">
        <v>409</v>
      </c>
      <c r="I2328" s="16">
        <v>39.29</v>
      </c>
      <c r="J2328" s="16">
        <v>0</v>
      </c>
      <c r="K2328" s="16">
        <v>0</v>
      </c>
      <c r="L2328" s="159">
        <f t="shared" si="187"/>
        <v>0</v>
      </c>
      <c r="M2328" s="159">
        <f t="shared" si="187"/>
        <v>0</v>
      </c>
    </row>
    <row r="2329" spans="2:13">
      <c r="B2329" t="s">
        <v>198</v>
      </c>
      <c r="C2329">
        <f t="shared" si="188"/>
        <v>50</v>
      </c>
      <c r="D2329" t="str">
        <f t="shared" si="185"/>
        <v>BASSIN D'AVIGNON50</v>
      </c>
      <c r="E2329" t="s">
        <v>199</v>
      </c>
      <c r="F2329" t="str">
        <f t="shared" si="186"/>
        <v>BASSIN D'AVIGNON50</v>
      </c>
      <c r="G2329" t="s">
        <v>276</v>
      </c>
      <c r="H2329" t="s">
        <v>933</v>
      </c>
      <c r="I2329" s="16">
        <v>38.520000000000003</v>
      </c>
      <c r="J2329" s="16">
        <v>0</v>
      </c>
      <c r="K2329" s="16">
        <v>0</v>
      </c>
      <c r="L2329" s="159">
        <f t="shared" si="187"/>
        <v>0</v>
      </c>
      <c r="M2329" s="159">
        <f t="shared" si="187"/>
        <v>0</v>
      </c>
    </row>
    <row r="2330" spans="2:13">
      <c r="B2330" t="s">
        <v>198</v>
      </c>
      <c r="C2330">
        <f t="shared" si="188"/>
        <v>51</v>
      </c>
      <c r="D2330" t="str">
        <f t="shared" si="185"/>
        <v>BASSIN D'AVIGNON51</v>
      </c>
      <c r="E2330" t="s">
        <v>199</v>
      </c>
      <c r="F2330" t="str">
        <f t="shared" si="186"/>
        <v>BASSIN D'AVIGNON51</v>
      </c>
      <c r="G2330" t="s">
        <v>246</v>
      </c>
      <c r="H2330" t="s">
        <v>928</v>
      </c>
      <c r="I2330" s="16">
        <v>38.32</v>
      </c>
      <c r="J2330" s="16">
        <v>24.97</v>
      </c>
      <c r="K2330" s="16">
        <v>15.79</v>
      </c>
      <c r="L2330" s="159">
        <f t="shared" si="187"/>
        <v>0.65161795407098122</v>
      </c>
      <c r="M2330" s="159">
        <f t="shared" si="187"/>
        <v>0.41205636743215029</v>
      </c>
    </row>
    <row r="2331" spans="2:13">
      <c r="B2331" t="s">
        <v>198</v>
      </c>
      <c r="C2331">
        <f t="shared" si="188"/>
        <v>52</v>
      </c>
      <c r="D2331" t="str">
        <f t="shared" si="185"/>
        <v>BASSIN D'AVIGNON52</v>
      </c>
      <c r="E2331" t="s">
        <v>199</v>
      </c>
      <c r="F2331" t="str">
        <f t="shared" si="186"/>
        <v>BASSIN D'AVIGNON52</v>
      </c>
      <c r="G2331" t="s">
        <v>253</v>
      </c>
      <c r="I2331" s="16">
        <v>37.659999999999997</v>
      </c>
      <c r="J2331" s="16">
        <v>11.73</v>
      </c>
      <c r="K2331" s="16">
        <v>27.69</v>
      </c>
      <c r="L2331" s="159">
        <f t="shared" si="187"/>
        <v>0.31147105682421672</v>
      </c>
      <c r="M2331" s="159">
        <f t="shared" si="187"/>
        <v>0.73526287838555504</v>
      </c>
    </row>
    <row r="2332" spans="2:13">
      <c r="B2332" t="s">
        <v>198</v>
      </c>
      <c r="C2332">
        <f t="shared" si="188"/>
        <v>53</v>
      </c>
      <c r="D2332" t="str">
        <f t="shared" si="185"/>
        <v>BASSIN D'AVIGNON53</v>
      </c>
      <c r="E2332" t="s">
        <v>199</v>
      </c>
      <c r="F2332" t="str">
        <f t="shared" si="186"/>
        <v>BASSIN D'AVIGNON53</v>
      </c>
      <c r="G2332" t="s">
        <v>262</v>
      </c>
      <c r="I2332" s="16">
        <v>37.619999999999997</v>
      </c>
      <c r="J2332" s="16">
        <v>12.28</v>
      </c>
      <c r="K2332" s="16">
        <v>10.28</v>
      </c>
      <c r="L2332" s="159">
        <f t="shared" si="187"/>
        <v>0.32642211589580011</v>
      </c>
      <c r="M2332" s="159">
        <f t="shared" si="187"/>
        <v>0.2732589048378522</v>
      </c>
    </row>
    <row r="2333" spans="2:13">
      <c r="B2333" t="s">
        <v>198</v>
      </c>
      <c r="C2333">
        <f t="shared" si="188"/>
        <v>54</v>
      </c>
      <c r="D2333" t="str">
        <f t="shared" si="185"/>
        <v>BASSIN D'AVIGNON54</v>
      </c>
      <c r="E2333" t="s">
        <v>199</v>
      </c>
      <c r="F2333" t="str">
        <f t="shared" si="186"/>
        <v>BASSIN D'AVIGNON54</v>
      </c>
      <c r="G2333" t="s">
        <v>252</v>
      </c>
      <c r="H2333" t="s">
        <v>930</v>
      </c>
      <c r="I2333" s="16">
        <v>36.29</v>
      </c>
      <c r="J2333" s="16">
        <v>16.34</v>
      </c>
      <c r="K2333" s="16">
        <v>10.28</v>
      </c>
      <c r="L2333" s="159">
        <f t="shared" si="187"/>
        <v>0.45026178010471207</v>
      </c>
      <c r="M2333" s="159">
        <f t="shared" si="187"/>
        <v>0.28327362909892534</v>
      </c>
    </row>
    <row r="2334" spans="2:13">
      <c r="B2334" t="s">
        <v>198</v>
      </c>
      <c r="C2334">
        <f t="shared" si="188"/>
        <v>55</v>
      </c>
      <c r="D2334" t="str">
        <f t="shared" si="185"/>
        <v>BASSIN D'AVIGNON55</v>
      </c>
      <c r="E2334" t="s">
        <v>199</v>
      </c>
      <c r="F2334" t="str">
        <f t="shared" si="186"/>
        <v>BASSIN D'AVIGNON55</v>
      </c>
      <c r="G2334" t="s">
        <v>240</v>
      </c>
      <c r="H2334" t="s">
        <v>926</v>
      </c>
      <c r="I2334" s="16">
        <v>35</v>
      </c>
      <c r="J2334" s="16">
        <v>35</v>
      </c>
      <c r="K2334" s="16">
        <v>35</v>
      </c>
      <c r="L2334" s="159">
        <f t="shared" si="187"/>
        <v>1</v>
      </c>
      <c r="M2334" s="159">
        <f t="shared" si="187"/>
        <v>1</v>
      </c>
    </row>
    <row r="2335" spans="2:13">
      <c r="B2335" t="s">
        <v>198</v>
      </c>
      <c r="C2335">
        <f t="shared" si="188"/>
        <v>56</v>
      </c>
      <c r="D2335" t="str">
        <f t="shared" si="185"/>
        <v>BASSIN D'AVIGNON56</v>
      </c>
      <c r="E2335" t="s">
        <v>199</v>
      </c>
      <c r="F2335" t="str">
        <f t="shared" si="186"/>
        <v>BASSIN D'AVIGNON56</v>
      </c>
      <c r="G2335" t="s">
        <v>304</v>
      </c>
      <c r="I2335" s="16">
        <v>33.46</v>
      </c>
      <c r="J2335" s="16">
        <v>16.739999999999998</v>
      </c>
      <c r="K2335" s="16">
        <v>1.37</v>
      </c>
      <c r="L2335" s="159">
        <f t="shared" si="187"/>
        <v>0.50029886431560067</v>
      </c>
      <c r="M2335" s="159">
        <f t="shared" si="187"/>
        <v>4.0944411237298271E-2</v>
      </c>
    </row>
    <row r="2336" spans="2:13">
      <c r="B2336" t="s">
        <v>198</v>
      </c>
      <c r="C2336">
        <f t="shared" si="188"/>
        <v>57</v>
      </c>
      <c r="D2336" t="str">
        <f t="shared" si="185"/>
        <v>BASSIN D'AVIGNON57</v>
      </c>
      <c r="E2336" t="s">
        <v>199</v>
      </c>
      <c r="F2336" t="str">
        <f t="shared" si="186"/>
        <v>BASSIN D'AVIGNON57</v>
      </c>
      <c r="G2336" t="s">
        <v>244</v>
      </c>
      <c r="I2336" s="16">
        <v>33.21</v>
      </c>
      <c r="J2336" s="16">
        <v>21.52</v>
      </c>
      <c r="K2336" s="16">
        <v>13.87</v>
      </c>
      <c r="L2336" s="159">
        <f t="shared" si="187"/>
        <v>0.64799759108702193</v>
      </c>
      <c r="M2336" s="159">
        <f t="shared" si="187"/>
        <v>0.41764528756398672</v>
      </c>
    </row>
    <row r="2337" spans="2:13">
      <c r="B2337" t="s">
        <v>198</v>
      </c>
      <c r="C2337">
        <f t="shared" si="188"/>
        <v>58</v>
      </c>
      <c r="D2337" t="str">
        <f t="shared" si="185"/>
        <v>BASSIN D'AVIGNON58</v>
      </c>
      <c r="E2337" t="s">
        <v>199</v>
      </c>
      <c r="F2337" t="str">
        <f t="shared" si="186"/>
        <v>BASSIN D'AVIGNON58</v>
      </c>
      <c r="G2337" t="s">
        <v>318</v>
      </c>
      <c r="I2337" s="16">
        <v>31.38</v>
      </c>
      <c r="J2337" s="16">
        <v>22.62</v>
      </c>
      <c r="K2337" s="16">
        <v>0</v>
      </c>
      <c r="L2337" s="159">
        <f t="shared" si="187"/>
        <v>0.72084130019120463</v>
      </c>
      <c r="M2337" s="159">
        <f t="shared" si="187"/>
        <v>0</v>
      </c>
    </row>
    <row r="2338" spans="2:13">
      <c r="B2338" t="s">
        <v>198</v>
      </c>
      <c r="C2338">
        <f t="shared" si="188"/>
        <v>59</v>
      </c>
      <c r="D2338" t="str">
        <f t="shared" si="185"/>
        <v>BASSIN D'AVIGNON59</v>
      </c>
      <c r="E2338" t="s">
        <v>199</v>
      </c>
      <c r="F2338" t="str">
        <f t="shared" si="186"/>
        <v>BASSIN D'AVIGNON59</v>
      </c>
      <c r="G2338" t="s">
        <v>320</v>
      </c>
      <c r="I2338" s="16">
        <v>31.36</v>
      </c>
      <c r="J2338" s="16">
        <v>11.43</v>
      </c>
      <c r="K2338" s="16">
        <v>0</v>
      </c>
      <c r="L2338" s="159">
        <f t="shared" si="187"/>
        <v>0.36447704081632654</v>
      </c>
      <c r="M2338" s="159">
        <f t="shared" si="187"/>
        <v>0</v>
      </c>
    </row>
    <row r="2339" spans="2:13">
      <c r="B2339" t="s">
        <v>198</v>
      </c>
      <c r="C2339">
        <f t="shared" si="188"/>
        <v>60</v>
      </c>
      <c r="D2339" t="str">
        <f t="shared" si="185"/>
        <v>BASSIN D'AVIGNON60</v>
      </c>
      <c r="E2339" t="s">
        <v>199</v>
      </c>
      <c r="F2339" t="str">
        <f t="shared" si="186"/>
        <v>BASSIN D'AVIGNON60</v>
      </c>
      <c r="G2339" t="s">
        <v>283</v>
      </c>
      <c r="I2339" s="16">
        <v>30.83</v>
      </c>
      <c r="J2339" s="16">
        <v>10.28</v>
      </c>
      <c r="K2339" s="16">
        <v>0</v>
      </c>
      <c r="L2339" s="159">
        <f t="shared" si="187"/>
        <v>0.33344145313006812</v>
      </c>
      <c r="M2339" s="159">
        <f t="shared" si="187"/>
        <v>0</v>
      </c>
    </row>
    <row r="2340" spans="2:13">
      <c r="B2340" t="s">
        <v>198</v>
      </c>
      <c r="C2340">
        <f t="shared" si="188"/>
        <v>61</v>
      </c>
      <c r="D2340" t="str">
        <f t="shared" si="185"/>
        <v>BASSIN D'AVIGNON61</v>
      </c>
      <c r="E2340" t="s">
        <v>199</v>
      </c>
      <c r="F2340" t="str">
        <f t="shared" si="186"/>
        <v>BASSIN D'AVIGNON61</v>
      </c>
      <c r="G2340" t="s">
        <v>416</v>
      </c>
      <c r="I2340" s="16">
        <v>30</v>
      </c>
      <c r="J2340" s="16">
        <v>0</v>
      </c>
      <c r="K2340" s="16">
        <v>25</v>
      </c>
      <c r="L2340" s="159">
        <f t="shared" si="187"/>
        <v>0</v>
      </c>
      <c r="M2340" s="159">
        <f t="shared" si="187"/>
        <v>0.83333333333333337</v>
      </c>
    </row>
    <row r="2341" spans="2:13">
      <c r="B2341" t="s">
        <v>198</v>
      </c>
      <c r="C2341">
        <f t="shared" si="188"/>
        <v>62</v>
      </c>
      <c r="D2341" t="str">
        <f t="shared" si="185"/>
        <v>BASSIN D'AVIGNON62</v>
      </c>
      <c r="E2341" t="s">
        <v>199</v>
      </c>
      <c r="F2341" t="str">
        <f t="shared" si="186"/>
        <v>BASSIN D'AVIGNON62</v>
      </c>
      <c r="G2341" t="s">
        <v>265</v>
      </c>
      <c r="I2341" s="16">
        <v>29.47</v>
      </c>
      <c r="J2341" s="16">
        <v>18.100000000000001</v>
      </c>
      <c r="K2341" s="16">
        <v>15.7</v>
      </c>
      <c r="L2341" s="159">
        <f t="shared" si="187"/>
        <v>0.6141839158466238</v>
      </c>
      <c r="M2341" s="159">
        <f t="shared" si="187"/>
        <v>0.53274516457414323</v>
      </c>
    </row>
    <row r="2342" spans="2:13">
      <c r="B2342" t="s">
        <v>198</v>
      </c>
      <c r="C2342">
        <f t="shared" si="188"/>
        <v>63</v>
      </c>
      <c r="D2342" t="str">
        <f t="shared" si="185"/>
        <v>BASSIN D'AVIGNON63</v>
      </c>
      <c r="E2342" t="s">
        <v>199</v>
      </c>
      <c r="F2342" t="str">
        <f t="shared" si="186"/>
        <v>BASSIN D'AVIGNON63</v>
      </c>
      <c r="G2342" t="s">
        <v>431</v>
      </c>
      <c r="I2342" s="16">
        <v>28</v>
      </c>
      <c r="J2342" s="16">
        <v>0</v>
      </c>
      <c r="K2342" s="16">
        <v>0</v>
      </c>
      <c r="L2342" s="159">
        <f t="shared" si="187"/>
        <v>0</v>
      </c>
      <c r="M2342" s="159">
        <f t="shared" si="187"/>
        <v>0</v>
      </c>
    </row>
    <row r="2343" spans="2:13">
      <c r="B2343" t="s">
        <v>198</v>
      </c>
      <c r="C2343">
        <f t="shared" si="188"/>
        <v>64</v>
      </c>
      <c r="D2343" t="str">
        <f t="shared" si="185"/>
        <v>BASSIN D'AVIGNON64</v>
      </c>
      <c r="E2343" t="s">
        <v>199</v>
      </c>
      <c r="F2343" t="str">
        <f t="shared" si="186"/>
        <v>BASSIN D'AVIGNON64</v>
      </c>
      <c r="G2343" t="s">
        <v>336</v>
      </c>
      <c r="H2343" t="s">
        <v>941</v>
      </c>
      <c r="I2343" s="16">
        <v>27.98</v>
      </c>
      <c r="J2343" s="16">
        <v>14.64</v>
      </c>
      <c r="K2343" s="16">
        <v>0</v>
      </c>
      <c r="L2343" s="159">
        <f t="shared" si="187"/>
        <v>0.52323087919942812</v>
      </c>
      <c r="M2343" s="159">
        <f t="shared" si="187"/>
        <v>0</v>
      </c>
    </row>
    <row r="2344" spans="2:13">
      <c r="B2344" t="s">
        <v>198</v>
      </c>
      <c r="C2344">
        <f t="shared" ref="C2344:C2375" si="189">RANK(I2344,$I$2280:$I$2419,0)</f>
        <v>65</v>
      </c>
      <c r="D2344" t="str">
        <f t="shared" si="185"/>
        <v>BASSIN D'AVIGNON65</v>
      </c>
      <c r="E2344" t="s">
        <v>199</v>
      </c>
      <c r="F2344" t="str">
        <f t="shared" si="186"/>
        <v>BASSIN D'AVIGNON65</v>
      </c>
      <c r="G2344" t="s">
        <v>340</v>
      </c>
      <c r="H2344" t="s">
        <v>945</v>
      </c>
      <c r="I2344" s="16">
        <v>25.59</v>
      </c>
      <c r="J2344" s="16">
        <v>12.51</v>
      </c>
      <c r="K2344" s="16">
        <v>12.9</v>
      </c>
      <c r="L2344" s="159">
        <f t="shared" si="187"/>
        <v>0.48886283704572098</v>
      </c>
      <c r="M2344" s="159">
        <f t="shared" si="187"/>
        <v>0.50410316529894494</v>
      </c>
    </row>
    <row r="2345" spans="2:13">
      <c r="B2345" t="s">
        <v>198</v>
      </c>
      <c r="C2345">
        <f t="shared" si="189"/>
        <v>65</v>
      </c>
      <c r="D2345" t="str">
        <f t="shared" si="185"/>
        <v>BASSIN D'AVIGNON65</v>
      </c>
      <c r="E2345" t="s">
        <v>199</v>
      </c>
      <c r="F2345" t="str">
        <f t="shared" si="186"/>
        <v>BASSIN D'AVIGNON65</v>
      </c>
      <c r="G2345" t="s">
        <v>306</v>
      </c>
      <c r="H2345" t="s">
        <v>307</v>
      </c>
      <c r="I2345" s="16">
        <v>25.59</v>
      </c>
      <c r="J2345" s="16">
        <v>0</v>
      </c>
      <c r="K2345" s="16">
        <v>0</v>
      </c>
      <c r="L2345" s="159">
        <f t="shared" si="187"/>
        <v>0</v>
      </c>
      <c r="M2345" s="159">
        <f t="shared" si="187"/>
        <v>0</v>
      </c>
    </row>
    <row r="2346" spans="2:13">
      <c r="B2346" t="s">
        <v>198</v>
      </c>
      <c r="C2346">
        <f t="shared" si="189"/>
        <v>67</v>
      </c>
      <c r="D2346" t="str">
        <f t="shared" si="185"/>
        <v>BASSIN D'AVIGNON67</v>
      </c>
      <c r="E2346" t="s">
        <v>199</v>
      </c>
      <c r="F2346" t="str">
        <f t="shared" si="186"/>
        <v>BASSIN D'AVIGNON67</v>
      </c>
      <c r="G2346" t="s">
        <v>379</v>
      </c>
      <c r="H2346" t="s">
        <v>944</v>
      </c>
      <c r="I2346" s="16">
        <v>25.33</v>
      </c>
      <c r="J2346" s="16">
        <v>11.93</v>
      </c>
      <c r="K2346" s="16">
        <v>0</v>
      </c>
      <c r="L2346" s="159">
        <f t="shared" si="187"/>
        <v>0.47098302408211606</v>
      </c>
      <c r="M2346" s="159">
        <f t="shared" si="187"/>
        <v>0</v>
      </c>
    </row>
    <row r="2347" spans="2:13">
      <c r="B2347" t="s">
        <v>198</v>
      </c>
      <c r="C2347">
        <f t="shared" si="189"/>
        <v>68</v>
      </c>
      <c r="D2347" t="str">
        <f t="shared" si="185"/>
        <v>BASSIN D'AVIGNON68</v>
      </c>
      <c r="E2347" t="s">
        <v>199</v>
      </c>
      <c r="F2347" t="str">
        <f t="shared" si="186"/>
        <v>BASSIN D'AVIGNON68</v>
      </c>
      <c r="G2347" t="s">
        <v>332</v>
      </c>
      <c r="H2347" t="s">
        <v>940</v>
      </c>
      <c r="I2347" s="16">
        <v>25.29</v>
      </c>
      <c r="J2347" s="16">
        <v>24</v>
      </c>
      <c r="K2347" s="16">
        <v>0</v>
      </c>
      <c r="L2347" s="159">
        <f t="shared" si="187"/>
        <v>0.94899169632265723</v>
      </c>
      <c r="M2347" s="159">
        <f t="shared" si="187"/>
        <v>0</v>
      </c>
    </row>
    <row r="2348" spans="2:13">
      <c r="B2348" t="s">
        <v>198</v>
      </c>
      <c r="C2348">
        <f t="shared" si="189"/>
        <v>69</v>
      </c>
      <c r="D2348" t="str">
        <f t="shared" si="185"/>
        <v>BASSIN D'AVIGNON69</v>
      </c>
      <c r="E2348" t="s">
        <v>199</v>
      </c>
      <c r="F2348" t="str">
        <f t="shared" si="186"/>
        <v>BASSIN D'AVIGNON69</v>
      </c>
      <c r="G2348" t="s">
        <v>347</v>
      </c>
      <c r="I2348" s="16">
        <v>24.99</v>
      </c>
      <c r="J2348" s="16">
        <v>9.61</v>
      </c>
      <c r="K2348" s="16">
        <v>0</v>
      </c>
      <c r="L2348" s="159">
        <f t="shared" si="187"/>
        <v>0.38455382152861145</v>
      </c>
      <c r="M2348" s="159">
        <f t="shared" si="187"/>
        <v>0</v>
      </c>
    </row>
    <row r="2349" spans="2:13">
      <c r="B2349" t="s">
        <v>198</v>
      </c>
      <c r="C2349">
        <f t="shared" si="189"/>
        <v>70</v>
      </c>
      <c r="D2349" t="str">
        <f t="shared" si="185"/>
        <v>BASSIN D'AVIGNON70</v>
      </c>
      <c r="E2349" t="s">
        <v>199</v>
      </c>
      <c r="F2349" t="str">
        <f t="shared" si="186"/>
        <v>BASSIN D'AVIGNON70</v>
      </c>
      <c r="G2349" t="s">
        <v>278</v>
      </c>
      <c r="H2349" t="s">
        <v>934</v>
      </c>
      <c r="I2349" s="16">
        <v>22.77</v>
      </c>
      <c r="J2349" s="16">
        <v>10.11</v>
      </c>
      <c r="K2349" s="16">
        <v>0</v>
      </c>
      <c r="L2349" s="159">
        <f t="shared" si="187"/>
        <v>0.44400527009222662</v>
      </c>
      <c r="M2349" s="159">
        <f t="shared" si="187"/>
        <v>0</v>
      </c>
    </row>
    <row r="2350" spans="2:13">
      <c r="B2350" t="s">
        <v>198</v>
      </c>
      <c r="C2350">
        <f t="shared" si="189"/>
        <v>71</v>
      </c>
      <c r="D2350" t="str">
        <f t="shared" si="185"/>
        <v>BASSIN D'AVIGNON71</v>
      </c>
      <c r="E2350" t="s">
        <v>199</v>
      </c>
      <c r="F2350" t="str">
        <f t="shared" si="186"/>
        <v>BASSIN D'AVIGNON71</v>
      </c>
      <c r="G2350" t="s">
        <v>315</v>
      </c>
      <c r="I2350" s="16">
        <v>22.67</v>
      </c>
      <c r="J2350" s="16">
        <v>9.91</v>
      </c>
      <c r="K2350" s="16">
        <v>0</v>
      </c>
      <c r="L2350" s="159">
        <f t="shared" si="187"/>
        <v>0.43714159682399645</v>
      </c>
      <c r="M2350" s="159">
        <f t="shared" si="187"/>
        <v>0</v>
      </c>
    </row>
    <row r="2351" spans="2:13">
      <c r="B2351" t="s">
        <v>198</v>
      </c>
      <c r="C2351">
        <f t="shared" si="189"/>
        <v>72</v>
      </c>
      <c r="D2351" t="str">
        <f t="shared" si="185"/>
        <v>BASSIN D'AVIGNON72</v>
      </c>
      <c r="E2351" t="s">
        <v>199</v>
      </c>
      <c r="F2351" t="str">
        <f t="shared" si="186"/>
        <v>BASSIN D'AVIGNON72</v>
      </c>
      <c r="G2351" t="s">
        <v>284</v>
      </c>
      <c r="I2351" s="16">
        <v>22.4</v>
      </c>
      <c r="J2351" s="16">
        <v>12.12</v>
      </c>
      <c r="K2351" s="16">
        <v>0</v>
      </c>
      <c r="L2351" s="159">
        <f t="shared" si="187"/>
        <v>0.54107142857142854</v>
      </c>
      <c r="M2351" s="159">
        <f t="shared" si="187"/>
        <v>0</v>
      </c>
    </row>
    <row r="2352" spans="2:13">
      <c r="B2352" t="s">
        <v>198</v>
      </c>
      <c r="C2352">
        <f t="shared" si="189"/>
        <v>73</v>
      </c>
      <c r="D2352" t="str">
        <f t="shared" si="185"/>
        <v>BASSIN D'AVIGNON73</v>
      </c>
      <c r="E2352" t="s">
        <v>199</v>
      </c>
      <c r="F2352" t="str">
        <f t="shared" si="186"/>
        <v>BASSIN D'AVIGNON73</v>
      </c>
      <c r="G2352" t="s">
        <v>305</v>
      </c>
      <c r="H2352" t="s">
        <v>937</v>
      </c>
      <c r="I2352" s="16">
        <v>22.3</v>
      </c>
      <c r="J2352" s="16">
        <v>22.3</v>
      </c>
      <c r="K2352" s="16">
        <v>0</v>
      </c>
      <c r="L2352" s="159">
        <f t="shared" si="187"/>
        <v>1</v>
      </c>
      <c r="M2352" s="159">
        <f t="shared" si="187"/>
        <v>0</v>
      </c>
    </row>
    <row r="2353" spans="2:13">
      <c r="B2353" t="s">
        <v>198</v>
      </c>
      <c r="C2353">
        <f t="shared" si="189"/>
        <v>74</v>
      </c>
      <c r="D2353" t="str">
        <f t="shared" si="185"/>
        <v>BASSIN D'AVIGNON74</v>
      </c>
      <c r="E2353" t="s">
        <v>199</v>
      </c>
      <c r="F2353" t="str">
        <f t="shared" si="186"/>
        <v>BASSIN D'AVIGNON74</v>
      </c>
      <c r="G2353" t="s">
        <v>354</v>
      </c>
      <c r="H2353" t="s">
        <v>942</v>
      </c>
      <c r="I2353" s="16">
        <v>21.53</v>
      </c>
      <c r="J2353" s="16">
        <v>6.17</v>
      </c>
      <c r="K2353" s="16">
        <v>0</v>
      </c>
      <c r="L2353" s="159">
        <f t="shared" si="187"/>
        <v>0.28657686948444028</v>
      </c>
      <c r="M2353" s="159">
        <f t="shared" si="187"/>
        <v>0</v>
      </c>
    </row>
    <row r="2354" spans="2:13">
      <c r="B2354" t="s">
        <v>198</v>
      </c>
      <c r="C2354">
        <f t="shared" si="189"/>
        <v>75</v>
      </c>
      <c r="D2354" t="str">
        <f t="shared" si="185"/>
        <v>BASSIN D'AVIGNON75</v>
      </c>
      <c r="E2354" t="s">
        <v>199</v>
      </c>
      <c r="F2354" t="str">
        <f t="shared" si="186"/>
        <v>BASSIN D'AVIGNON75</v>
      </c>
      <c r="G2354" t="s">
        <v>412</v>
      </c>
      <c r="I2354" s="16">
        <v>20.78</v>
      </c>
      <c r="J2354" s="16">
        <v>20.78</v>
      </c>
      <c r="K2354" s="16">
        <v>8.86</v>
      </c>
      <c r="L2354" s="159">
        <f t="shared" si="187"/>
        <v>1</v>
      </c>
      <c r="M2354" s="159">
        <f t="shared" si="187"/>
        <v>0.42637151106833487</v>
      </c>
    </row>
    <row r="2355" spans="2:13">
      <c r="B2355" t="s">
        <v>198</v>
      </c>
      <c r="C2355">
        <f t="shared" si="189"/>
        <v>76</v>
      </c>
      <c r="D2355" t="str">
        <f t="shared" si="185"/>
        <v>BASSIN D'AVIGNON76</v>
      </c>
      <c r="E2355" t="s">
        <v>199</v>
      </c>
      <c r="F2355" t="str">
        <f t="shared" si="186"/>
        <v>BASSIN D'AVIGNON76</v>
      </c>
      <c r="G2355" t="s">
        <v>429</v>
      </c>
      <c r="I2355" s="16">
        <v>20.57</v>
      </c>
      <c r="J2355" s="16">
        <v>19.059999999999999</v>
      </c>
      <c r="K2355" s="16">
        <v>0</v>
      </c>
      <c r="L2355" s="159">
        <f t="shared" si="187"/>
        <v>0.92659212445308692</v>
      </c>
      <c r="M2355" s="159">
        <f t="shared" si="187"/>
        <v>0</v>
      </c>
    </row>
    <row r="2356" spans="2:13">
      <c r="B2356" t="s">
        <v>198</v>
      </c>
      <c r="C2356">
        <f t="shared" si="189"/>
        <v>77</v>
      </c>
      <c r="D2356" t="str">
        <f t="shared" si="185"/>
        <v>BASSIN D'AVIGNON77</v>
      </c>
      <c r="E2356" t="s">
        <v>199</v>
      </c>
      <c r="F2356" t="str">
        <f t="shared" si="186"/>
        <v>BASSIN D'AVIGNON77</v>
      </c>
      <c r="G2356" t="s">
        <v>297</v>
      </c>
      <c r="I2356" s="16">
        <v>20.010000000000002</v>
      </c>
      <c r="J2356" s="16">
        <v>20.010000000000002</v>
      </c>
      <c r="K2356" s="16">
        <v>0</v>
      </c>
      <c r="L2356" s="159">
        <f t="shared" si="187"/>
        <v>1</v>
      </c>
      <c r="M2356" s="159">
        <f t="shared" si="187"/>
        <v>0</v>
      </c>
    </row>
    <row r="2357" spans="2:13">
      <c r="B2357" t="s">
        <v>198</v>
      </c>
      <c r="C2357">
        <f t="shared" si="189"/>
        <v>78</v>
      </c>
      <c r="D2357" t="str">
        <f t="shared" si="185"/>
        <v>BASSIN D'AVIGNON78</v>
      </c>
      <c r="E2357" t="s">
        <v>199</v>
      </c>
      <c r="F2357" t="str">
        <f t="shared" si="186"/>
        <v>BASSIN D'AVIGNON78</v>
      </c>
      <c r="G2357" t="s">
        <v>247</v>
      </c>
      <c r="H2357" t="s">
        <v>248</v>
      </c>
      <c r="I2357" s="16">
        <v>18.36</v>
      </c>
      <c r="J2357" s="16">
        <v>1.95</v>
      </c>
      <c r="K2357" s="16">
        <v>1.37</v>
      </c>
      <c r="L2357" s="159">
        <f t="shared" si="187"/>
        <v>0.10620915032679738</v>
      </c>
      <c r="M2357" s="159">
        <f t="shared" si="187"/>
        <v>7.4618736383442269E-2</v>
      </c>
    </row>
    <row r="2358" spans="2:13">
      <c r="B2358" t="s">
        <v>198</v>
      </c>
      <c r="C2358">
        <f t="shared" si="189"/>
        <v>79</v>
      </c>
      <c r="D2358" t="str">
        <f t="shared" si="185"/>
        <v>BASSIN D'AVIGNON79</v>
      </c>
      <c r="E2358" t="s">
        <v>199</v>
      </c>
      <c r="F2358" t="str">
        <f t="shared" si="186"/>
        <v>BASSIN D'AVIGNON79</v>
      </c>
      <c r="G2358" t="s">
        <v>357</v>
      </c>
      <c r="I2358" s="16">
        <v>17.23</v>
      </c>
      <c r="J2358" s="16">
        <v>10.11</v>
      </c>
      <c r="K2358" s="16">
        <v>0</v>
      </c>
      <c r="L2358" s="159">
        <f t="shared" si="187"/>
        <v>0.58676726639582122</v>
      </c>
      <c r="M2358" s="159">
        <f t="shared" si="187"/>
        <v>0</v>
      </c>
    </row>
    <row r="2359" spans="2:13">
      <c r="B2359" t="s">
        <v>198</v>
      </c>
      <c r="C2359">
        <f t="shared" si="189"/>
        <v>80</v>
      </c>
      <c r="D2359" t="str">
        <f t="shared" si="185"/>
        <v>BASSIN D'AVIGNON80</v>
      </c>
      <c r="E2359" t="s">
        <v>199</v>
      </c>
      <c r="F2359" t="str">
        <f t="shared" si="186"/>
        <v>BASSIN D'AVIGNON80</v>
      </c>
      <c r="G2359" t="s">
        <v>355</v>
      </c>
      <c r="I2359" s="16">
        <v>16.489999999999998</v>
      </c>
      <c r="J2359" s="16">
        <v>16.489999999999998</v>
      </c>
      <c r="K2359" s="16">
        <v>0</v>
      </c>
      <c r="L2359" s="159">
        <f t="shared" si="187"/>
        <v>1</v>
      </c>
      <c r="M2359" s="159">
        <f t="shared" si="187"/>
        <v>0</v>
      </c>
    </row>
    <row r="2360" spans="2:13">
      <c r="B2360" t="s">
        <v>198</v>
      </c>
      <c r="C2360">
        <f t="shared" si="189"/>
        <v>81</v>
      </c>
      <c r="D2360" t="str">
        <f t="shared" si="185"/>
        <v>BASSIN D'AVIGNON81</v>
      </c>
      <c r="E2360" t="s">
        <v>199</v>
      </c>
      <c r="F2360" t="str">
        <f t="shared" si="186"/>
        <v>BASSIN D'AVIGNON81</v>
      </c>
      <c r="G2360" t="s">
        <v>362</v>
      </c>
      <c r="H2360" t="s">
        <v>943</v>
      </c>
      <c r="I2360" s="16">
        <v>15.57</v>
      </c>
      <c r="J2360" s="16">
        <v>0</v>
      </c>
      <c r="K2360" s="16">
        <v>0</v>
      </c>
      <c r="L2360" s="159">
        <f t="shared" si="187"/>
        <v>0</v>
      </c>
      <c r="M2360" s="159">
        <f t="shared" si="187"/>
        <v>0</v>
      </c>
    </row>
    <row r="2361" spans="2:13">
      <c r="B2361" t="s">
        <v>198</v>
      </c>
      <c r="C2361">
        <f t="shared" si="189"/>
        <v>82</v>
      </c>
      <c r="D2361" t="str">
        <f t="shared" si="185"/>
        <v>BASSIN D'AVIGNON82</v>
      </c>
      <c r="E2361" t="s">
        <v>199</v>
      </c>
      <c r="F2361" t="str">
        <f t="shared" si="186"/>
        <v>BASSIN D'AVIGNON82</v>
      </c>
      <c r="G2361" t="s">
        <v>321</v>
      </c>
      <c r="I2361" s="16">
        <v>15.53</v>
      </c>
      <c r="J2361" s="16">
        <v>0</v>
      </c>
      <c r="K2361" s="16">
        <v>0</v>
      </c>
      <c r="L2361" s="159">
        <f t="shared" si="187"/>
        <v>0</v>
      </c>
      <c r="M2361" s="159">
        <f t="shared" si="187"/>
        <v>0</v>
      </c>
    </row>
    <row r="2362" spans="2:13">
      <c r="B2362" t="s">
        <v>198</v>
      </c>
      <c r="C2362">
        <f t="shared" si="189"/>
        <v>83</v>
      </c>
      <c r="D2362" t="str">
        <f t="shared" si="185"/>
        <v>BASSIN D'AVIGNON83</v>
      </c>
      <c r="E2362" t="s">
        <v>199</v>
      </c>
      <c r="F2362" t="str">
        <f t="shared" si="186"/>
        <v>BASSIN D'AVIGNON83</v>
      </c>
      <c r="G2362" t="s">
        <v>345</v>
      </c>
      <c r="I2362" s="16">
        <v>15.09</v>
      </c>
      <c r="J2362" s="16">
        <v>12.02</v>
      </c>
      <c r="K2362" s="16">
        <v>0</v>
      </c>
      <c r="L2362" s="159">
        <f t="shared" si="187"/>
        <v>0.79655400927766729</v>
      </c>
      <c r="M2362" s="159">
        <f t="shared" si="187"/>
        <v>0</v>
      </c>
    </row>
    <row r="2363" spans="2:13">
      <c r="B2363" t="s">
        <v>198</v>
      </c>
      <c r="C2363">
        <f t="shared" si="189"/>
        <v>84</v>
      </c>
      <c r="D2363" t="str">
        <f t="shared" si="185"/>
        <v>BASSIN D'AVIGNON84</v>
      </c>
      <c r="E2363" t="s">
        <v>199</v>
      </c>
      <c r="F2363" t="str">
        <f t="shared" si="186"/>
        <v>BASSIN D'AVIGNON84</v>
      </c>
      <c r="G2363" t="s">
        <v>435</v>
      </c>
      <c r="I2363" s="16">
        <v>14.86</v>
      </c>
      <c r="J2363" s="16">
        <v>14.86</v>
      </c>
      <c r="K2363" s="16">
        <v>0</v>
      </c>
      <c r="L2363" s="159">
        <f t="shared" si="187"/>
        <v>1</v>
      </c>
      <c r="M2363" s="159">
        <f t="shared" si="187"/>
        <v>0</v>
      </c>
    </row>
    <row r="2364" spans="2:13">
      <c r="B2364" t="s">
        <v>198</v>
      </c>
      <c r="C2364">
        <f t="shared" si="189"/>
        <v>85</v>
      </c>
      <c r="D2364" t="str">
        <f t="shared" si="185"/>
        <v>BASSIN D'AVIGNON85</v>
      </c>
      <c r="E2364" t="s">
        <v>199</v>
      </c>
      <c r="F2364" t="str">
        <f t="shared" si="186"/>
        <v>BASSIN D'AVIGNON85</v>
      </c>
      <c r="G2364" t="s">
        <v>310</v>
      </c>
      <c r="I2364" s="16">
        <v>14.58</v>
      </c>
      <c r="J2364" s="16">
        <v>12.03</v>
      </c>
      <c r="K2364" s="16">
        <v>0</v>
      </c>
      <c r="L2364" s="159">
        <f t="shared" si="187"/>
        <v>0.82510288065843618</v>
      </c>
      <c r="M2364" s="159">
        <f t="shared" si="187"/>
        <v>0</v>
      </c>
    </row>
    <row r="2365" spans="2:13">
      <c r="B2365" t="s">
        <v>198</v>
      </c>
      <c r="C2365">
        <f t="shared" si="189"/>
        <v>86</v>
      </c>
      <c r="D2365" t="str">
        <f t="shared" si="185"/>
        <v>BASSIN D'AVIGNON86</v>
      </c>
      <c r="E2365" t="s">
        <v>199</v>
      </c>
      <c r="F2365" t="str">
        <f t="shared" si="186"/>
        <v>BASSIN D'AVIGNON86</v>
      </c>
      <c r="G2365" t="s">
        <v>325</v>
      </c>
      <c r="H2365" t="s">
        <v>938</v>
      </c>
      <c r="I2365" s="16">
        <v>12.93</v>
      </c>
      <c r="J2365" s="16">
        <v>0</v>
      </c>
      <c r="K2365" s="16">
        <v>0</v>
      </c>
      <c r="L2365" s="159">
        <f t="shared" si="187"/>
        <v>0</v>
      </c>
      <c r="M2365" s="159">
        <f t="shared" si="187"/>
        <v>0</v>
      </c>
    </row>
    <row r="2366" spans="2:13">
      <c r="B2366" t="s">
        <v>198</v>
      </c>
      <c r="C2366">
        <f t="shared" si="189"/>
        <v>86</v>
      </c>
      <c r="D2366" t="str">
        <f t="shared" si="185"/>
        <v>BASSIN D'AVIGNON86</v>
      </c>
      <c r="E2366" t="s">
        <v>199</v>
      </c>
      <c r="F2366" t="str">
        <f t="shared" si="186"/>
        <v>BASSIN D'AVIGNON86</v>
      </c>
      <c r="G2366" t="s">
        <v>352</v>
      </c>
      <c r="I2366" s="16">
        <v>12.93</v>
      </c>
      <c r="J2366" s="16">
        <v>0</v>
      </c>
      <c r="K2366" s="16">
        <v>0</v>
      </c>
      <c r="L2366" s="159">
        <f t="shared" si="187"/>
        <v>0</v>
      </c>
      <c r="M2366" s="159">
        <f t="shared" si="187"/>
        <v>0</v>
      </c>
    </row>
    <row r="2367" spans="2:13">
      <c r="B2367" t="s">
        <v>198</v>
      </c>
      <c r="C2367">
        <f t="shared" si="189"/>
        <v>88</v>
      </c>
      <c r="D2367" t="str">
        <f t="shared" si="185"/>
        <v>BASSIN D'AVIGNON88</v>
      </c>
      <c r="E2367" t="s">
        <v>199</v>
      </c>
      <c r="F2367" t="str">
        <f t="shared" si="186"/>
        <v>BASSIN D'AVIGNON88</v>
      </c>
      <c r="G2367" t="s">
        <v>414</v>
      </c>
      <c r="I2367" s="16">
        <v>12.88</v>
      </c>
      <c r="J2367" s="16">
        <v>2.86</v>
      </c>
      <c r="K2367" s="16">
        <v>2.86</v>
      </c>
      <c r="L2367" s="159">
        <f t="shared" si="187"/>
        <v>0.22204968944099376</v>
      </c>
      <c r="M2367" s="159">
        <f t="shared" si="187"/>
        <v>0.22204968944099376</v>
      </c>
    </row>
    <row r="2368" spans="2:13">
      <c r="B2368" t="s">
        <v>198</v>
      </c>
      <c r="C2368">
        <f t="shared" si="189"/>
        <v>89</v>
      </c>
      <c r="D2368" t="str">
        <f t="shared" si="185"/>
        <v>BASSIN D'AVIGNON89</v>
      </c>
      <c r="E2368" t="s">
        <v>199</v>
      </c>
      <c r="F2368" t="str">
        <f t="shared" si="186"/>
        <v>BASSIN D'AVIGNON89</v>
      </c>
      <c r="G2368" t="s">
        <v>419</v>
      </c>
      <c r="I2368" s="16">
        <v>12.64</v>
      </c>
      <c r="J2368" s="16">
        <v>9.17</v>
      </c>
      <c r="K2368" s="16">
        <v>0</v>
      </c>
      <c r="L2368" s="159">
        <f t="shared" si="187"/>
        <v>0.72547468354430378</v>
      </c>
      <c r="M2368" s="159">
        <f t="shared" si="187"/>
        <v>0</v>
      </c>
    </row>
    <row r="2369" spans="2:13">
      <c r="B2369" t="s">
        <v>198</v>
      </c>
      <c r="C2369">
        <f t="shared" si="189"/>
        <v>90</v>
      </c>
      <c r="D2369" t="str">
        <f t="shared" si="185"/>
        <v>BASSIN D'AVIGNON90</v>
      </c>
      <c r="E2369" t="s">
        <v>199</v>
      </c>
      <c r="F2369" t="str">
        <f t="shared" si="186"/>
        <v>BASSIN D'AVIGNON90</v>
      </c>
      <c r="G2369" t="s">
        <v>343</v>
      </c>
      <c r="I2369" s="16">
        <v>12.62</v>
      </c>
      <c r="J2369" s="16">
        <v>12.62</v>
      </c>
      <c r="K2369" s="16">
        <v>0</v>
      </c>
      <c r="L2369" s="159">
        <f t="shared" si="187"/>
        <v>1</v>
      </c>
      <c r="M2369" s="159">
        <f t="shared" si="187"/>
        <v>0</v>
      </c>
    </row>
    <row r="2370" spans="2:13">
      <c r="B2370" t="s">
        <v>198</v>
      </c>
      <c r="C2370">
        <f t="shared" si="189"/>
        <v>91</v>
      </c>
      <c r="D2370" t="str">
        <f t="shared" ref="D2370:D2419" si="190">CONCATENATE(E2370,C2370)</f>
        <v>BASSIN D'AVIGNON91</v>
      </c>
      <c r="E2370" t="s">
        <v>199</v>
      </c>
      <c r="F2370" t="str">
        <f t="shared" si="186"/>
        <v>BASSIN D'AVIGNON91</v>
      </c>
      <c r="G2370" t="s">
        <v>366</v>
      </c>
      <c r="I2370" s="16">
        <v>12.44</v>
      </c>
      <c r="J2370" s="16">
        <v>9.06</v>
      </c>
      <c r="K2370" s="16">
        <v>0</v>
      </c>
      <c r="L2370" s="159">
        <f t="shared" si="187"/>
        <v>0.72829581993569137</v>
      </c>
      <c r="M2370" s="159">
        <f t="shared" si="187"/>
        <v>0</v>
      </c>
    </row>
    <row r="2371" spans="2:13">
      <c r="B2371" t="s">
        <v>198</v>
      </c>
      <c r="C2371">
        <f t="shared" si="189"/>
        <v>92</v>
      </c>
      <c r="D2371" t="str">
        <f t="shared" si="190"/>
        <v>BASSIN D'AVIGNON92</v>
      </c>
      <c r="E2371" t="s">
        <v>199</v>
      </c>
      <c r="F2371" t="str">
        <f t="shared" ref="F2371:F2419" si="191">D2371</f>
        <v>BASSIN D'AVIGNON92</v>
      </c>
      <c r="G2371" t="s">
        <v>326</v>
      </c>
      <c r="I2371" s="16">
        <v>12</v>
      </c>
      <c r="J2371" s="16">
        <v>0</v>
      </c>
      <c r="K2371" s="16">
        <v>0</v>
      </c>
      <c r="L2371" s="159">
        <f t="shared" ref="L2371:M2419" si="192">J2371/$I2371</f>
        <v>0</v>
      </c>
      <c r="M2371" s="159">
        <f t="shared" si="192"/>
        <v>0</v>
      </c>
    </row>
    <row r="2372" spans="2:13">
      <c r="B2372" t="s">
        <v>198</v>
      </c>
      <c r="C2372">
        <f t="shared" si="189"/>
        <v>93</v>
      </c>
      <c r="D2372" t="str">
        <f t="shared" si="190"/>
        <v>BASSIN D'AVIGNON93</v>
      </c>
      <c r="E2372" t="s">
        <v>199</v>
      </c>
      <c r="F2372" t="str">
        <f t="shared" si="191"/>
        <v>BASSIN D'AVIGNON93</v>
      </c>
      <c r="G2372" t="s">
        <v>288</v>
      </c>
      <c r="I2372" s="16">
        <v>11.72</v>
      </c>
      <c r="J2372" s="16">
        <v>0</v>
      </c>
      <c r="K2372" s="16">
        <v>0</v>
      </c>
      <c r="L2372" s="159">
        <f t="shared" si="192"/>
        <v>0</v>
      </c>
      <c r="M2372" s="159">
        <f t="shared" si="192"/>
        <v>0</v>
      </c>
    </row>
    <row r="2373" spans="2:13">
      <c r="B2373" t="s">
        <v>198</v>
      </c>
      <c r="C2373">
        <f t="shared" si="189"/>
        <v>94</v>
      </c>
      <c r="D2373" t="str">
        <f t="shared" si="190"/>
        <v>BASSIN D'AVIGNON94</v>
      </c>
      <c r="E2373" t="s">
        <v>199</v>
      </c>
      <c r="F2373" t="str">
        <f t="shared" si="191"/>
        <v>BASSIN D'AVIGNON94</v>
      </c>
      <c r="G2373" t="s">
        <v>292</v>
      </c>
      <c r="I2373" s="16">
        <v>11.42</v>
      </c>
      <c r="J2373" s="16">
        <v>11.42</v>
      </c>
      <c r="K2373" s="16">
        <v>0</v>
      </c>
      <c r="L2373" s="159">
        <f t="shared" si="192"/>
        <v>1</v>
      </c>
      <c r="M2373" s="159">
        <f t="shared" si="192"/>
        <v>0</v>
      </c>
    </row>
    <row r="2374" spans="2:13">
      <c r="B2374" t="s">
        <v>198</v>
      </c>
      <c r="C2374">
        <f t="shared" si="189"/>
        <v>95</v>
      </c>
      <c r="D2374" t="str">
        <f t="shared" si="190"/>
        <v>BASSIN D'AVIGNON95</v>
      </c>
      <c r="E2374" t="s">
        <v>199</v>
      </c>
      <c r="F2374" t="str">
        <f t="shared" si="191"/>
        <v>BASSIN D'AVIGNON95</v>
      </c>
      <c r="G2374" t="s">
        <v>353</v>
      </c>
      <c r="I2374" s="16">
        <v>10.6</v>
      </c>
      <c r="J2374" s="16">
        <v>3.53</v>
      </c>
      <c r="K2374" s="16">
        <v>0</v>
      </c>
      <c r="L2374" s="159">
        <f t="shared" si="192"/>
        <v>0.33301886792452828</v>
      </c>
      <c r="M2374" s="159">
        <f t="shared" si="192"/>
        <v>0</v>
      </c>
    </row>
    <row r="2375" spans="2:13">
      <c r="B2375" t="s">
        <v>198</v>
      </c>
      <c r="C2375">
        <f t="shared" si="189"/>
        <v>96</v>
      </c>
      <c r="D2375" t="str">
        <f t="shared" si="190"/>
        <v>BASSIN D'AVIGNON96</v>
      </c>
      <c r="E2375" t="s">
        <v>199</v>
      </c>
      <c r="F2375" t="str">
        <f t="shared" si="191"/>
        <v>BASSIN D'AVIGNON96</v>
      </c>
      <c r="G2375" t="s">
        <v>272</v>
      </c>
      <c r="I2375" s="16">
        <v>10.58</v>
      </c>
      <c r="J2375" s="16">
        <v>4.49</v>
      </c>
      <c r="K2375" s="16">
        <v>0</v>
      </c>
      <c r="L2375" s="159">
        <f t="shared" si="192"/>
        <v>0.42438563327032136</v>
      </c>
      <c r="M2375" s="159">
        <f t="shared" si="192"/>
        <v>0</v>
      </c>
    </row>
    <row r="2376" spans="2:13">
      <c r="B2376" t="s">
        <v>198</v>
      </c>
      <c r="C2376">
        <f t="shared" ref="C2376:C2407" si="193">RANK(I2376,$I$2280:$I$2419,0)</f>
        <v>97</v>
      </c>
      <c r="D2376" t="str">
        <f t="shared" si="190"/>
        <v>BASSIN D'AVIGNON97</v>
      </c>
      <c r="E2376" t="s">
        <v>199</v>
      </c>
      <c r="F2376" t="str">
        <f t="shared" si="191"/>
        <v>BASSIN D'AVIGNON97</v>
      </c>
      <c r="G2376" t="s">
        <v>374</v>
      </c>
      <c r="I2376" s="16">
        <v>10.28</v>
      </c>
      <c r="J2376" s="16">
        <v>10.28</v>
      </c>
      <c r="K2376" s="16">
        <v>0</v>
      </c>
      <c r="L2376" s="159">
        <f t="shared" si="192"/>
        <v>1</v>
      </c>
      <c r="M2376" s="159">
        <f t="shared" si="192"/>
        <v>0</v>
      </c>
    </row>
    <row r="2377" spans="2:13">
      <c r="B2377" t="s">
        <v>198</v>
      </c>
      <c r="C2377">
        <f t="shared" si="193"/>
        <v>97</v>
      </c>
      <c r="D2377" t="str">
        <f t="shared" si="190"/>
        <v>BASSIN D'AVIGNON97</v>
      </c>
      <c r="E2377" t="s">
        <v>199</v>
      </c>
      <c r="F2377" t="str">
        <f t="shared" si="191"/>
        <v>BASSIN D'AVIGNON97</v>
      </c>
      <c r="G2377" t="s">
        <v>360</v>
      </c>
      <c r="I2377" s="16">
        <v>10.28</v>
      </c>
      <c r="J2377" s="16">
        <v>10.28</v>
      </c>
      <c r="K2377" s="16">
        <v>0</v>
      </c>
      <c r="L2377" s="159">
        <f t="shared" si="192"/>
        <v>1</v>
      </c>
      <c r="M2377" s="159">
        <f t="shared" si="192"/>
        <v>0</v>
      </c>
    </row>
    <row r="2378" spans="2:13">
      <c r="B2378" t="s">
        <v>198</v>
      </c>
      <c r="C2378">
        <f t="shared" si="193"/>
        <v>99</v>
      </c>
      <c r="D2378" t="str">
        <f t="shared" si="190"/>
        <v>BASSIN D'AVIGNON99</v>
      </c>
      <c r="E2378" t="s">
        <v>199</v>
      </c>
      <c r="F2378" t="str">
        <f t="shared" si="191"/>
        <v>BASSIN D'AVIGNON99</v>
      </c>
      <c r="G2378" t="s">
        <v>328</v>
      </c>
      <c r="H2378" t="s">
        <v>939</v>
      </c>
      <c r="I2378" s="16">
        <v>10.15</v>
      </c>
      <c r="J2378" s="16">
        <v>3.08</v>
      </c>
      <c r="K2378" s="16">
        <v>0</v>
      </c>
      <c r="L2378" s="159">
        <f t="shared" si="192"/>
        <v>0.30344827586206896</v>
      </c>
      <c r="M2378" s="159">
        <f t="shared" si="192"/>
        <v>0</v>
      </c>
    </row>
    <row r="2379" spans="2:13">
      <c r="B2379" t="s">
        <v>198</v>
      </c>
      <c r="C2379">
        <f t="shared" si="193"/>
        <v>100</v>
      </c>
      <c r="D2379" t="str">
        <f t="shared" si="190"/>
        <v>BASSIN D'AVIGNON100</v>
      </c>
      <c r="E2379" t="s">
        <v>199</v>
      </c>
      <c r="F2379" t="str">
        <f t="shared" si="191"/>
        <v>BASSIN D'AVIGNON100</v>
      </c>
      <c r="G2379" t="s">
        <v>295</v>
      </c>
      <c r="I2379" s="16">
        <v>9.52</v>
      </c>
      <c r="J2379" s="16">
        <v>2.17</v>
      </c>
      <c r="K2379" s="16">
        <v>2.17</v>
      </c>
      <c r="L2379" s="159">
        <f t="shared" si="192"/>
        <v>0.22794117647058823</v>
      </c>
      <c r="M2379" s="159">
        <f t="shared" si="192"/>
        <v>0.22794117647058823</v>
      </c>
    </row>
    <row r="2380" spans="2:13">
      <c r="B2380" t="s">
        <v>198</v>
      </c>
      <c r="C2380">
        <f t="shared" si="193"/>
        <v>101</v>
      </c>
      <c r="D2380" t="str">
        <f t="shared" si="190"/>
        <v>BASSIN D'AVIGNON101</v>
      </c>
      <c r="E2380" t="s">
        <v>199</v>
      </c>
      <c r="F2380" t="str">
        <f t="shared" si="191"/>
        <v>BASSIN D'AVIGNON101</v>
      </c>
      <c r="G2380" t="s">
        <v>346</v>
      </c>
      <c r="I2380" s="16">
        <v>9.35</v>
      </c>
      <c r="J2380" s="16">
        <v>6.35</v>
      </c>
      <c r="K2380" s="16">
        <v>0</v>
      </c>
      <c r="L2380" s="159">
        <f t="shared" si="192"/>
        <v>0.67914438502673791</v>
      </c>
      <c r="M2380" s="159">
        <f t="shared" si="192"/>
        <v>0</v>
      </c>
    </row>
    <row r="2381" spans="2:13">
      <c r="B2381" t="s">
        <v>198</v>
      </c>
      <c r="C2381">
        <f t="shared" si="193"/>
        <v>102</v>
      </c>
      <c r="D2381" t="str">
        <f t="shared" si="190"/>
        <v>BASSIN D'AVIGNON102</v>
      </c>
      <c r="E2381" t="s">
        <v>199</v>
      </c>
      <c r="F2381" t="str">
        <f t="shared" si="191"/>
        <v>BASSIN D'AVIGNON102</v>
      </c>
      <c r="G2381" t="s">
        <v>285</v>
      </c>
      <c r="H2381" t="s">
        <v>286</v>
      </c>
      <c r="I2381" s="16">
        <v>9.31</v>
      </c>
      <c r="J2381" s="16">
        <v>0</v>
      </c>
      <c r="K2381" s="16">
        <v>9.31</v>
      </c>
      <c r="L2381" s="159">
        <f t="shared" si="192"/>
        <v>0</v>
      </c>
      <c r="M2381" s="159">
        <f t="shared" si="192"/>
        <v>1</v>
      </c>
    </row>
    <row r="2382" spans="2:13">
      <c r="B2382" t="s">
        <v>198</v>
      </c>
      <c r="C2382">
        <f t="shared" si="193"/>
        <v>103</v>
      </c>
      <c r="D2382" t="str">
        <f t="shared" si="190"/>
        <v>BASSIN D'AVIGNON103</v>
      </c>
      <c r="E2382" t="s">
        <v>199</v>
      </c>
      <c r="F2382" t="str">
        <f t="shared" si="191"/>
        <v>BASSIN D'AVIGNON103</v>
      </c>
      <c r="G2382" t="s">
        <v>421</v>
      </c>
      <c r="I2382" s="16">
        <v>8.86</v>
      </c>
      <c r="J2382" s="16">
        <v>8.86</v>
      </c>
      <c r="K2382" s="16">
        <v>8.86</v>
      </c>
      <c r="L2382" s="159">
        <f t="shared" si="192"/>
        <v>1</v>
      </c>
      <c r="M2382" s="159">
        <f t="shared" si="192"/>
        <v>1</v>
      </c>
    </row>
    <row r="2383" spans="2:13">
      <c r="B2383" t="s">
        <v>198</v>
      </c>
      <c r="C2383">
        <f t="shared" si="193"/>
        <v>104</v>
      </c>
      <c r="D2383" t="str">
        <f t="shared" si="190"/>
        <v>BASSIN D'AVIGNON104</v>
      </c>
      <c r="E2383" t="s">
        <v>199</v>
      </c>
      <c r="F2383" t="str">
        <f t="shared" si="191"/>
        <v>BASSIN D'AVIGNON104</v>
      </c>
      <c r="G2383" t="s">
        <v>402</v>
      </c>
      <c r="H2383" t="s">
        <v>1790</v>
      </c>
      <c r="I2383" s="16">
        <v>8.65</v>
      </c>
      <c r="J2383" s="16">
        <v>1.66</v>
      </c>
      <c r="K2383" s="16">
        <v>0</v>
      </c>
      <c r="L2383" s="159">
        <f t="shared" si="192"/>
        <v>0.19190751445086704</v>
      </c>
      <c r="M2383" s="159">
        <f t="shared" si="192"/>
        <v>0</v>
      </c>
    </row>
    <row r="2384" spans="2:13">
      <c r="B2384" t="s">
        <v>198</v>
      </c>
      <c r="C2384">
        <f t="shared" si="193"/>
        <v>105</v>
      </c>
      <c r="D2384" t="str">
        <f t="shared" si="190"/>
        <v>BASSIN D'AVIGNON105</v>
      </c>
      <c r="E2384" t="s">
        <v>199</v>
      </c>
      <c r="F2384" t="str">
        <f t="shared" si="191"/>
        <v>BASSIN D'AVIGNON105</v>
      </c>
      <c r="G2384" t="s">
        <v>308</v>
      </c>
      <c r="I2384" s="16">
        <v>8.3699999999999992</v>
      </c>
      <c r="J2384" s="16">
        <v>8.3699999999999992</v>
      </c>
      <c r="K2384" s="16">
        <v>0</v>
      </c>
      <c r="L2384" s="159">
        <f t="shared" si="192"/>
        <v>1</v>
      </c>
      <c r="M2384" s="159">
        <f t="shared" si="192"/>
        <v>0</v>
      </c>
    </row>
    <row r="2385" spans="2:13">
      <c r="B2385" t="s">
        <v>198</v>
      </c>
      <c r="C2385">
        <f t="shared" si="193"/>
        <v>106</v>
      </c>
      <c r="D2385" t="str">
        <f t="shared" si="190"/>
        <v>BASSIN D'AVIGNON106</v>
      </c>
      <c r="E2385" t="s">
        <v>199</v>
      </c>
      <c r="F2385" t="str">
        <f t="shared" si="191"/>
        <v>BASSIN D'AVIGNON106</v>
      </c>
      <c r="G2385" t="s">
        <v>314</v>
      </c>
      <c r="I2385" s="16">
        <v>8.2200000000000006</v>
      </c>
      <c r="J2385" s="16">
        <v>0</v>
      </c>
      <c r="K2385" s="16">
        <v>0</v>
      </c>
      <c r="L2385" s="159">
        <f t="shared" si="192"/>
        <v>0</v>
      </c>
      <c r="M2385" s="159">
        <f t="shared" si="192"/>
        <v>0</v>
      </c>
    </row>
    <row r="2386" spans="2:13">
      <c r="B2386" t="s">
        <v>198</v>
      </c>
      <c r="C2386">
        <f t="shared" si="193"/>
        <v>107</v>
      </c>
      <c r="D2386" t="str">
        <f t="shared" si="190"/>
        <v>BASSIN D'AVIGNON107</v>
      </c>
      <c r="E2386" t="s">
        <v>199</v>
      </c>
      <c r="F2386" t="str">
        <f t="shared" si="191"/>
        <v>BASSIN D'AVIGNON107</v>
      </c>
      <c r="G2386" t="s">
        <v>393</v>
      </c>
      <c r="I2386" s="16">
        <v>7.99</v>
      </c>
      <c r="J2386" s="16">
        <v>4.58</v>
      </c>
      <c r="K2386" s="16">
        <v>0</v>
      </c>
      <c r="L2386" s="159">
        <f t="shared" si="192"/>
        <v>0.57321652065081352</v>
      </c>
      <c r="M2386" s="159">
        <f t="shared" si="192"/>
        <v>0</v>
      </c>
    </row>
    <row r="2387" spans="2:13">
      <c r="B2387" t="s">
        <v>198</v>
      </c>
      <c r="C2387">
        <f t="shared" si="193"/>
        <v>108</v>
      </c>
      <c r="D2387" t="str">
        <f t="shared" si="190"/>
        <v>BASSIN D'AVIGNON108</v>
      </c>
      <c r="E2387" t="s">
        <v>199</v>
      </c>
      <c r="F2387" t="str">
        <f t="shared" si="191"/>
        <v>BASSIN D'AVIGNON108</v>
      </c>
      <c r="G2387" t="s">
        <v>383</v>
      </c>
      <c r="I2387" s="16">
        <v>7.77</v>
      </c>
      <c r="J2387" s="16">
        <v>4.7699999999999996</v>
      </c>
      <c r="K2387" s="16">
        <v>3</v>
      </c>
      <c r="L2387" s="159">
        <f t="shared" si="192"/>
        <v>0.61389961389961389</v>
      </c>
      <c r="M2387" s="159">
        <f t="shared" si="192"/>
        <v>0.38610038610038611</v>
      </c>
    </row>
    <row r="2388" spans="2:13">
      <c r="B2388" t="s">
        <v>198</v>
      </c>
      <c r="C2388">
        <f t="shared" si="193"/>
        <v>109</v>
      </c>
      <c r="D2388" t="str">
        <f t="shared" si="190"/>
        <v>BASSIN D'AVIGNON109</v>
      </c>
      <c r="E2388" t="s">
        <v>199</v>
      </c>
      <c r="F2388" t="str">
        <f t="shared" si="191"/>
        <v>BASSIN D'AVIGNON109</v>
      </c>
      <c r="G2388" t="s">
        <v>298</v>
      </c>
      <c r="I2388" s="16">
        <v>7.76</v>
      </c>
      <c r="J2388" s="16">
        <v>7.76</v>
      </c>
      <c r="K2388" s="16">
        <v>0</v>
      </c>
      <c r="L2388" s="159">
        <f t="shared" si="192"/>
        <v>1</v>
      </c>
      <c r="M2388" s="159">
        <f t="shared" si="192"/>
        <v>0</v>
      </c>
    </row>
    <row r="2389" spans="2:13">
      <c r="B2389" t="s">
        <v>198</v>
      </c>
      <c r="C2389">
        <f t="shared" si="193"/>
        <v>110</v>
      </c>
      <c r="D2389" t="str">
        <f t="shared" si="190"/>
        <v>BASSIN D'AVIGNON110</v>
      </c>
      <c r="E2389" t="s">
        <v>199</v>
      </c>
      <c r="F2389" t="str">
        <f t="shared" si="191"/>
        <v>BASSIN D'AVIGNON110</v>
      </c>
      <c r="G2389" t="s">
        <v>399</v>
      </c>
      <c r="I2389" s="16">
        <v>7.39</v>
      </c>
      <c r="J2389" s="16">
        <v>0</v>
      </c>
      <c r="K2389" s="16">
        <v>0</v>
      </c>
      <c r="L2389" s="159">
        <f t="shared" si="192"/>
        <v>0</v>
      </c>
      <c r="M2389" s="159">
        <f t="shared" si="192"/>
        <v>0</v>
      </c>
    </row>
    <row r="2390" spans="2:13">
      <c r="B2390" t="s">
        <v>198</v>
      </c>
      <c r="C2390">
        <f t="shared" si="193"/>
        <v>111</v>
      </c>
      <c r="D2390" t="str">
        <f t="shared" si="190"/>
        <v>BASSIN D'AVIGNON111</v>
      </c>
      <c r="E2390" t="s">
        <v>199</v>
      </c>
      <c r="F2390" t="str">
        <f t="shared" si="191"/>
        <v>BASSIN D'AVIGNON111</v>
      </c>
      <c r="G2390" t="s">
        <v>217</v>
      </c>
      <c r="I2390" s="16">
        <v>6.82</v>
      </c>
      <c r="J2390" s="16">
        <v>6.82</v>
      </c>
      <c r="K2390" s="16">
        <v>0</v>
      </c>
      <c r="L2390" s="159">
        <f t="shared" si="192"/>
        <v>1</v>
      </c>
      <c r="M2390" s="159">
        <f t="shared" si="192"/>
        <v>0</v>
      </c>
    </row>
    <row r="2391" spans="2:13">
      <c r="B2391" t="s">
        <v>198</v>
      </c>
      <c r="C2391">
        <f t="shared" si="193"/>
        <v>112</v>
      </c>
      <c r="D2391" t="str">
        <f t="shared" si="190"/>
        <v>BASSIN D'AVIGNON112</v>
      </c>
      <c r="E2391" t="s">
        <v>199</v>
      </c>
      <c r="F2391" t="str">
        <f t="shared" si="191"/>
        <v>BASSIN D'AVIGNON112</v>
      </c>
      <c r="G2391" t="s">
        <v>365</v>
      </c>
      <c r="I2391" s="16">
        <v>6.65</v>
      </c>
      <c r="J2391" s="16">
        <v>6.65</v>
      </c>
      <c r="K2391" s="16">
        <v>0</v>
      </c>
      <c r="L2391" s="159">
        <f t="shared" si="192"/>
        <v>1</v>
      </c>
      <c r="M2391" s="159">
        <f t="shared" si="192"/>
        <v>0</v>
      </c>
    </row>
    <row r="2392" spans="2:13">
      <c r="B2392" t="s">
        <v>198</v>
      </c>
      <c r="C2392">
        <f t="shared" si="193"/>
        <v>113</v>
      </c>
      <c r="D2392" t="str">
        <f t="shared" si="190"/>
        <v>BASSIN D'AVIGNON113</v>
      </c>
      <c r="E2392" t="s">
        <v>199</v>
      </c>
      <c r="F2392" t="str">
        <f t="shared" si="191"/>
        <v>BASSIN D'AVIGNON113</v>
      </c>
      <c r="G2392" t="s">
        <v>397</v>
      </c>
      <c r="I2392" s="16">
        <v>6.45</v>
      </c>
      <c r="J2392" s="16">
        <v>4.58</v>
      </c>
      <c r="K2392" s="16">
        <v>0</v>
      </c>
      <c r="L2392" s="159">
        <f t="shared" si="192"/>
        <v>0.71007751937984498</v>
      </c>
      <c r="M2392" s="159">
        <f t="shared" si="192"/>
        <v>0</v>
      </c>
    </row>
    <row r="2393" spans="2:13">
      <c r="B2393" t="s">
        <v>198</v>
      </c>
      <c r="C2393">
        <f t="shared" si="193"/>
        <v>114</v>
      </c>
      <c r="D2393" t="str">
        <f t="shared" si="190"/>
        <v>BASSIN D'AVIGNON114</v>
      </c>
      <c r="E2393" t="s">
        <v>199</v>
      </c>
      <c r="F2393" t="str">
        <f t="shared" si="191"/>
        <v>BASSIN D'AVIGNON114</v>
      </c>
      <c r="G2393" t="s">
        <v>375</v>
      </c>
      <c r="I2393" s="16">
        <v>6.34</v>
      </c>
      <c r="J2393" s="16">
        <v>0</v>
      </c>
      <c r="K2393" s="16">
        <v>0</v>
      </c>
      <c r="L2393" s="159">
        <f t="shared" si="192"/>
        <v>0</v>
      </c>
      <c r="M2393" s="159">
        <f t="shared" si="192"/>
        <v>0</v>
      </c>
    </row>
    <row r="2394" spans="2:13">
      <c r="B2394" t="s">
        <v>198</v>
      </c>
      <c r="C2394">
        <f t="shared" si="193"/>
        <v>115</v>
      </c>
      <c r="D2394" t="str">
        <f t="shared" si="190"/>
        <v>BASSIN D'AVIGNON115</v>
      </c>
      <c r="E2394" t="s">
        <v>199</v>
      </c>
      <c r="F2394" t="str">
        <f t="shared" si="191"/>
        <v>BASSIN D'AVIGNON115</v>
      </c>
      <c r="G2394" t="s">
        <v>373</v>
      </c>
      <c r="I2394" s="16">
        <v>6.05</v>
      </c>
      <c r="J2394" s="16">
        <v>0</v>
      </c>
      <c r="K2394" s="16">
        <v>0</v>
      </c>
      <c r="L2394" s="159">
        <f t="shared" si="192"/>
        <v>0</v>
      </c>
      <c r="M2394" s="159">
        <f t="shared" si="192"/>
        <v>0</v>
      </c>
    </row>
    <row r="2395" spans="2:13">
      <c r="B2395" t="s">
        <v>198</v>
      </c>
      <c r="C2395">
        <f t="shared" si="193"/>
        <v>116</v>
      </c>
      <c r="D2395" t="str">
        <f t="shared" si="190"/>
        <v>BASSIN D'AVIGNON116</v>
      </c>
      <c r="E2395" t="s">
        <v>199</v>
      </c>
      <c r="F2395" t="str">
        <f t="shared" si="191"/>
        <v>BASSIN D'AVIGNON116</v>
      </c>
      <c r="G2395" t="s">
        <v>287</v>
      </c>
      <c r="I2395" s="16">
        <v>5.9</v>
      </c>
      <c r="J2395" s="16">
        <v>0</v>
      </c>
      <c r="K2395" s="16">
        <v>0</v>
      </c>
      <c r="L2395" s="159">
        <f t="shared" si="192"/>
        <v>0</v>
      </c>
      <c r="M2395" s="159">
        <f t="shared" si="192"/>
        <v>0</v>
      </c>
    </row>
    <row r="2396" spans="2:13">
      <c r="B2396" t="s">
        <v>198</v>
      </c>
      <c r="C2396">
        <f t="shared" si="193"/>
        <v>117</v>
      </c>
      <c r="D2396" t="str">
        <f t="shared" si="190"/>
        <v>BASSIN D'AVIGNON117</v>
      </c>
      <c r="E2396" t="s">
        <v>199</v>
      </c>
      <c r="F2396" t="str">
        <f t="shared" si="191"/>
        <v>BASSIN D'AVIGNON117</v>
      </c>
      <c r="G2396" t="s">
        <v>454</v>
      </c>
      <c r="I2396" s="16">
        <v>5.84</v>
      </c>
      <c r="J2396" s="16">
        <v>0</v>
      </c>
      <c r="K2396" s="16">
        <v>0</v>
      </c>
      <c r="L2396" s="159">
        <f t="shared" si="192"/>
        <v>0</v>
      </c>
      <c r="M2396" s="159">
        <f t="shared" si="192"/>
        <v>0</v>
      </c>
    </row>
    <row r="2397" spans="2:13">
      <c r="B2397" t="s">
        <v>198</v>
      </c>
      <c r="C2397">
        <f t="shared" si="193"/>
        <v>118</v>
      </c>
      <c r="D2397" t="str">
        <f t="shared" si="190"/>
        <v>BASSIN D'AVIGNON118</v>
      </c>
      <c r="E2397" t="s">
        <v>199</v>
      </c>
      <c r="F2397" t="str">
        <f t="shared" si="191"/>
        <v>BASSIN D'AVIGNON118</v>
      </c>
      <c r="G2397" t="s">
        <v>280</v>
      </c>
      <c r="I2397" s="16">
        <v>5.83</v>
      </c>
      <c r="J2397" s="16">
        <v>0</v>
      </c>
      <c r="K2397" s="16">
        <v>1</v>
      </c>
      <c r="L2397" s="159">
        <f t="shared" si="192"/>
        <v>0</v>
      </c>
      <c r="M2397" s="159">
        <f t="shared" si="192"/>
        <v>0.17152658662092624</v>
      </c>
    </row>
    <row r="2398" spans="2:13">
      <c r="B2398" t="s">
        <v>198</v>
      </c>
      <c r="C2398">
        <f t="shared" si="193"/>
        <v>119</v>
      </c>
      <c r="D2398" t="str">
        <f t="shared" si="190"/>
        <v>BASSIN D'AVIGNON119</v>
      </c>
      <c r="E2398" t="s">
        <v>199</v>
      </c>
      <c r="F2398" t="str">
        <f t="shared" si="191"/>
        <v>BASSIN D'AVIGNON119</v>
      </c>
      <c r="G2398" t="s">
        <v>378</v>
      </c>
      <c r="I2398" s="16">
        <v>5.59</v>
      </c>
      <c r="J2398" s="16">
        <v>0</v>
      </c>
      <c r="K2398" s="16">
        <v>0</v>
      </c>
      <c r="L2398" s="159">
        <f t="shared" si="192"/>
        <v>0</v>
      </c>
      <c r="M2398" s="159">
        <f t="shared" si="192"/>
        <v>0</v>
      </c>
    </row>
    <row r="2399" spans="2:13">
      <c r="B2399" t="s">
        <v>198</v>
      </c>
      <c r="C2399">
        <f t="shared" si="193"/>
        <v>120</v>
      </c>
      <c r="D2399" t="str">
        <f t="shared" si="190"/>
        <v>BASSIN D'AVIGNON120</v>
      </c>
      <c r="E2399" t="s">
        <v>199</v>
      </c>
      <c r="F2399" t="str">
        <f t="shared" si="191"/>
        <v>BASSIN D'AVIGNON120</v>
      </c>
      <c r="G2399" t="s">
        <v>233</v>
      </c>
      <c r="I2399" s="16">
        <v>5.47</v>
      </c>
      <c r="J2399" s="16">
        <v>3.47</v>
      </c>
      <c r="K2399" s="16">
        <v>3.47</v>
      </c>
      <c r="L2399" s="159">
        <f t="shared" si="192"/>
        <v>0.63436928702010975</v>
      </c>
      <c r="M2399" s="159">
        <f t="shared" si="192"/>
        <v>0.63436928702010975</v>
      </c>
    </row>
    <row r="2400" spans="2:13">
      <c r="B2400" t="s">
        <v>198</v>
      </c>
      <c r="C2400">
        <f t="shared" si="193"/>
        <v>121</v>
      </c>
      <c r="D2400" t="str">
        <f t="shared" si="190"/>
        <v>BASSIN D'AVIGNON121</v>
      </c>
      <c r="E2400" t="s">
        <v>199</v>
      </c>
      <c r="F2400" t="str">
        <f t="shared" si="191"/>
        <v>BASSIN D'AVIGNON121</v>
      </c>
      <c r="G2400" t="s">
        <v>448</v>
      </c>
      <c r="I2400" s="16">
        <v>5.19</v>
      </c>
      <c r="J2400" s="16">
        <v>0</v>
      </c>
      <c r="K2400" s="16">
        <v>1</v>
      </c>
      <c r="L2400" s="159">
        <f t="shared" si="192"/>
        <v>0</v>
      </c>
      <c r="M2400" s="159">
        <f t="shared" si="192"/>
        <v>0.19267822736030826</v>
      </c>
    </row>
    <row r="2401" spans="2:13">
      <c r="B2401" t="s">
        <v>198</v>
      </c>
      <c r="C2401">
        <f t="shared" si="193"/>
        <v>122</v>
      </c>
      <c r="D2401" t="str">
        <f t="shared" si="190"/>
        <v>BASSIN D'AVIGNON122</v>
      </c>
      <c r="E2401" t="s">
        <v>199</v>
      </c>
      <c r="F2401" t="str">
        <f t="shared" si="191"/>
        <v>BASSIN D'AVIGNON122</v>
      </c>
      <c r="G2401" t="s">
        <v>277</v>
      </c>
      <c r="I2401" s="16">
        <v>5.0599999999999996</v>
      </c>
      <c r="J2401" s="16">
        <v>5.0599999999999996</v>
      </c>
      <c r="K2401" s="16">
        <v>0</v>
      </c>
      <c r="L2401" s="159">
        <f t="shared" si="192"/>
        <v>1</v>
      </c>
      <c r="M2401" s="159">
        <f t="shared" si="192"/>
        <v>0</v>
      </c>
    </row>
    <row r="2402" spans="2:13">
      <c r="B2402" t="s">
        <v>198</v>
      </c>
      <c r="C2402">
        <f t="shared" si="193"/>
        <v>123</v>
      </c>
      <c r="D2402" t="str">
        <f t="shared" si="190"/>
        <v>BASSIN D'AVIGNON123</v>
      </c>
      <c r="E2402" t="s">
        <v>199</v>
      </c>
      <c r="F2402" t="str">
        <f t="shared" si="191"/>
        <v>BASSIN D'AVIGNON123</v>
      </c>
      <c r="G2402" t="s">
        <v>349</v>
      </c>
      <c r="I2402" s="16">
        <v>5.0199999999999996</v>
      </c>
      <c r="J2402" s="16">
        <v>3.15</v>
      </c>
      <c r="K2402" s="16">
        <v>0</v>
      </c>
      <c r="L2402" s="159">
        <f t="shared" si="192"/>
        <v>0.62749003984063745</v>
      </c>
      <c r="M2402" s="159">
        <f t="shared" si="192"/>
        <v>0</v>
      </c>
    </row>
    <row r="2403" spans="2:13">
      <c r="B2403" t="s">
        <v>198</v>
      </c>
      <c r="C2403">
        <f t="shared" si="193"/>
        <v>124</v>
      </c>
      <c r="D2403" t="str">
        <f t="shared" si="190"/>
        <v>BASSIN D'AVIGNON124</v>
      </c>
      <c r="E2403" t="s">
        <v>199</v>
      </c>
      <c r="F2403" t="str">
        <f t="shared" si="191"/>
        <v>BASSIN D'AVIGNON124</v>
      </c>
      <c r="G2403" t="s">
        <v>407</v>
      </c>
      <c r="I2403" s="16">
        <v>4.95</v>
      </c>
      <c r="J2403" s="16">
        <v>3.08</v>
      </c>
      <c r="K2403" s="16">
        <v>0</v>
      </c>
      <c r="L2403" s="159">
        <f t="shared" si="192"/>
        <v>0.62222222222222223</v>
      </c>
      <c r="M2403" s="159">
        <f t="shared" si="192"/>
        <v>0</v>
      </c>
    </row>
    <row r="2404" spans="2:13">
      <c r="B2404" t="s">
        <v>198</v>
      </c>
      <c r="C2404">
        <f t="shared" si="193"/>
        <v>125</v>
      </c>
      <c r="D2404" t="str">
        <f t="shared" si="190"/>
        <v>BASSIN D'AVIGNON125</v>
      </c>
      <c r="E2404" t="s">
        <v>199</v>
      </c>
      <c r="F2404" t="str">
        <f t="shared" si="191"/>
        <v>BASSIN D'AVIGNON125</v>
      </c>
      <c r="G2404" t="s">
        <v>363</v>
      </c>
      <c r="I2404" s="16">
        <v>4.67</v>
      </c>
      <c r="J2404" s="16">
        <v>0</v>
      </c>
      <c r="K2404" s="16">
        <v>0</v>
      </c>
      <c r="L2404" s="159">
        <f t="shared" si="192"/>
        <v>0</v>
      </c>
      <c r="M2404" s="159">
        <f t="shared" si="192"/>
        <v>0</v>
      </c>
    </row>
    <row r="2405" spans="2:13">
      <c r="B2405" t="s">
        <v>198</v>
      </c>
      <c r="C2405">
        <f t="shared" si="193"/>
        <v>126</v>
      </c>
      <c r="D2405" t="str">
        <f t="shared" si="190"/>
        <v>BASSIN D'AVIGNON126</v>
      </c>
      <c r="E2405" t="s">
        <v>199</v>
      </c>
      <c r="F2405" t="str">
        <f t="shared" si="191"/>
        <v>BASSIN D'AVIGNON126</v>
      </c>
      <c r="G2405" t="s">
        <v>313</v>
      </c>
      <c r="I2405" s="16">
        <v>4.53</v>
      </c>
      <c r="J2405" s="16">
        <v>0</v>
      </c>
      <c r="K2405" s="16">
        <v>0</v>
      </c>
      <c r="L2405" s="159">
        <f t="shared" si="192"/>
        <v>0</v>
      </c>
      <c r="M2405" s="159">
        <f t="shared" si="192"/>
        <v>0</v>
      </c>
    </row>
    <row r="2406" spans="2:13">
      <c r="B2406" t="s">
        <v>198</v>
      </c>
      <c r="C2406">
        <f t="shared" si="193"/>
        <v>127</v>
      </c>
      <c r="D2406" t="str">
        <f t="shared" si="190"/>
        <v>BASSIN D'AVIGNON127</v>
      </c>
      <c r="E2406" t="s">
        <v>199</v>
      </c>
      <c r="F2406" t="str">
        <f t="shared" si="191"/>
        <v>BASSIN D'AVIGNON127</v>
      </c>
      <c r="G2406" t="s">
        <v>293</v>
      </c>
      <c r="I2406" s="16">
        <v>4.34</v>
      </c>
      <c r="J2406" s="16">
        <v>0</v>
      </c>
      <c r="K2406" s="16">
        <v>0</v>
      </c>
      <c r="L2406" s="159">
        <f t="shared" si="192"/>
        <v>0</v>
      </c>
      <c r="M2406" s="159">
        <f t="shared" si="192"/>
        <v>0</v>
      </c>
    </row>
    <row r="2407" spans="2:13">
      <c r="B2407" t="s">
        <v>198</v>
      </c>
      <c r="C2407">
        <f t="shared" si="193"/>
        <v>128</v>
      </c>
      <c r="D2407" t="str">
        <f t="shared" si="190"/>
        <v>BASSIN D'AVIGNON128</v>
      </c>
      <c r="E2407" t="s">
        <v>199</v>
      </c>
      <c r="F2407" t="str">
        <f t="shared" si="191"/>
        <v>BASSIN D'AVIGNON128</v>
      </c>
      <c r="G2407" t="s">
        <v>415</v>
      </c>
      <c r="I2407" s="16">
        <v>3.38</v>
      </c>
      <c r="J2407" s="16">
        <v>0</v>
      </c>
      <c r="K2407" s="16">
        <v>0</v>
      </c>
      <c r="L2407" s="159">
        <f t="shared" si="192"/>
        <v>0</v>
      </c>
      <c r="M2407" s="159">
        <f t="shared" si="192"/>
        <v>0</v>
      </c>
    </row>
    <row r="2408" spans="2:13">
      <c r="B2408" t="s">
        <v>198</v>
      </c>
      <c r="C2408">
        <f t="shared" ref="C2408:C2419" si="194">RANK(I2408,$I$2280:$I$2419,0)</f>
        <v>129</v>
      </c>
      <c r="D2408" t="str">
        <f t="shared" si="190"/>
        <v>BASSIN D'AVIGNON129</v>
      </c>
      <c r="E2408" t="s">
        <v>199</v>
      </c>
      <c r="F2408" t="str">
        <f t="shared" si="191"/>
        <v>BASSIN D'AVIGNON129</v>
      </c>
      <c r="G2408" t="s">
        <v>447</v>
      </c>
      <c r="I2408" s="16">
        <v>2.54</v>
      </c>
      <c r="J2408" s="16">
        <v>0</v>
      </c>
      <c r="K2408" s="16">
        <v>0</v>
      </c>
      <c r="L2408" s="159">
        <f t="shared" si="192"/>
        <v>0</v>
      </c>
      <c r="M2408" s="159">
        <f t="shared" si="192"/>
        <v>0</v>
      </c>
    </row>
    <row r="2409" spans="2:13">
      <c r="B2409" t="s">
        <v>198</v>
      </c>
      <c r="C2409">
        <f t="shared" si="194"/>
        <v>129</v>
      </c>
      <c r="D2409" t="str">
        <f t="shared" si="190"/>
        <v>BASSIN D'AVIGNON129</v>
      </c>
      <c r="E2409" t="s">
        <v>199</v>
      </c>
      <c r="F2409" t="str">
        <f t="shared" si="191"/>
        <v>BASSIN D'AVIGNON129</v>
      </c>
      <c r="G2409" t="s">
        <v>301</v>
      </c>
      <c r="H2409" t="s">
        <v>918</v>
      </c>
      <c r="I2409" s="16">
        <v>2.54</v>
      </c>
      <c r="J2409" s="16">
        <v>0</v>
      </c>
      <c r="K2409" s="16">
        <v>0</v>
      </c>
      <c r="L2409" s="159">
        <f t="shared" si="192"/>
        <v>0</v>
      </c>
      <c r="M2409" s="159">
        <f t="shared" si="192"/>
        <v>0</v>
      </c>
    </row>
    <row r="2410" spans="2:13">
      <c r="B2410" t="s">
        <v>198</v>
      </c>
      <c r="C2410">
        <f t="shared" si="194"/>
        <v>131</v>
      </c>
      <c r="D2410" t="str">
        <f t="shared" si="190"/>
        <v>BASSIN D'AVIGNON131</v>
      </c>
      <c r="E2410" t="s">
        <v>199</v>
      </c>
      <c r="F2410" t="str">
        <f t="shared" si="191"/>
        <v>BASSIN D'AVIGNON131</v>
      </c>
      <c r="G2410" t="s">
        <v>372</v>
      </c>
      <c r="I2410" s="16">
        <v>2</v>
      </c>
      <c r="J2410" s="16">
        <v>0</v>
      </c>
      <c r="K2410" s="16">
        <v>0</v>
      </c>
      <c r="L2410" s="159">
        <f t="shared" si="192"/>
        <v>0</v>
      </c>
      <c r="M2410" s="159">
        <f t="shared" si="192"/>
        <v>0</v>
      </c>
    </row>
    <row r="2411" spans="2:13">
      <c r="B2411" t="s">
        <v>198</v>
      </c>
      <c r="C2411">
        <f t="shared" si="194"/>
        <v>131</v>
      </c>
      <c r="D2411" t="str">
        <f t="shared" si="190"/>
        <v>BASSIN D'AVIGNON131</v>
      </c>
      <c r="E2411" t="s">
        <v>199</v>
      </c>
      <c r="F2411" t="str">
        <f t="shared" si="191"/>
        <v>BASSIN D'AVIGNON131</v>
      </c>
      <c r="G2411" t="s">
        <v>436</v>
      </c>
      <c r="I2411" s="16">
        <v>2</v>
      </c>
      <c r="J2411" s="16">
        <v>0</v>
      </c>
      <c r="K2411" s="16">
        <v>1</v>
      </c>
      <c r="L2411" s="159">
        <f t="shared" si="192"/>
        <v>0</v>
      </c>
      <c r="M2411" s="159">
        <f t="shared" si="192"/>
        <v>0.5</v>
      </c>
    </row>
    <row r="2412" spans="2:13">
      <c r="B2412" t="s">
        <v>198</v>
      </c>
      <c r="C2412">
        <f t="shared" si="194"/>
        <v>133</v>
      </c>
      <c r="D2412" t="str">
        <f t="shared" si="190"/>
        <v>BASSIN D'AVIGNON133</v>
      </c>
      <c r="E2412" t="s">
        <v>199</v>
      </c>
      <c r="F2412" t="str">
        <f t="shared" si="191"/>
        <v>BASSIN D'AVIGNON133</v>
      </c>
      <c r="G2412" t="s">
        <v>398</v>
      </c>
      <c r="I2412" s="16">
        <v>1.87</v>
      </c>
      <c r="J2412" s="16">
        <v>0</v>
      </c>
      <c r="K2412" s="16">
        <v>0</v>
      </c>
      <c r="L2412" s="159">
        <f t="shared" si="192"/>
        <v>0</v>
      </c>
      <c r="M2412" s="159">
        <f t="shared" si="192"/>
        <v>0</v>
      </c>
    </row>
    <row r="2413" spans="2:13">
      <c r="B2413" t="s">
        <v>198</v>
      </c>
      <c r="C2413">
        <f t="shared" si="194"/>
        <v>133</v>
      </c>
      <c r="D2413" t="str">
        <f t="shared" si="190"/>
        <v>BASSIN D'AVIGNON133</v>
      </c>
      <c r="E2413" t="s">
        <v>199</v>
      </c>
      <c r="F2413" t="str">
        <f t="shared" si="191"/>
        <v>BASSIN D'AVIGNON133</v>
      </c>
      <c r="G2413" t="s">
        <v>417</v>
      </c>
      <c r="I2413" s="16">
        <v>1.87</v>
      </c>
      <c r="J2413" s="16">
        <v>0</v>
      </c>
      <c r="K2413" s="16">
        <v>0</v>
      </c>
      <c r="L2413" s="159">
        <f t="shared" si="192"/>
        <v>0</v>
      </c>
      <c r="M2413" s="159">
        <f t="shared" si="192"/>
        <v>0</v>
      </c>
    </row>
    <row r="2414" spans="2:13">
      <c r="B2414" t="s">
        <v>198</v>
      </c>
      <c r="C2414">
        <f t="shared" si="194"/>
        <v>133</v>
      </c>
      <c r="D2414" t="str">
        <f t="shared" si="190"/>
        <v>BASSIN D'AVIGNON133</v>
      </c>
      <c r="E2414" t="s">
        <v>199</v>
      </c>
      <c r="F2414" t="str">
        <f t="shared" si="191"/>
        <v>BASSIN D'AVIGNON133</v>
      </c>
      <c r="G2414" t="s">
        <v>381</v>
      </c>
      <c r="I2414" s="16">
        <v>1.87</v>
      </c>
      <c r="J2414" s="16">
        <v>0</v>
      </c>
      <c r="K2414" s="16">
        <v>0</v>
      </c>
      <c r="L2414" s="159">
        <f t="shared" si="192"/>
        <v>0</v>
      </c>
      <c r="M2414" s="159">
        <f t="shared" si="192"/>
        <v>0</v>
      </c>
    </row>
    <row r="2415" spans="2:13">
      <c r="B2415" t="s">
        <v>198</v>
      </c>
      <c r="C2415">
        <f t="shared" si="194"/>
        <v>133</v>
      </c>
      <c r="D2415" t="str">
        <f t="shared" si="190"/>
        <v>BASSIN D'AVIGNON133</v>
      </c>
      <c r="E2415" t="s">
        <v>199</v>
      </c>
      <c r="F2415" t="str">
        <f t="shared" si="191"/>
        <v>BASSIN D'AVIGNON133</v>
      </c>
      <c r="G2415" t="s">
        <v>391</v>
      </c>
      <c r="I2415" s="16">
        <v>1.87</v>
      </c>
      <c r="J2415" s="16">
        <v>0</v>
      </c>
      <c r="K2415" s="16">
        <v>0</v>
      </c>
      <c r="L2415" s="159">
        <f t="shared" si="192"/>
        <v>0</v>
      </c>
      <c r="M2415" s="159">
        <f t="shared" si="192"/>
        <v>0</v>
      </c>
    </row>
    <row r="2416" spans="2:13">
      <c r="B2416" t="s">
        <v>198</v>
      </c>
      <c r="C2416">
        <f t="shared" si="194"/>
        <v>133</v>
      </c>
      <c r="D2416" t="str">
        <f t="shared" si="190"/>
        <v>BASSIN D'AVIGNON133</v>
      </c>
      <c r="E2416" t="s">
        <v>199</v>
      </c>
      <c r="F2416" t="str">
        <f t="shared" si="191"/>
        <v>BASSIN D'AVIGNON133</v>
      </c>
      <c r="G2416" t="s">
        <v>396</v>
      </c>
      <c r="I2416" s="16">
        <v>1.87</v>
      </c>
      <c r="J2416" s="16">
        <v>0</v>
      </c>
      <c r="K2416" s="16">
        <v>0</v>
      </c>
      <c r="L2416" s="159">
        <f t="shared" si="192"/>
        <v>0</v>
      </c>
      <c r="M2416" s="159">
        <f t="shared" si="192"/>
        <v>0</v>
      </c>
    </row>
    <row r="2417" spans="2:13">
      <c r="B2417" t="s">
        <v>198</v>
      </c>
      <c r="C2417">
        <f t="shared" si="194"/>
        <v>133</v>
      </c>
      <c r="D2417" t="str">
        <f t="shared" si="190"/>
        <v>BASSIN D'AVIGNON133</v>
      </c>
      <c r="E2417" t="s">
        <v>199</v>
      </c>
      <c r="F2417" t="str">
        <f t="shared" si="191"/>
        <v>BASSIN D'AVIGNON133</v>
      </c>
      <c r="G2417" t="s">
        <v>423</v>
      </c>
      <c r="I2417" s="16">
        <v>1.87</v>
      </c>
      <c r="J2417" s="16">
        <v>0</v>
      </c>
      <c r="K2417" s="16">
        <v>0</v>
      </c>
      <c r="L2417" s="159">
        <f t="shared" si="192"/>
        <v>0</v>
      </c>
      <c r="M2417" s="159">
        <f t="shared" si="192"/>
        <v>0</v>
      </c>
    </row>
    <row r="2418" spans="2:13">
      <c r="B2418" t="s">
        <v>198</v>
      </c>
      <c r="C2418">
        <f t="shared" si="194"/>
        <v>139</v>
      </c>
      <c r="D2418" t="str">
        <f t="shared" si="190"/>
        <v>BASSIN D'AVIGNON139</v>
      </c>
      <c r="E2418" t="s">
        <v>199</v>
      </c>
      <c r="F2418" t="str">
        <f t="shared" si="191"/>
        <v>BASSIN D'AVIGNON139</v>
      </c>
      <c r="G2418" t="s">
        <v>370</v>
      </c>
      <c r="I2418" s="16">
        <v>1.51</v>
      </c>
      <c r="J2418" s="16">
        <v>0</v>
      </c>
      <c r="K2418" s="16">
        <v>0</v>
      </c>
      <c r="L2418" s="159">
        <f t="shared" si="192"/>
        <v>0</v>
      </c>
      <c r="M2418" s="159">
        <f t="shared" si="192"/>
        <v>0</v>
      </c>
    </row>
    <row r="2419" spans="2:13">
      <c r="B2419" t="s">
        <v>198</v>
      </c>
      <c r="C2419">
        <f t="shared" si="194"/>
        <v>140</v>
      </c>
      <c r="D2419" t="str">
        <f t="shared" si="190"/>
        <v>BASSIN D'AVIGNON140</v>
      </c>
      <c r="E2419" t="s">
        <v>199</v>
      </c>
      <c r="F2419" t="str">
        <f t="shared" si="191"/>
        <v>BASSIN D'AVIGNON140</v>
      </c>
      <c r="G2419" t="s">
        <v>359</v>
      </c>
      <c r="I2419" s="16">
        <v>1</v>
      </c>
      <c r="J2419" s="16">
        <v>1</v>
      </c>
      <c r="K2419" s="16">
        <v>0</v>
      </c>
      <c r="L2419" s="159">
        <f t="shared" si="192"/>
        <v>1</v>
      </c>
      <c r="M2419" s="159">
        <f t="shared" si="192"/>
        <v>0</v>
      </c>
    </row>
  </sheetData>
  <autoFilter ref="A1:Q2419"/>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4"/>
  <sheetViews>
    <sheetView zoomScaleNormal="100" workbookViewId="0">
      <pane xSplit="2" ySplit="5" topLeftCell="C120" activePane="bottomRight" state="frozen"/>
      <selection activeCell="A24" sqref="A24:U31"/>
      <selection pane="topRight" activeCell="A24" sqref="A24:U31"/>
      <selection pane="bottomLeft" activeCell="A24" sqref="A24:U31"/>
      <selection pane="bottomRight" activeCell="A24" sqref="A24:U31"/>
    </sheetView>
  </sheetViews>
  <sheetFormatPr baseColWidth="10" defaultRowHeight="15"/>
  <cols>
    <col min="1" max="1" width="11.42578125" style="9"/>
    <col min="2" max="2" width="21.42578125" style="9" bestFit="1" customWidth="1"/>
    <col min="3" max="18" width="11.42578125" style="9" customWidth="1"/>
    <col min="19" max="16384" width="11.42578125" style="9"/>
  </cols>
  <sheetData>
    <row r="1" spans="1:26">
      <c r="Z1" s="9">
        <v>223808</v>
      </c>
    </row>
    <row r="2" spans="1:26" s="84" customFormat="1"/>
    <row r="3" spans="1:26" s="85" customFormat="1">
      <c r="A3" s="87" t="s">
        <v>1844</v>
      </c>
    </row>
    <row r="4" spans="1:26">
      <c r="A4" s="403" t="s">
        <v>1845</v>
      </c>
      <c r="Z4" s="9">
        <v>177545</v>
      </c>
    </row>
    <row r="5" spans="1:26" s="71" customFormat="1" ht="90">
      <c r="A5" s="70" t="s">
        <v>483</v>
      </c>
      <c r="B5" s="70" t="s">
        <v>484</v>
      </c>
      <c r="C5" s="72" t="s">
        <v>1025</v>
      </c>
      <c r="D5" s="74" t="s">
        <v>1026</v>
      </c>
      <c r="E5" s="74" t="s">
        <v>1027</v>
      </c>
      <c r="F5" s="74" t="s">
        <v>1028</v>
      </c>
      <c r="G5" s="74" t="s">
        <v>1029</v>
      </c>
      <c r="H5" s="74" t="s">
        <v>1030</v>
      </c>
      <c r="I5" s="74" t="s">
        <v>1031</v>
      </c>
      <c r="J5" s="74" t="s">
        <v>1032</v>
      </c>
      <c r="K5" s="74" t="s">
        <v>1033</v>
      </c>
      <c r="L5" s="783" t="s">
        <v>1025</v>
      </c>
      <c r="M5" s="783" t="s">
        <v>1034</v>
      </c>
      <c r="N5" s="783" t="s">
        <v>1035</v>
      </c>
      <c r="O5" s="733" t="s">
        <v>1036</v>
      </c>
      <c r="P5" s="785" t="s">
        <v>1037</v>
      </c>
      <c r="Q5" s="733" t="s">
        <v>1044</v>
      </c>
      <c r="R5" s="733" t="s">
        <v>1539</v>
      </c>
      <c r="S5" s="733" t="s">
        <v>1038</v>
      </c>
      <c r="T5" s="733" t="s">
        <v>1039</v>
      </c>
      <c r="U5" s="733" t="s">
        <v>1040</v>
      </c>
      <c r="V5" s="733" t="s">
        <v>1041</v>
      </c>
      <c r="W5" s="733" t="s">
        <v>1042</v>
      </c>
      <c r="X5" s="733" t="s">
        <v>1046</v>
      </c>
      <c r="Y5" s="733" t="s">
        <v>1043</v>
      </c>
    </row>
    <row r="6" spans="1:26">
      <c r="A6" s="75" t="s">
        <v>88</v>
      </c>
      <c r="B6" s="76" t="s">
        <v>89</v>
      </c>
      <c r="C6" s="77">
        <f>D6+E6</f>
        <v>61246</v>
      </c>
      <c r="D6" s="78">
        <f>VLOOKUP($A6,'D_Ch-5-1'!$A$5:$P$53,5,FALSE)</f>
        <v>24479</v>
      </c>
      <c r="E6" s="78">
        <f>VLOOKUP($A6,'D_Ch-5-1'!$A$5:$P$53,4,FALSE)</f>
        <v>36767</v>
      </c>
      <c r="F6" s="78">
        <f>VLOOKUP($A6,'D_Ch-5-1'!$A$5:$P$53,6,FALSE)</f>
        <v>1173</v>
      </c>
      <c r="G6" s="78">
        <f>VLOOKUP($A6,'D_Ch-5-1'!$A$5:$P$53,7,FALSE)</f>
        <v>15</v>
      </c>
      <c r="H6" s="78">
        <f>VLOOKUP($A6,'D_Ch-5-1'!$A$5:$P$53,10,FALSE)</f>
        <v>109121</v>
      </c>
      <c r="I6" s="78">
        <f>VLOOKUP($A6,'D_Ch-5-1'!$A$5:$P$53,11,FALSE)</f>
        <v>51681</v>
      </c>
      <c r="J6" s="78">
        <f>VLOOKUP($A6,'D_Ch-5-1'!$A$5:$P$53,12,FALSE)</f>
        <v>41136</v>
      </c>
      <c r="K6" s="78">
        <f>VLOOKUP($A6,'D_Ch-5-1'!$A$5:$P$53,13,FALSE)</f>
        <v>615</v>
      </c>
      <c r="L6" s="784">
        <v>61246</v>
      </c>
      <c r="M6" s="784">
        <v>4526</v>
      </c>
      <c r="N6" s="784">
        <v>3478</v>
      </c>
      <c r="O6" s="784">
        <v>7684</v>
      </c>
      <c r="P6" s="786">
        <v>38147</v>
      </c>
      <c r="Q6" s="784">
        <v>27035</v>
      </c>
      <c r="R6" s="784">
        <v>11112</v>
      </c>
      <c r="S6" s="784">
        <v>7411</v>
      </c>
      <c r="T6" s="784">
        <v>44369</v>
      </c>
      <c r="U6" s="784">
        <v>13950</v>
      </c>
      <c r="V6" s="784">
        <v>2417</v>
      </c>
      <c r="W6" s="784">
        <v>445</v>
      </c>
      <c r="X6" s="784">
        <v>53</v>
      </c>
      <c r="Y6" s="784">
        <v>12</v>
      </c>
    </row>
    <row r="7" spans="1:26">
      <c r="A7" s="75" t="s">
        <v>5</v>
      </c>
      <c r="B7" s="76" t="s">
        <v>6</v>
      </c>
      <c r="C7" s="77">
        <f t="shared" ref="C7:C53" si="0">D7+E7</f>
        <v>127871</v>
      </c>
      <c r="D7" s="78">
        <v>76389</v>
      </c>
      <c r="E7" s="78">
        <v>51482</v>
      </c>
      <c r="F7" s="78">
        <v>2836</v>
      </c>
      <c r="G7" s="78">
        <v>46</v>
      </c>
      <c r="H7" s="78">
        <v>309313</v>
      </c>
      <c r="I7" s="78">
        <v>159591</v>
      </c>
      <c r="J7" s="78">
        <v>112935</v>
      </c>
      <c r="K7" s="78">
        <v>3025</v>
      </c>
      <c r="L7" s="784">
        <v>135765</v>
      </c>
      <c r="M7" s="784">
        <v>6116</v>
      </c>
      <c r="N7" s="784">
        <v>6497</v>
      </c>
      <c r="O7" s="784">
        <v>15426</v>
      </c>
      <c r="P7" s="786">
        <v>87954</v>
      </c>
      <c r="Q7" s="784">
        <v>65364</v>
      </c>
      <c r="R7" s="784">
        <v>22590</v>
      </c>
      <c r="S7" s="784">
        <v>19772</v>
      </c>
      <c r="T7" s="784">
        <v>98058</v>
      </c>
      <c r="U7" s="784">
        <v>29846</v>
      </c>
      <c r="V7" s="784">
        <v>6340</v>
      </c>
      <c r="W7" s="784">
        <v>1279</v>
      </c>
      <c r="X7" s="784">
        <v>168</v>
      </c>
      <c r="Y7" s="784">
        <v>74</v>
      </c>
    </row>
    <row r="8" spans="1:26">
      <c r="A8" s="75" t="s">
        <v>87</v>
      </c>
      <c r="B8" s="76" t="s">
        <v>1406</v>
      </c>
      <c r="C8" s="77">
        <f t="shared" si="0"/>
        <v>17076</v>
      </c>
      <c r="D8" s="78">
        <v>12208</v>
      </c>
      <c r="E8" s="78">
        <v>4868</v>
      </c>
      <c r="F8" s="78">
        <v>666</v>
      </c>
      <c r="G8" s="78">
        <v>1</v>
      </c>
      <c r="H8" s="78">
        <v>67472</v>
      </c>
      <c r="I8" s="78">
        <v>28641</v>
      </c>
      <c r="J8" s="78">
        <v>22336</v>
      </c>
      <c r="K8" s="78">
        <v>0</v>
      </c>
      <c r="L8" s="784">
        <v>17831</v>
      </c>
      <c r="M8" s="784">
        <v>212</v>
      </c>
      <c r="N8" s="784">
        <v>904</v>
      </c>
      <c r="O8" s="784">
        <v>1878</v>
      </c>
      <c r="P8" s="786">
        <v>11629</v>
      </c>
      <c r="Q8" s="784">
        <v>7549</v>
      </c>
      <c r="R8" s="784">
        <v>4080</v>
      </c>
      <c r="S8" s="784">
        <v>3208</v>
      </c>
      <c r="T8" s="784">
        <v>11774</v>
      </c>
      <c r="U8" s="784">
        <v>4387</v>
      </c>
      <c r="V8" s="784">
        <v>1288</v>
      </c>
      <c r="W8" s="784">
        <v>322</v>
      </c>
      <c r="X8" s="784">
        <v>48</v>
      </c>
      <c r="Y8" s="784">
        <v>12</v>
      </c>
    </row>
    <row r="9" spans="1:26">
      <c r="A9" s="75" t="s">
        <v>7</v>
      </c>
      <c r="B9" s="76" t="s">
        <v>8</v>
      </c>
      <c r="C9" s="77">
        <f t="shared" si="0"/>
        <v>77958</v>
      </c>
      <c r="D9" s="78">
        <v>48634</v>
      </c>
      <c r="E9" s="78">
        <v>29324</v>
      </c>
      <c r="F9" s="78">
        <v>2460</v>
      </c>
      <c r="G9" s="78">
        <v>28</v>
      </c>
      <c r="H9" s="78">
        <v>183832</v>
      </c>
      <c r="I9" s="78">
        <v>115921</v>
      </c>
      <c r="J9" s="78">
        <v>74770</v>
      </c>
      <c r="K9" s="78">
        <v>2879</v>
      </c>
      <c r="L9" s="784">
        <v>81761</v>
      </c>
      <c r="M9" s="784">
        <v>2835</v>
      </c>
      <c r="N9" s="784">
        <v>4614</v>
      </c>
      <c r="O9" s="784">
        <v>8994</v>
      </c>
      <c r="P9" s="786">
        <v>51256</v>
      </c>
      <c r="Q9" s="784">
        <v>39731</v>
      </c>
      <c r="R9" s="784">
        <v>11525</v>
      </c>
      <c r="S9" s="784">
        <v>14062</v>
      </c>
      <c r="T9" s="784">
        <v>58602</v>
      </c>
      <c r="U9" s="784">
        <v>18275</v>
      </c>
      <c r="V9" s="784">
        <v>3916</v>
      </c>
      <c r="W9" s="784">
        <v>803</v>
      </c>
      <c r="X9" s="784">
        <v>114</v>
      </c>
      <c r="Y9" s="784">
        <v>51</v>
      </c>
    </row>
    <row r="10" spans="1:26">
      <c r="A10" s="75" t="s">
        <v>9</v>
      </c>
      <c r="B10" s="76" t="s">
        <v>10</v>
      </c>
      <c r="C10" s="77">
        <f t="shared" si="0"/>
        <v>67553</v>
      </c>
      <c r="D10" s="78">
        <v>39976</v>
      </c>
      <c r="E10" s="78">
        <v>27577</v>
      </c>
      <c r="F10" s="78">
        <v>1794</v>
      </c>
      <c r="G10" s="78">
        <v>28</v>
      </c>
      <c r="H10" s="78">
        <v>252532</v>
      </c>
      <c r="I10" s="78">
        <v>118020</v>
      </c>
      <c r="J10" s="78">
        <v>99869</v>
      </c>
      <c r="K10" s="78">
        <v>1408</v>
      </c>
      <c r="L10" s="784">
        <v>72842</v>
      </c>
      <c r="M10" s="784">
        <v>795</v>
      </c>
      <c r="N10" s="784">
        <v>2815</v>
      </c>
      <c r="O10" s="784">
        <v>6497</v>
      </c>
      <c r="P10" s="786">
        <v>50701</v>
      </c>
      <c r="Q10" s="784">
        <v>38943</v>
      </c>
      <c r="R10" s="784">
        <v>11758</v>
      </c>
      <c r="S10" s="784">
        <v>12034</v>
      </c>
      <c r="T10" s="784">
        <v>51966</v>
      </c>
      <c r="U10" s="784">
        <v>15424</v>
      </c>
      <c r="V10" s="784">
        <v>4177</v>
      </c>
      <c r="W10" s="784">
        <v>1025</v>
      </c>
      <c r="X10" s="784">
        <v>174</v>
      </c>
      <c r="Y10" s="784">
        <v>76</v>
      </c>
    </row>
    <row r="11" spans="1:26">
      <c r="A11" s="79" t="s">
        <v>11</v>
      </c>
      <c r="B11" s="76" t="s">
        <v>12</v>
      </c>
      <c r="C11" s="77">
        <f t="shared" si="0"/>
        <v>181767</v>
      </c>
      <c r="D11" s="78">
        <v>102540</v>
      </c>
      <c r="E11" s="78">
        <v>79227</v>
      </c>
      <c r="F11" s="78">
        <v>3160</v>
      </c>
      <c r="G11" s="78">
        <v>69</v>
      </c>
      <c r="H11" s="78">
        <v>458784</v>
      </c>
      <c r="I11" s="78">
        <v>314028</v>
      </c>
      <c r="J11" s="78">
        <v>148593</v>
      </c>
      <c r="K11" s="78">
        <v>3565</v>
      </c>
      <c r="L11" s="784">
        <v>191606</v>
      </c>
      <c r="M11" s="784">
        <v>3042</v>
      </c>
      <c r="N11" s="784">
        <v>9687</v>
      </c>
      <c r="O11" s="784">
        <v>17588</v>
      </c>
      <c r="P11" s="786">
        <v>135448</v>
      </c>
      <c r="Q11" s="784">
        <v>104531</v>
      </c>
      <c r="R11" s="784">
        <v>30917</v>
      </c>
      <c r="S11" s="784">
        <v>25841</v>
      </c>
      <c r="T11" s="784">
        <v>135045</v>
      </c>
      <c r="U11" s="784">
        <v>43667</v>
      </c>
      <c r="V11" s="784">
        <v>10191</v>
      </c>
      <c r="W11" s="784">
        <v>2237</v>
      </c>
      <c r="X11" s="784">
        <v>348</v>
      </c>
      <c r="Y11" s="784">
        <v>118</v>
      </c>
      <c r="Z11" s="398"/>
    </row>
    <row r="12" spans="1:26">
      <c r="A12" s="79" t="s">
        <v>13</v>
      </c>
      <c r="B12" s="76" t="s">
        <v>54</v>
      </c>
      <c r="C12" s="77">
        <f t="shared" si="0"/>
        <v>131495</v>
      </c>
      <c r="D12" s="78">
        <v>84135</v>
      </c>
      <c r="E12" s="78">
        <v>47360</v>
      </c>
      <c r="F12" s="78">
        <v>1970</v>
      </c>
      <c r="G12" s="78">
        <v>44</v>
      </c>
      <c r="H12" s="78">
        <v>327759</v>
      </c>
      <c r="I12" s="78">
        <v>142346</v>
      </c>
      <c r="J12" s="78">
        <v>112498</v>
      </c>
      <c r="K12" s="78">
        <v>4073</v>
      </c>
      <c r="L12" s="784">
        <v>137110</v>
      </c>
      <c r="M12" s="784">
        <v>1167</v>
      </c>
      <c r="N12" s="784">
        <v>6259</v>
      </c>
      <c r="O12" s="784">
        <v>14531</v>
      </c>
      <c r="P12" s="786">
        <v>92609</v>
      </c>
      <c r="Q12" s="784">
        <v>68116</v>
      </c>
      <c r="R12" s="784">
        <v>24493</v>
      </c>
      <c r="S12" s="784">
        <v>22544</v>
      </c>
      <c r="T12" s="784">
        <v>99536</v>
      </c>
      <c r="U12" s="784">
        <v>30392</v>
      </c>
      <c r="V12" s="784">
        <v>5753</v>
      </c>
      <c r="W12" s="784">
        <v>1189</v>
      </c>
      <c r="X12" s="784">
        <v>168</v>
      </c>
      <c r="Y12" s="784">
        <v>72</v>
      </c>
    </row>
    <row r="13" spans="1:26">
      <c r="A13" s="79" t="s">
        <v>14</v>
      </c>
      <c r="B13" s="76" t="s">
        <v>15</v>
      </c>
      <c r="C13" s="77">
        <f t="shared" si="0"/>
        <v>78382</v>
      </c>
      <c r="D13" s="78">
        <v>48267</v>
      </c>
      <c r="E13" s="78">
        <v>30115</v>
      </c>
      <c r="F13" s="78">
        <v>1169</v>
      </c>
      <c r="G13" s="78">
        <v>56</v>
      </c>
      <c r="H13" s="78">
        <v>172761</v>
      </c>
      <c r="I13" s="78">
        <v>64956</v>
      </c>
      <c r="J13" s="78">
        <v>64020</v>
      </c>
      <c r="K13" s="78">
        <v>4137</v>
      </c>
      <c r="L13" s="784">
        <v>83637</v>
      </c>
      <c r="M13" s="784">
        <v>2041</v>
      </c>
      <c r="N13" s="784">
        <v>3724</v>
      </c>
      <c r="O13" s="784">
        <v>10300</v>
      </c>
      <c r="P13" s="786">
        <v>54595</v>
      </c>
      <c r="Q13" s="784">
        <v>41533</v>
      </c>
      <c r="R13" s="784">
        <v>13062</v>
      </c>
      <c r="S13" s="784">
        <v>12977</v>
      </c>
      <c r="T13" s="784">
        <v>63055</v>
      </c>
      <c r="U13" s="784">
        <v>16650</v>
      </c>
      <c r="V13" s="784">
        <v>3192</v>
      </c>
      <c r="W13" s="784">
        <v>605</v>
      </c>
      <c r="X13" s="784">
        <v>97</v>
      </c>
      <c r="Y13" s="784">
        <v>38</v>
      </c>
    </row>
    <row r="14" spans="1:26">
      <c r="A14" s="79" t="s">
        <v>16</v>
      </c>
      <c r="B14" s="76" t="s">
        <v>17</v>
      </c>
      <c r="C14" s="77">
        <f t="shared" si="0"/>
        <v>90361</v>
      </c>
      <c r="D14" s="78">
        <v>50624</v>
      </c>
      <c r="E14" s="78">
        <v>39737</v>
      </c>
      <c r="F14" s="78">
        <v>2047</v>
      </c>
      <c r="G14" s="78">
        <v>28</v>
      </c>
      <c r="H14" s="78">
        <v>252873</v>
      </c>
      <c r="I14" s="78">
        <v>156155</v>
      </c>
      <c r="J14" s="78">
        <v>83757</v>
      </c>
      <c r="K14" s="78">
        <v>1850</v>
      </c>
      <c r="L14" s="784">
        <v>96456</v>
      </c>
      <c r="M14" s="784">
        <v>4648</v>
      </c>
      <c r="N14" s="784">
        <v>5230</v>
      </c>
      <c r="O14" s="784">
        <v>9236</v>
      </c>
      <c r="P14" s="786">
        <v>63803</v>
      </c>
      <c r="Q14" s="784">
        <v>49595</v>
      </c>
      <c r="R14" s="784">
        <v>14208</v>
      </c>
      <c r="S14" s="784">
        <v>13539</v>
      </c>
      <c r="T14" s="784">
        <v>68264</v>
      </c>
      <c r="U14" s="784">
        <v>21352</v>
      </c>
      <c r="V14" s="784">
        <v>5326</v>
      </c>
      <c r="W14" s="784">
        <v>1251</v>
      </c>
      <c r="X14" s="784">
        <v>199</v>
      </c>
      <c r="Y14" s="784">
        <v>64</v>
      </c>
    </row>
    <row r="15" spans="1:26">
      <c r="A15" s="79" t="s">
        <v>18</v>
      </c>
      <c r="B15" s="76" t="s">
        <v>19</v>
      </c>
      <c r="C15" s="77">
        <f t="shared" si="0"/>
        <v>84217</v>
      </c>
      <c r="D15" s="78">
        <v>55639</v>
      </c>
      <c r="E15" s="78">
        <v>28578</v>
      </c>
      <c r="F15" s="78">
        <v>1179</v>
      </c>
      <c r="G15" s="78">
        <v>34</v>
      </c>
      <c r="H15" s="78">
        <v>164519</v>
      </c>
      <c r="I15" s="78">
        <v>48254</v>
      </c>
      <c r="J15" s="78">
        <v>55399</v>
      </c>
      <c r="K15" s="78">
        <v>551</v>
      </c>
      <c r="L15" s="784">
        <v>87402</v>
      </c>
      <c r="M15" s="784">
        <v>972</v>
      </c>
      <c r="N15" s="784">
        <v>3161</v>
      </c>
      <c r="O15" s="784">
        <v>11957</v>
      </c>
      <c r="P15" s="786">
        <v>59695</v>
      </c>
      <c r="Q15" s="784">
        <v>45771</v>
      </c>
      <c r="R15" s="784">
        <v>13924</v>
      </c>
      <c r="S15" s="784">
        <v>11617</v>
      </c>
      <c r="T15" s="784">
        <v>65252</v>
      </c>
      <c r="U15" s="784">
        <v>18653</v>
      </c>
      <c r="V15" s="784">
        <v>2935</v>
      </c>
      <c r="W15" s="784">
        <v>464</v>
      </c>
      <c r="X15" s="784">
        <v>66</v>
      </c>
      <c r="Y15" s="784">
        <v>32</v>
      </c>
    </row>
    <row r="16" spans="1:26">
      <c r="A16" s="79" t="s">
        <v>20</v>
      </c>
      <c r="B16" s="76" t="s">
        <v>21</v>
      </c>
      <c r="C16" s="77">
        <f t="shared" si="0"/>
        <v>67526</v>
      </c>
      <c r="D16" s="78">
        <v>37221</v>
      </c>
      <c r="E16" s="78">
        <v>30305</v>
      </c>
      <c r="F16" s="78">
        <v>1918</v>
      </c>
      <c r="G16" s="78">
        <v>30</v>
      </c>
      <c r="H16" s="78">
        <v>188649</v>
      </c>
      <c r="I16" s="78">
        <v>107038</v>
      </c>
      <c r="J16" s="78">
        <v>73144</v>
      </c>
      <c r="K16" s="78">
        <v>2247</v>
      </c>
      <c r="L16" s="784">
        <v>70857</v>
      </c>
      <c r="M16" s="784">
        <v>5926</v>
      </c>
      <c r="N16" s="784">
        <v>3638</v>
      </c>
      <c r="O16" s="784">
        <v>6014</v>
      </c>
      <c r="P16" s="786">
        <v>45232</v>
      </c>
      <c r="Q16" s="784">
        <v>35591</v>
      </c>
      <c r="R16" s="784">
        <v>9641</v>
      </c>
      <c r="S16" s="784">
        <v>10047</v>
      </c>
      <c r="T16" s="784">
        <v>50096</v>
      </c>
      <c r="U16" s="784">
        <v>15726</v>
      </c>
      <c r="V16" s="784">
        <v>3946</v>
      </c>
      <c r="W16" s="784">
        <v>903</v>
      </c>
      <c r="X16" s="784">
        <v>146</v>
      </c>
      <c r="Y16" s="784">
        <v>40</v>
      </c>
    </row>
    <row r="17" spans="1:25">
      <c r="A17" s="79" t="s">
        <v>22</v>
      </c>
      <c r="B17" s="76" t="s">
        <v>23</v>
      </c>
      <c r="C17" s="77">
        <f t="shared" si="0"/>
        <v>58299</v>
      </c>
      <c r="D17" s="78">
        <v>37007</v>
      </c>
      <c r="E17" s="78">
        <v>21292</v>
      </c>
      <c r="F17" s="78">
        <v>2789</v>
      </c>
      <c r="G17" s="78">
        <v>18</v>
      </c>
      <c r="H17" s="78">
        <v>193001</v>
      </c>
      <c r="I17" s="78">
        <v>94234</v>
      </c>
      <c r="J17" s="78">
        <v>77644</v>
      </c>
      <c r="K17" s="78">
        <v>334</v>
      </c>
      <c r="L17" s="784">
        <v>60856</v>
      </c>
      <c r="M17" s="784">
        <v>3200</v>
      </c>
      <c r="N17" s="784">
        <v>2990</v>
      </c>
      <c r="O17" s="784">
        <v>6186</v>
      </c>
      <c r="P17" s="786">
        <v>39343</v>
      </c>
      <c r="Q17" s="784">
        <v>28596</v>
      </c>
      <c r="R17" s="784">
        <v>10747</v>
      </c>
      <c r="S17" s="784">
        <v>9137</v>
      </c>
      <c r="T17" s="784">
        <v>40362</v>
      </c>
      <c r="U17" s="784">
        <v>15829</v>
      </c>
      <c r="V17" s="784">
        <v>3677</v>
      </c>
      <c r="W17" s="784">
        <v>821</v>
      </c>
      <c r="X17" s="784">
        <v>129</v>
      </c>
      <c r="Y17" s="784">
        <v>38</v>
      </c>
    </row>
    <row r="18" spans="1:25">
      <c r="A18" s="79" t="s">
        <v>24</v>
      </c>
      <c r="B18" s="76" t="s">
        <v>25</v>
      </c>
      <c r="C18" s="77">
        <f t="shared" si="0"/>
        <v>55640</v>
      </c>
      <c r="D18" s="78">
        <v>33100</v>
      </c>
      <c r="E18" s="78">
        <v>22540</v>
      </c>
      <c r="F18" s="78">
        <v>1241</v>
      </c>
      <c r="G18" s="78">
        <v>31</v>
      </c>
      <c r="H18" s="78">
        <v>169054</v>
      </c>
      <c r="I18" s="78">
        <v>90441</v>
      </c>
      <c r="J18" s="78">
        <v>61157</v>
      </c>
      <c r="K18" s="78">
        <v>2198</v>
      </c>
      <c r="L18" s="784">
        <v>58652</v>
      </c>
      <c r="M18" s="784">
        <v>1036</v>
      </c>
      <c r="N18" s="784">
        <v>2608</v>
      </c>
      <c r="O18" s="784">
        <v>5014</v>
      </c>
      <c r="P18" s="786">
        <v>41267</v>
      </c>
      <c r="Q18" s="784">
        <v>31248</v>
      </c>
      <c r="R18" s="784">
        <v>10019</v>
      </c>
      <c r="S18" s="784">
        <v>8727</v>
      </c>
      <c r="T18" s="784">
        <v>40847</v>
      </c>
      <c r="U18" s="784">
        <v>13856</v>
      </c>
      <c r="V18" s="784">
        <v>3124</v>
      </c>
      <c r="W18" s="784">
        <v>660</v>
      </c>
      <c r="X18" s="784">
        <v>126</v>
      </c>
      <c r="Y18" s="784">
        <v>39</v>
      </c>
    </row>
    <row r="19" spans="1:25">
      <c r="A19" s="79" t="s">
        <v>51</v>
      </c>
      <c r="B19" s="76" t="s">
        <v>55</v>
      </c>
      <c r="C19" s="77">
        <f t="shared" si="0"/>
        <v>65025</v>
      </c>
      <c r="D19" s="78">
        <v>43787</v>
      </c>
      <c r="E19" s="78">
        <v>21238</v>
      </c>
      <c r="F19" s="78">
        <v>969</v>
      </c>
      <c r="G19" s="78">
        <v>13</v>
      </c>
      <c r="H19" s="78">
        <v>133443</v>
      </c>
      <c r="I19" s="78">
        <v>35492</v>
      </c>
      <c r="J19" s="78">
        <v>47625</v>
      </c>
      <c r="K19" s="78">
        <v>337</v>
      </c>
      <c r="L19" s="784">
        <v>67729</v>
      </c>
      <c r="M19" s="784">
        <v>1962</v>
      </c>
      <c r="N19" s="784">
        <v>3091</v>
      </c>
      <c r="O19" s="784">
        <v>8849</v>
      </c>
      <c r="P19" s="786">
        <v>43762</v>
      </c>
      <c r="Q19" s="784">
        <v>31300</v>
      </c>
      <c r="R19" s="784">
        <v>12462</v>
      </c>
      <c r="S19" s="784">
        <v>10065</v>
      </c>
      <c r="T19" s="784">
        <v>50394</v>
      </c>
      <c r="U19" s="784">
        <v>14418</v>
      </c>
      <c r="V19" s="784">
        <v>2384</v>
      </c>
      <c r="W19" s="784">
        <v>453</v>
      </c>
      <c r="X19" s="784">
        <v>57</v>
      </c>
      <c r="Y19" s="784">
        <v>23</v>
      </c>
    </row>
    <row r="20" spans="1:25">
      <c r="A20" s="79" t="s">
        <v>26</v>
      </c>
      <c r="B20" s="76" t="s">
        <v>27</v>
      </c>
      <c r="C20" s="77">
        <f t="shared" si="0"/>
        <v>140996</v>
      </c>
      <c r="D20" s="78">
        <v>83505</v>
      </c>
      <c r="E20" s="78">
        <v>57491</v>
      </c>
      <c r="F20" s="78">
        <v>3488</v>
      </c>
      <c r="G20" s="78">
        <v>65</v>
      </c>
      <c r="H20" s="78">
        <v>332216</v>
      </c>
      <c r="I20" s="78">
        <v>211311</v>
      </c>
      <c r="J20" s="78">
        <v>121055</v>
      </c>
      <c r="K20" s="78">
        <v>4767</v>
      </c>
      <c r="L20" s="784">
        <v>147620</v>
      </c>
      <c r="M20" s="784">
        <v>7216</v>
      </c>
      <c r="N20" s="784">
        <v>7442</v>
      </c>
      <c r="O20" s="784">
        <v>17231</v>
      </c>
      <c r="P20" s="786">
        <v>92186</v>
      </c>
      <c r="Q20" s="784">
        <v>70962</v>
      </c>
      <c r="R20" s="784">
        <v>21224</v>
      </c>
      <c r="S20" s="784">
        <v>23545</v>
      </c>
      <c r="T20" s="784">
        <v>107514</v>
      </c>
      <c r="U20" s="784">
        <v>31572</v>
      </c>
      <c r="V20" s="784">
        <v>6777</v>
      </c>
      <c r="W20" s="784">
        <v>1444</v>
      </c>
      <c r="X20" s="784">
        <v>225</v>
      </c>
      <c r="Y20" s="784">
        <v>88</v>
      </c>
    </row>
    <row r="21" spans="1:25">
      <c r="A21" s="73" t="s">
        <v>28</v>
      </c>
      <c r="B21" s="79" t="s">
        <v>29</v>
      </c>
      <c r="C21" s="77">
        <f t="shared" si="0"/>
        <v>223808</v>
      </c>
      <c r="D21" s="80">
        <v>126241</v>
      </c>
      <c r="E21" s="80">
        <v>97567</v>
      </c>
      <c r="F21" s="80">
        <v>4363</v>
      </c>
      <c r="G21" s="80">
        <v>73</v>
      </c>
      <c r="H21" s="80">
        <v>526743</v>
      </c>
      <c r="I21" s="80">
        <v>370137</v>
      </c>
      <c r="J21" s="80">
        <v>170223</v>
      </c>
      <c r="K21" s="80">
        <v>3589</v>
      </c>
      <c r="L21" s="784">
        <v>235643</v>
      </c>
      <c r="M21" s="784">
        <v>6442</v>
      </c>
      <c r="N21" s="784">
        <v>12519</v>
      </c>
      <c r="O21" s="784">
        <v>23185</v>
      </c>
      <c r="P21" s="786">
        <v>162029</v>
      </c>
      <c r="Q21" s="784">
        <v>123519</v>
      </c>
      <c r="R21" s="784">
        <v>38510</v>
      </c>
      <c r="S21" s="784">
        <v>31468</v>
      </c>
      <c r="T21" s="784">
        <v>166574</v>
      </c>
      <c r="U21" s="784">
        <v>53684</v>
      </c>
      <c r="V21" s="784">
        <v>12225</v>
      </c>
      <c r="W21" s="784">
        <v>2638</v>
      </c>
      <c r="X21" s="784">
        <v>398</v>
      </c>
      <c r="Y21" s="784">
        <v>124</v>
      </c>
    </row>
    <row r="22" spans="1:25">
      <c r="A22" s="73" t="s">
        <v>30</v>
      </c>
      <c r="B22" s="79" t="s">
        <v>485</v>
      </c>
      <c r="C22" s="77">
        <f t="shared" si="0"/>
        <v>177545</v>
      </c>
      <c r="D22" s="80">
        <v>111455</v>
      </c>
      <c r="E22" s="80">
        <v>66090</v>
      </c>
      <c r="F22" s="80">
        <v>2784</v>
      </c>
      <c r="G22" s="80">
        <v>60</v>
      </c>
      <c r="H22" s="80">
        <v>431103</v>
      </c>
      <c r="I22" s="80">
        <v>206448</v>
      </c>
      <c r="J22" s="80">
        <v>150559</v>
      </c>
      <c r="K22" s="80">
        <v>4229</v>
      </c>
      <c r="L22" s="784">
        <v>185518</v>
      </c>
      <c r="M22" s="784">
        <v>2387</v>
      </c>
      <c r="N22" s="784">
        <v>8812</v>
      </c>
      <c r="O22" s="784">
        <v>19314</v>
      </c>
      <c r="P22" s="786">
        <v>125139</v>
      </c>
      <c r="Q22" s="784">
        <v>92453</v>
      </c>
      <c r="R22" s="784">
        <v>32686</v>
      </c>
      <c r="S22" s="784">
        <v>29866</v>
      </c>
      <c r="T22" s="784">
        <v>134610</v>
      </c>
      <c r="U22" s="784">
        <v>40827</v>
      </c>
      <c r="V22" s="784">
        <v>8083</v>
      </c>
      <c r="W22" s="784">
        <v>1668</v>
      </c>
      <c r="X22" s="784">
        <v>235</v>
      </c>
      <c r="Y22" s="784">
        <v>95</v>
      </c>
    </row>
    <row r="23" spans="1:25">
      <c r="A23" s="73" t="s">
        <v>31</v>
      </c>
      <c r="B23" s="79" t="s">
        <v>32</v>
      </c>
      <c r="C23" s="77">
        <f t="shared" si="0"/>
        <v>125736</v>
      </c>
      <c r="D23" s="80">
        <v>75085</v>
      </c>
      <c r="E23" s="80">
        <v>50651</v>
      </c>
      <c r="F23" s="80">
        <v>2759</v>
      </c>
      <c r="G23" s="80">
        <v>61</v>
      </c>
      <c r="H23" s="80">
        <v>310960</v>
      </c>
      <c r="I23" s="80">
        <v>200504</v>
      </c>
      <c r="J23" s="80">
        <v>112530</v>
      </c>
      <c r="K23" s="80">
        <v>4763</v>
      </c>
      <c r="L23" s="784">
        <v>131908</v>
      </c>
      <c r="M23" s="784">
        <v>4545</v>
      </c>
      <c r="N23" s="784">
        <v>6135</v>
      </c>
      <c r="O23" s="784">
        <v>15516</v>
      </c>
      <c r="P23" s="786">
        <v>84378</v>
      </c>
      <c r="Q23" s="784">
        <v>65311</v>
      </c>
      <c r="R23" s="784">
        <v>19067</v>
      </c>
      <c r="S23" s="784">
        <v>21334</v>
      </c>
      <c r="T23" s="784">
        <v>95695</v>
      </c>
      <c r="U23" s="784">
        <v>28355</v>
      </c>
      <c r="V23" s="784">
        <v>6212</v>
      </c>
      <c r="W23" s="784">
        <v>1347</v>
      </c>
      <c r="X23" s="784">
        <v>213</v>
      </c>
      <c r="Y23" s="784">
        <v>86</v>
      </c>
    </row>
    <row r="24" spans="1:25">
      <c r="A24" s="73" t="s">
        <v>33</v>
      </c>
      <c r="B24" s="79" t="s">
        <v>34</v>
      </c>
      <c r="C24" s="77">
        <f t="shared" si="0"/>
        <v>97050</v>
      </c>
      <c r="D24" s="80">
        <v>56357</v>
      </c>
      <c r="E24" s="80">
        <v>40693</v>
      </c>
      <c r="F24" s="80">
        <v>2468</v>
      </c>
      <c r="G24" s="80">
        <v>28</v>
      </c>
      <c r="H24" s="80">
        <v>318777</v>
      </c>
      <c r="I24" s="80">
        <v>169827</v>
      </c>
      <c r="J24" s="80">
        <v>122491</v>
      </c>
      <c r="K24" s="80">
        <v>1408</v>
      </c>
      <c r="L24" s="784">
        <v>102300</v>
      </c>
      <c r="M24" s="784">
        <v>1196</v>
      </c>
      <c r="N24" s="784">
        <v>4201</v>
      </c>
      <c r="O24" s="784">
        <v>9546</v>
      </c>
      <c r="P24" s="786">
        <v>71250</v>
      </c>
      <c r="Q24" s="784">
        <v>53691</v>
      </c>
      <c r="R24" s="784">
        <v>17559</v>
      </c>
      <c r="S24" s="784">
        <v>16107</v>
      </c>
      <c r="T24" s="784">
        <v>73057</v>
      </c>
      <c r="U24" s="784">
        <v>21763</v>
      </c>
      <c r="V24" s="784">
        <v>5800</v>
      </c>
      <c r="W24" s="784">
        <v>1346</v>
      </c>
      <c r="X24" s="784">
        <v>241</v>
      </c>
      <c r="Y24" s="784">
        <v>93</v>
      </c>
    </row>
    <row r="25" spans="1:25">
      <c r="A25" s="73" t="s">
        <v>35</v>
      </c>
      <c r="B25" s="79" t="s">
        <v>61</v>
      </c>
      <c r="C25" s="77">
        <f t="shared" si="0"/>
        <v>119447</v>
      </c>
      <c r="D25" s="80">
        <v>72064</v>
      </c>
      <c r="E25" s="80">
        <v>47383</v>
      </c>
      <c r="F25" s="80">
        <v>2363</v>
      </c>
      <c r="G25" s="80">
        <v>47</v>
      </c>
      <c r="H25" s="80">
        <v>296874</v>
      </c>
      <c r="I25" s="80">
        <v>150905</v>
      </c>
      <c r="J25" s="80">
        <v>107617</v>
      </c>
      <c r="K25" s="80">
        <v>3008</v>
      </c>
      <c r="L25" s="784">
        <v>127102</v>
      </c>
      <c r="M25" s="784">
        <v>4119</v>
      </c>
      <c r="N25" s="784">
        <v>5934</v>
      </c>
      <c r="O25" s="784">
        <v>14618</v>
      </c>
      <c r="P25" s="786">
        <v>83842</v>
      </c>
      <c r="Q25" s="784">
        <v>62564</v>
      </c>
      <c r="R25" s="784">
        <v>21278</v>
      </c>
      <c r="S25" s="784">
        <v>18589</v>
      </c>
      <c r="T25" s="784">
        <v>92241</v>
      </c>
      <c r="U25" s="784">
        <v>27432</v>
      </c>
      <c r="V25" s="784">
        <v>5977</v>
      </c>
      <c r="W25" s="784">
        <v>1215</v>
      </c>
      <c r="X25" s="784">
        <v>165</v>
      </c>
      <c r="Y25" s="784">
        <v>72</v>
      </c>
    </row>
    <row r="26" spans="1:25">
      <c r="A26" s="73" t="s">
        <v>36</v>
      </c>
      <c r="B26" s="79" t="s">
        <v>37</v>
      </c>
      <c r="C26" s="77">
        <f t="shared" si="0"/>
        <v>142737</v>
      </c>
      <c r="D26" s="80">
        <v>92493</v>
      </c>
      <c r="E26" s="80">
        <v>50244</v>
      </c>
      <c r="F26" s="80">
        <v>1647</v>
      </c>
      <c r="G26" s="80">
        <v>54</v>
      </c>
      <c r="H26" s="80">
        <v>258455</v>
      </c>
      <c r="I26" s="80">
        <v>97777</v>
      </c>
      <c r="J26" s="80">
        <v>81961</v>
      </c>
      <c r="K26" s="80">
        <v>2094</v>
      </c>
      <c r="L26" s="784">
        <v>148077</v>
      </c>
      <c r="M26" s="784">
        <v>1283</v>
      </c>
      <c r="N26" s="784">
        <v>5759</v>
      </c>
      <c r="O26" s="784">
        <v>19588</v>
      </c>
      <c r="P26" s="786">
        <v>103512</v>
      </c>
      <c r="Q26" s="784">
        <v>79434</v>
      </c>
      <c r="R26" s="784">
        <v>24078</v>
      </c>
      <c r="S26" s="784">
        <v>17935</v>
      </c>
      <c r="T26" s="784">
        <v>110485</v>
      </c>
      <c r="U26" s="784">
        <v>31662</v>
      </c>
      <c r="V26" s="784">
        <v>4938</v>
      </c>
      <c r="W26" s="784">
        <v>827</v>
      </c>
      <c r="X26" s="784">
        <v>113</v>
      </c>
      <c r="Y26" s="784">
        <v>52</v>
      </c>
    </row>
    <row r="27" spans="1:25">
      <c r="A27" s="73" t="s">
        <v>38</v>
      </c>
      <c r="B27" s="79" t="s">
        <v>39</v>
      </c>
      <c r="C27" s="77">
        <f t="shared" si="0"/>
        <v>79420</v>
      </c>
      <c r="D27" s="80">
        <v>44892</v>
      </c>
      <c r="E27" s="80">
        <v>34528</v>
      </c>
      <c r="F27" s="80">
        <v>1728</v>
      </c>
      <c r="G27" s="80">
        <v>27</v>
      </c>
      <c r="H27" s="80">
        <v>233127</v>
      </c>
      <c r="I27" s="80">
        <v>136372</v>
      </c>
      <c r="J27" s="80">
        <v>78283</v>
      </c>
      <c r="K27" s="80">
        <v>1850</v>
      </c>
      <c r="L27" s="784">
        <v>85037</v>
      </c>
      <c r="M27" s="784">
        <v>3035</v>
      </c>
      <c r="N27" s="784">
        <v>4333</v>
      </c>
      <c r="O27" s="784">
        <v>7943</v>
      </c>
      <c r="P27" s="786">
        <v>57553</v>
      </c>
      <c r="Q27" s="784">
        <v>44887</v>
      </c>
      <c r="R27" s="784">
        <v>12666</v>
      </c>
      <c r="S27" s="784">
        <v>12173</v>
      </c>
      <c r="T27" s="784">
        <v>60373</v>
      </c>
      <c r="U27" s="784">
        <v>18588</v>
      </c>
      <c r="V27" s="784">
        <v>4726</v>
      </c>
      <c r="W27" s="784">
        <v>1110</v>
      </c>
      <c r="X27" s="784">
        <v>180</v>
      </c>
      <c r="Y27" s="784">
        <v>60</v>
      </c>
    </row>
    <row r="28" spans="1:25">
      <c r="A28" s="73" t="s">
        <v>40</v>
      </c>
      <c r="B28" s="79" t="s">
        <v>41</v>
      </c>
      <c r="C28" s="77">
        <f t="shared" si="0"/>
        <v>72176</v>
      </c>
      <c r="D28" s="80">
        <v>42321</v>
      </c>
      <c r="E28" s="80">
        <v>29855</v>
      </c>
      <c r="F28" s="80">
        <v>1958</v>
      </c>
      <c r="G28" s="80">
        <v>38</v>
      </c>
      <c r="H28" s="80">
        <v>192280</v>
      </c>
      <c r="I28" s="80">
        <v>117228</v>
      </c>
      <c r="J28" s="80">
        <v>67028</v>
      </c>
      <c r="K28" s="80">
        <v>2312</v>
      </c>
      <c r="L28" s="784">
        <v>76045</v>
      </c>
      <c r="M28" s="784">
        <v>2697</v>
      </c>
      <c r="N28" s="784">
        <v>3893</v>
      </c>
      <c r="O28" s="784">
        <v>6797</v>
      </c>
      <c r="P28" s="786">
        <v>51698</v>
      </c>
      <c r="Q28" s="784">
        <v>38651</v>
      </c>
      <c r="R28" s="784">
        <v>13047</v>
      </c>
      <c r="S28" s="784">
        <v>10960</v>
      </c>
      <c r="T28" s="784">
        <v>53039</v>
      </c>
      <c r="U28" s="784">
        <v>18108</v>
      </c>
      <c r="V28" s="784">
        <v>3910</v>
      </c>
      <c r="W28" s="784">
        <v>800</v>
      </c>
      <c r="X28" s="784">
        <v>142</v>
      </c>
      <c r="Y28" s="784">
        <v>46</v>
      </c>
    </row>
    <row r="29" spans="1:25">
      <c r="A29" s="73" t="s">
        <v>42</v>
      </c>
      <c r="B29" s="79" t="s">
        <v>43</v>
      </c>
      <c r="C29" s="77">
        <f t="shared" si="0"/>
        <v>62669</v>
      </c>
      <c r="D29" s="80">
        <v>38562</v>
      </c>
      <c r="E29" s="80">
        <v>24107</v>
      </c>
      <c r="F29" s="80">
        <v>1834</v>
      </c>
      <c r="G29" s="80">
        <v>25</v>
      </c>
      <c r="H29" s="80">
        <v>159924</v>
      </c>
      <c r="I29" s="80">
        <v>106851</v>
      </c>
      <c r="J29" s="80">
        <v>66769</v>
      </c>
      <c r="K29" s="80">
        <v>2876</v>
      </c>
      <c r="L29" s="784">
        <v>65791</v>
      </c>
      <c r="M29" s="784">
        <v>1556</v>
      </c>
      <c r="N29" s="784">
        <v>3575</v>
      </c>
      <c r="O29" s="784">
        <v>7302</v>
      </c>
      <c r="P29" s="786">
        <v>42243</v>
      </c>
      <c r="Q29" s="784">
        <v>32849</v>
      </c>
      <c r="R29" s="784">
        <v>9394</v>
      </c>
      <c r="S29" s="784">
        <v>11115</v>
      </c>
      <c r="T29" s="784">
        <v>46840</v>
      </c>
      <c r="U29" s="784">
        <v>14793</v>
      </c>
      <c r="V29" s="784">
        <v>3307</v>
      </c>
      <c r="W29" s="784">
        <v>693</v>
      </c>
      <c r="X29" s="784">
        <v>107</v>
      </c>
      <c r="Y29" s="784">
        <v>51</v>
      </c>
    </row>
    <row r="30" spans="1:25">
      <c r="A30" s="73" t="s">
        <v>44</v>
      </c>
      <c r="B30" s="79" t="s">
        <v>45</v>
      </c>
      <c r="C30" s="77">
        <f t="shared" si="0"/>
        <v>59868</v>
      </c>
      <c r="D30" s="80">
        <v>33532</v>
      </c>
      <c r="E30" s="80">
        <v>26336</v>
      </c>
      <c r="F30" s="80">
        <v>1598</v>
      </c>
      <c r="G30" s="80">
        <v>28</v>
      </c>
      <c r="H30" s="80">
        <v>177394</v>
      </c>
      <c r="I30" s="80">
        <v>96537</v>
      </c>
      <c r="J30" s="80">
        <v>68922</v>
      </c>
      <c r="K30" s="80">
        <v>2246</v>
      </c>
      <c r="L30" s="784">
        <v>62867</v>
      </c>
      <c r="M30" s="784">
        <v>4063</v>
      </c>
      <c r="N30" s="784">
        <v>3111</v>
      </c>
      <c r="O30" s="784">
        <v>5287</v>
      </c>
      <c r="P30" s="786">
        <v>41283</v>
      </c>
      <c r="Q30" s="784">
        <v>32662</v>
      </c>
      <c r="R30" s="784">
        <v>8621</v>
      </c>
      <c r="S30" s="784">
        <v>9123</v>
      </c>
      <c r="T30" s="784">
        <v>44281</v>
      </c>
      <c r="U30" s="784">
        <v>13991</v>
      </c>
      <c r="V30" s="784">
        <v>3586</v>
      </c>
      <c r="W30" s="784">
        <v>832</v>
      </c>
      <c r="X30" s="784">
        <v>139</v>
      </c>
      <c r="Y30" s="784">
        <v>38</v>
      </c>
    </row>
    <row r="31" spans="1:25">
      <c r="A31" s="73" t="s">
        <v>46</v>
      </c>
      <c r="B31" s="79" t="s">
        <v>47</v>
      </c>
      <c r="C31" s="77">
        <f t="shared" si="0"/>
        <v>46086</v>
      </c>
      <c r="D31" s="80">
        <v>29534</v>
      </c>
      <c r="E31" s="80">
        <v>16552</v>
      </c>
      <c r="F31" s="80">
        <v>2025</v>
      </c>
      <c r="G31" s="80">
        <v>14</v>
      </c>
      <c r="H31" s="80">
        <v>165189</v>
      </c>
      <c r="I31" s="80">
        <v>72462</v>
      </c>
      <c r="J31" s="80">
        <v>66627</v>
      </c>
      <c r="K31" s="80">
        <v>323</v>
      </c>
      <c r="L31" s="784">
        <v>48234</v>
      </c>
      <c r="M31" s="784">
        <v>1731</v>
      </c>
      <c r="N31" s="784">
        <v>2220</v>
      </c>
      <c r="O31" s="784">
        <v>4761</v>
      </c>
      <c r="P31" s="786">
        <v>32110</v>
      </c>
      <c r="Q31" s="784">
        <v>23496</v>
      </c>
      <c r="R31" s="784">
        <v>8614</v>
      </c>
      <c r="S31" s="784">
        <v>7412</v>
      </c>
      <c r="T31" s="784">
        <v>32081</v>
      </c>
      <c r="U31" s="784">
        <v>12327</v>
      </c>
      <c r="V31" s="784">
        <v>2999</v>
      </c>
      <c r="W31" s="784">
        <v>689</v>
      </c>
      <c r="X31" s="784">
        <v>108</v>
      </c>
      <c r="Y31" s="784">
        <v>30</v>
      </c>
    </row>
    <row r="32" spans="1:25">
      <c r="A32" s="73" t="s">
        <v>56</v>
      </c>
      <c r="B32" s="79" t="s">
        <v>63</v>
      </c>
      <c r="C32" s="77">
        <f t="shared" si="0"/>
        <v>64726</v>
      </c>
      <c r="D32" s="80">
        <v>43459</v>
      </c>
      <c r="E32" s="80">
        <v>21267</v>
      </c>
      <c r="F32" s="80">
        <v>950</v>
      </c>
      <c r="G32" s="80">
        <v>12</v>
      </c>
      <c r="H32" s="80">
        <v>131897</v>
      </c>
      <c r="I32" s="80">
        <v>36203</v>
      </c>
      <c r="J32" s="80">
        <v>47405</v>
      </c>
      <c r="K32" s="80">
        <v>321</v>
      </c>
      <c r="L32" s="784">
        <v>67357</v>
      </c>
      <c r="M32" s="784">
        <v>1679</v>
      </c>
      <c r="N32" s="784">
        <v>3041</v>
      </c>
      <c r="O32" s="784">
        <v>8525</v>
      </c>
      <c r="P32" s="786">
        <v>43640</v>
      </c>
      <c r="Q32" s="784">
        <v>31342</v>
      </c>
      <c r="R32" s="784">
        <v>12298</v>
      </c>
      <c r="S32" s="784">
        <v>10472</v>
      </c>
      <c r="T32" s="784">
        <v>50276</v>
      </c>
      <c r="U32" s="784">
        <v>14210</v>
      </c>
      <c r="V32" s="784">
        <v>2337</v>
      </c>
      <c r="W32" s="784">
        <v>456</v>
      </c>
      <c r="X32" s="784">
        <v>53</v>
      </c>
      <c r="Y32" s="784">
        <v>25</v>
      </c>
    </row>
    <row r="33" spans="1:25">
      <c r="A33" s="73" t="s">
        <v>57</v>
      </c>
      <c r="B33" s="79" t="s">
        <v>64</v>
      </c>
      <c r="C33" s="77">
        <f t="shared" si="0"/>
        <v>26734</v>
      </c>
      <c r="D33" s="80">
        <v>18362</v>
      </c>
      <c r="E33" s="80">
        <v>8372</v>
      </c>
      <c r="F33" s="80">
        <v>1113</v>
      </c>
      <c r="G33" s="80">
        <v>1</v>
      </c>
      <c r="H33" s="80">
        <v>102305</v>
      </c>
      <c r="I33" s="80">
        <v>46437</v>
      </c>
      <c r="J33" s="80">
        <v>36143</v>
      </c>
      <c r="K33" s="80">
        <v>0</v>
      </c>
      <c r="L33" s="784">
        <v>27887</v>
      </c>
      <c r="M33" s="784">
        <v>553</v>
      </c>
      <c r="N33" s="784">
        <v>1412</v>
      </c>
      <c r="O33" s="784">
        <v>2808</v>
      </c>
      <c r="P33" s="786">
        <v>18123</v>
      </c>
      <c r="Q33" s="784">
        <v>12180</v>
      </c>
      <c r="R33" s="784">
        <v>5943</v>
      </c>
      <c r="S33" s="784">
        <v>4991</v>
      </c>
      <c r="T33" s="784">
        <v>18519</v>
      </c>
      <c r="U33" s="784">
        <v>6877</v>
      </c>
      <c r="V33" s="784">
        <v>1906</v>
      </c>
      <c r="W33" s="784">
        <v>491</v>
      </c>
      <c r="X33" s="784">
        <v>76</v>
      </c>
      <c r="Y33" s="784">
        <v>18</v>
      </c>
    </row>
    <row r="34" spans="1:25">
      <c r="A34" s="73" t="s">
        <v>48</v>
      </c>
      <c r="B34" s="79" t="s">
        <v>49</v>
      </c>
      <c r="C34" s="77">
        <f t="shared" si="0"/>
        <v>68233</v>
      </c>
      <c r="D34" s="80">
        <v>41463</v>
      </c>
      <c r="E34" s="80">
        <v>26770</v>
      </c>
      <c r="F34" s="80">
        <v>1058</v>
      </c>
      <c r="G34" s="80">
        <v>54</v>
      </c>
      <c r="H34" s="80">
        <v>158755</v>
      </c>
      <c r="I34" s="80">
        <v>60093</v>
      </c>
      <c r="J34" s="80">
        <v>59659</v>
      </c>
      <c r="K34" s="80">
        <v>4126</v>
      </c>
      <c r="L34" s="784">
        <v>72905</v>
      </c>
      <c r="M34" s="784">
        <v>1731</v>
      </c>
      <c r="N34" s="784">
        <v>3242</v>
      </c>
      <c r="O34" s="784">
        <v>8978</v>
      </c>
      <c r="P34" s="786">
        <v>47189</v>
      </c>
      <c r="Q34" s="784">
        <v>36403</v>
      </c>
      <c r="R34" s="784">
        <v>10786</v>
      </c>
      <c r="S34" s="784">
        <v>11765</v>
      </c>
      <c r="T34" s="784">
        <v>54920</v>
      </c>
      <c r="U34" s="784">
        <v>14397</v>
      </c>
      <c r="V34" s="784">
        <v>2916</v>
      </c>
      <c r="W34" s="784">
        <v>543</v>
      </c>
      <c r="X34" s="784">
        <v>91</v>
      </c>
      <c r="Y34" s="784">
        <v>38</v>
      </c>
    </row>
    <row r="35" spans="1:25">
      <c r="A35" s="73" t="s">
        <v>58</v>
      </c>
      <c r="B35" s="79" t="s">
        <v>65</v>
      </c>
      <c r="C35" s="77">
        <f t="shared" si="0"/>
        <v>60216</v>
      </c>
      <c r="D35" s="80">
        <v>36586</v>
      </c>
      <c r="E35" s="80">
        <v>23630</v>
      </c>
      <c r="F35" s="80">
        <v>1164</v>
      </c>
      <c r="G35" s="80">
        <v>17</v>
      </c>
      <c r="H35" s="80">
        <v>112512</v>
      </c>
      <c r="I35" s="80">
        <v>55783</v>
      </c>
      <c r="J35" s="80">
        <v>40864</v>
      </c>
      <c r="K35" s="80">
        <v>625</v>
      </c>
      <c r="L35" s="784">
        <v>62868</v>
      </c>
      <c r="M35" s="784">
        <v>3896</v>
      </c>
      <c r="N35" s="784">
        <v>3571</v>
      </c>
      <c r="O35" s="784">
        <v>7896</v>
      </c>
      <c r="P35" s="786">
        <v>39738</v>
      </c>
      <c r="Q35" s="784">
        <v>27988</v>
      </c>
      <c r="R35" s="784">
        <v>11750</v>
      </c>
      <c r="S35" s="784">
        <v>7767</v>
      </c>
      <c r="T35" s="784">
        <v>45323</v>
      </c>
      <c r="U35" s="784">
        <v>14403</v>
      </c>
      <c r="V35" s="784">
        <v>2602</v>
      </c>
      <c r="W35" s="784">
        <v>474</v>
      </c>
      <c r="X35" s="784">
        <v>54</v>
      </c>
      <c r="Y35" s="784">
        <v>12</v>
      </c>
    </row>
    <row r="36" spans="1:25">
      <c r="A36" s="73" t="s">
        <v>486</v>
      </c>
      <c r="B36" s="73" t="s">
        <v>465</v>
      </c>
      <c r="C36" s="77">
        <f t="shared" si="0"/>
        <v>151986</v>
      </c>
      <c r="D36" s="80">
        <v>99282</v>
      </c>
      <c r="E36" s="80">
        <v>52704</v>
      </c>
      <c r="F36" s="80">
        <v>1913</v>
      </c>
      <c r="G36" s="80">
        <v>54</v>
      </c>
      <c r="H36" s="80">
        <v>273110</v>
      </c>
      <c r="I36" s="80">
        <v>98931</v>
      </c>
      <c r="J36" s="80">
        <v>87612</v>
      </c>
      <c r="K36" s="80">
        <v>2094</v>
      </c>
      <c r="L36" s="784">
        <v>157691</v>
      </c>
      <c r="M36" s="784">
        <v>1531</v>
      </c>
      <c r="N36" s="784">
        <v>6064</v>
      </c>
      <c r="O36" s="784">
        <v>20538</v>
      </c>
      <c r="P36" s="786">
        <v>110210</v>
      </c>
      <c r="Q36" s="784">
        <v>84690</v>
      </c>
      <c r="R36" s="784">
        <v>25520</v>
      </c>
      <c r="S36" s="784">
        <v>19348</v>
      </c>
      <c r="T36" s="784">
        <v>117603</v>
      </c>
      <c r="U36" s="784">
        <v>33860</v>
      </c>
      <c r="V36" s="784">
        <v>5201</v>
      </c>
      <c r="W36" s="784">
        <v>858</v>
      </c>
      <c r="X36" s="784">
        <v>116</v>
      </c>
      <c r="Y36" s="784">
        <v>53</v>
      </c>
    </row>
    <row r="37" spans="1:25">
      <c r="A37" s="73" t="s">
        <v>487</v>
      </c>
      <c r="B37" s="73" t="s">
        <v>466</v>
      </c>
      <c r="C37" s="77">
        <f t="shared" si="0"/>
        <v>207383</v>
      </c>
      <c r="D37" s="80">
        <v>129157</v>
      </c>
      <c r="E37" s="80">
        <v>78226</v>
      </c>
      <c r="F37" s="80">
        <v>3371</v>
      </c>
      <c r="G37" s="80">
        <v>64</v>
      </c>
      <c r="H37" s="80">
        <v>480156</v>
      </c>
      <c r="I37" s="80">
        <v>238970</v>
      </c>
      <c r="J37" s="80">
        <v>168051</v>
      </c>
      <c r="K37" s="80">
        <v>4294</v>
      </c>
      <c r="L37" s="784">
        <v>216593</v>
      </c>
      <c r="M37" s="784">
        <v>4664</v>
      </c>
      <c r="N37" s="784">
        <v>10887</v>
      </c>
      <c r="O37" s="784">
        <v>22558</v>
      </c>
      <c r="P37" s="786">
        <v>144756</v>
      </c>
      <c r="Q37" s="784">
        <v>106711</v>
      </c>
      <c r="R37" s="784">
        <v>38045</v>
      </c>
      <c r="S37" s="784">
        <v>33728</v>
      </c>
      <c r="T37" s="784">
        <v>156914</v>
      </c>
      <c r="U37" s="784">
        <v>48127</v>
      </c>
      <c r="V37" s="784">
        <v>9290</v>
      </c>
      <c r="W37" s="784">
        <v>1906</v>
      </c>
      <c r="X37" s="784">
        <v>249</v>
      </c>
      <c r="Y37" s="784">
        <v>107</v>
      </c>
    </row>
    <row r="38" spans="1:25">
      <c r="A38" s="73" t="s">
        <v>488</v>
      </c>
      <c r="B38" s="73" t="s">
        <v>467</v>
      </c>
      <c r="C38" s="77">
        <f t="shared" si="0"/>
        <v>128428</v>
      </c>
      <c r="D38" s="80">
        <v>77295</v>
      </c>
      <c r="E38" s="80">
        <v>51133</v>
      </c>
      <c r="F38" s="80">
        <v>3074</v>
      </c>
      <c r="G38" s="80">
        <v>65</v>
      </c>
      <c r="H38" s="80">
        <v>319796</v>
      </c>
      <c r="I38" s="80">
        <v>201711</v>
      </c>
      <c r="J38" s="80">
        <v>116207</v>
      </c>
      <c r="K38" s="80">
        <v>4832</v>
      </c>
      <c r="L38" s="784">
        <v>134661</v>
      </c>
      <c r="M38" s="784">
        <v>4571</v>
      </c>
      <c r="N38" s="784">
        <v>6311</v>
      </c>
      <c r="O38" s="784">
        <v>15639</v>
      </c>
      <c r="P38" s="786">
        <v>86122</v>
      </c>
      <c r="Q38" s="784">
        <v>66583</v>
      </c>
      <c r="R38" s="784">
        <v>19539</v>
      </c>
      <c r="S38" s="784">
        <v>22018</v>
      </c>
      <c r="T38" s="784">
        <v>97444</v>
      </c>
      <c r="U38" s="784">
        <v>29162</v>
      </c>
      <c r="V38" s="784">
        <v>6379</v>
      </c>
      <c r="W38" s="784">
        <v>1369</v>
      </c>
      <c r="X38" s="784">
        <v>220</v>
      </c>
      <c r="Y38" s="784">
        <v>87</v>
      </c>
    </row>
    <row r="39" spans="1:25">
      <c r="A39" s="73" t="s">
        <v>71</v>
      </c>
      <c r="B39" s="73" t="s">
        <v>116</v>
      </c>
      <c r="C39" s="77">
        <f t="shared" si="0"/>
        <v>313976</v>
      </c>
      <c r="D39" s="80">
        <v>187138</v>
      </c>
      <c r="E39" s="80">
        <v>126838</v>
      </c>
      <c r="F39" s="80">
        <v>7154</v>
      </c>
      <c r="G39" s="80">
        <v>112</v>
      </c>
      <c r="H39" s="80">
        <v>711922</v>
      </c>
      <c r="I39" s="80">
        <v>363260</v>
      </c>
      <c r="J39" s="80">
        <v>259810</v>
      </c>
      <c r="K39" s="80">
        <v>6338</v>
      </c>
      <c r="L39" s="784">
        <v>166460</v>
      </c>
      <c r="M39" s="784">
        <v>9783</v>
      </c>
      <c r="N39" s="784">
        <v>8023</v>
      </c>
      <c r="O39" s="784">
        <v>18636</v>
      </c>
      <c r="P39" s="786">
        <v>106618</v>
      </c>
      <c r="Q39" s="784">
        <v>78446</v>
      </c>
      <c r="R39" s="784">
        <v>28172</v>
      </c>
      <c r="S39" s="784">
        <v>23400</v>
      </c>
      <c r="T39" s="784">
        <v>120170</v>
      </c>
      <c r="U39" s="784">
        <v>37072</v>
      </c>
      <c r="V39" s="784">
        <v>7493</v>
      </c>
      <c r="W39" s="784">
        <v>1460</v>
      </c>
      <c r="X39" s="784">
        <v>187</v>
      </c>
      <c r="Y39" s="784">
        <v>78</v>
      </c>
    </row>
    <row r="40" spans="1:25">
      <c r="A40" s="73" t="s">
        <v>489</v>
      </c>
      <c r="B40" s="73" t="s">
        <v>468</v>
      </c>
      <c r="C40" s="77">
        <f t="shared" si="0"/>
        <v>127984</v>
      </c>
      <c r="D40" s="80">
        <v>80103</v>
      </c>
      <c r="E40" s="80">
        <v>47881</v>
      </c>
      <c r="F40" s="80">
        <v>2279</v>
      </c>
      <c r="G40" s="80">
        <v>73</v>
      </c>
      <c r="H40" s="80">
        <v>252491</v>
      </c>
      <c r="I40" s="80">
        <v>88438</v>
      </c>
      <c r="J40" s="80">
        <v>94170</v>
      </c>
      <c r="K40" s="80">
        <v>4251</v>
      </c>
      <c r="L40" s="784">
        <v>136026</v>
      </c>
      <c r="M40" s="784">
        <v>6624</v>
      </c>
      <c r="N40" s="784">
        <v>6481</v>
      </c>
      <c r="O40" s="784">
        <v>17192</v>
      </c>
      <c r="P40" s="786">
        <v>86011</v>
      </c>
      <c r="Q40" s="784">
        <v>63496</v>
      </c>
      <c r="R40" s="784">
        <v>22515</v>
      </c>
      <c r="S40" s="784">
        <v>19718</v>
      </c>
      <c r="T40" s="784">
        <v>102942</v>
      </c>
      <c r="U40" s="784">
        <v>27173</v>
      </c>
      <c r="V40" s="784">
        <v>4845</v>
      </c>
      <c r="W40" s="784">
        <v>895</v>
      </c>
      <c r="X40" s="784">
        <v>126</v>
      </c>
      <c r="Y40" s="784">
        <v>45</v>
      </c>
    </row>
    <row r="41" spans="1:25">
      <c r="A41" s="73" t="s">
        <v>490</v>
      </c>
      <c r="B41" s="73" t="s">
        <v>469</v>
      </c>
      <c r="C41" s="77">
        <f t="shared" si="0"/>
        <v>89190</v>
      </c>
      <c r="D41" s="80">
        <v>49813</v>
      </c>
      <c r="E41" s="80">
        <v>39377</v>
      </c>
      <c r="F41" s="80">
        <v>2623</v>
      </c>
      <c r="G41" s="80">
        <v>38</v>
      </c>
      <c r="H41" s="80">
        <v>239568</v>
      </c>
      <c r="I41" s="80">
        <v>136949</v>
      </c>
      <c r="J41" s="80">
        <v>91501</v>
      </c>
      <c r="K41" s="80">
        <v>2474</v>
      </c>
      <c r="L41" s="784">
        <v>93500</v>
      </c>
      <c r="M41" s="784">
        <v>7861</v>
      </c>
      <c r="N41" s="784">
        <v>4972</v>
      </c>
      <c r="O41" s="784">
        <v>7877</v>
      </c>
      <c r="P41" s="786">
        <v>59807</v>
      </c>
      <c r="Q41" s="784">
        <v>46360</v>
      </c>
      <c r="R41" s="784">
        <v>13447</v>
      </c>
      <c r="S41" s="784">
        <v>12983</v>
      </c>
      <c r="T41" s="784">
        <v>65507</v>
      </c>
      <c r="U41" s="784">
        <v>21459</v>
      </c>
      <c r="V41" s="784">
        <v>5139</v>
      </c>
      <c r="W41" s="784">
        <v>1166</v>
      </c>
      <c r="X41" s="784">
        <v>180</v>
      </c>
      <c r="Y41" s="784">
        <v>49</v>
      </c>
    </row>
    <row r="42" spans="1:25">
      <c r="A42" s="73" t="s">
        <v>491</v>
      </c>
      <c r="B42" s="73" t="s">
        <v>470</v>
      </c>
      <c r="C42" s="77">
        <f t="shared" si="0"/>
        <v>112643</v>
      </c>
      <c r="D42" s="80">
        <v>69790</v>
      </c>
      <c r="E42" s="80">
        <v>42853</v>
      </c>
      <c r="F42" s="80">
        <v>3554</v>
      </c>
      <c r="G42" s="80">
        <v>33</v>
      </c>
      <c r="H42" s="80">
        <v>250104</v>
      </c>
      <c r="I42" s="80">
        <v>165827</v>
      </c>
      <c r="J42" s="80">
        <v>96772</v>
      </c>
      <c r="K42" s="80">
        <v>2913</v>
      </c>
      <c r="L42" s="784">
        <v>118282</v>
      </c>
      <c r="M42" s="784">
        <v>4414</v>
      </c>
      <c r="N42" s="784">
        <v>7217</v>
      </c>
      <c r="O42" s="784">
        <v>14233</v>
      </c>
      <c r="P42" s="786">
        <v>73627</v>
      </c>
      <c r="Q42" s="784">
        <v>55217</v>
      </c>
      <c r="R42" s="784">
        <v>18410</v>
      </c>
      <c r="S42" s="784">
        <v>18791</v>
      </c>
      <c r="T42" s="784">
        <v>84235</v>
      </c>
      <c r="U42" s="784">
        <v>26881</v>
      </c>
      <c r="V42" s="784">
        <v>5748</v>
      </c>
      <c r="W42" s="784">
        <v>1201</v>
      </c>
      <c r="X42" s="784">
        <v>161</v>
      </c>
      <c r="Y42" s="784">
        <v>56</v>
      </c>
    </row>
    <row r="43" spans="1:25">
      <c r="A43" s="73" t="s">
        <v>492</v>
      </c>
      <c r="B43" s="73" t="s">
        <v>471</v>
      </c>
      <c r="C43" s="77">
        <f t="shared" si="0"/>
        <v>116503</v>
      </c>
      <c r="D43" s="80">
        <v>67404</v>
      </c>
      <c r="E43" s="80">
        <v>49099</v>
      </c>
      <c r="F43" s="80">
        <v>2703</v>
      </c>
      <c r="G43" s="80">
        <v>37</v>
      </c>
      <c r="H43" s="80">
        <v>311810</v>
      </c>
      <c r="I43" s="80">
        <v>185625</v>
      </c>
      <c r="J43" s="80">
        <v>103029</v>
      </c>
      <c r="K43" s="80">
        <v>1883</v>
      </c>
      <c r="L43" s="784">
        <v>123935</v>
      </c>
      <c r="M43" s="784">
        <v>5777</v>
      </c>
      <c r="N43" s="784">
        <v>6788</v>
      </c>
      <c r="O43" s="784">
        <v>11967</v>
      </c>
      <c r="P43" s="786">
        <v>82291</v>
      </c>
      <c r="Q43" s="784">
        <v>62775</v>
      </c>
      <c r="R43" s="784">
        <v>19516</v>
      </c>
      <c r="S43" s="784">
        <v>17112</v>
      </c>
      <c r="T43" s="784">
        <v>87860</v>
      </c>
      <c r="U43" s="784">
        <v>27790</v>
      </c>
      <c r="V43" s="784">
        <v>6464</v>
      </c>
      <c r="W43" s="784">
        <v>1516</v>
      </c>
      <c r="X43" s="784">
        <v>231</v>
      </c>
      <c r="Y43" s="784">
        <v>74</v>
      </c>
    </row>
    <row r="44" spans="1:25">
      <c r="A44" s="73" t="s">
        <v>493</v>
      </c>
      <c r="B44" s="73" t="s">
        <v>472</v>
      </c>
      <c r="C44" s="77">
        <f t="shared" si="0"/>
        <v>177996</v>
      </c>
      <c r="D44" s="80">
        <v>109043</v>
      </c>
      <c r="E44" s="80">
        <v>68953</v>
      </c>
      <c r="F44" s="80">
        <v>6366</v>
      </c>
      <c r="G44" s="80">
        <v>38</v>
      </c>
      <c r="H44" s="80">
        <v>577860</v>
      </c>
      <c r="I44" s="80">
        <v>309370</v>
      </c>
      <c r="J44" s="80">
        <v>230462</v>
      </c>
      <c r="K44" s="80">
        <v>1418</v>
      </c>
      <c r="L44" s="784">
        <v>186660</v>
      </c>
      <c r="M44" s="784">
        <v>6256</v>
      </c>
      <c r="N44" s="784">
        <v>9025</v>
      </c>
      <c r="O44" s="784">
        <v>17307</v>
      </c>
      <c r="P44" s="786">
        <v>123512</v>
      </c>
      <c r="Q44" s="784">
        <v>89861</v>
      </c>
      <c r="R44" s="784">
        <v>33651</v>
      </c>
      <c r="S44" s="784">
        <v>30560</v>
      </c>
      <c r="T44" s="784">
        <v>129382</v>
      </c>
      <c r="U44" s="784">
        <v>43156</v>
      </c>
      <c r="V44" s="784">
        <v>10988</v>
      </c>
      <c r="W44" s="784">
        <v>2563</v>
      </c>
      <c r="X44" s="784">
        <v>424</v>
      </c>
      <c r="Y44" s="784">
        <v>147</v>
      </c>
    </row>
    <row r="45" spans="1:25">
      <c r="A45" s="73" t="s">
        <v>494</v>
      </c>
      <c r="B45" s="73" t="s">
        <v>478</v>
      </c>
      <c r="C45" s="77">
        <f t="shared" si="0"/>
        <v>88911</v>
      </c>
      <c r="D45" s="80">
        <v>58545</v>
      </c>
      <c r="E45" s="80">
        <v>30366</v>
      </c>
      <c r="F45" s="80">
        <v>4722</v>
      </c>
      <c r="G45" s="80">
        <v>17</v>
      </c>
      <c r="H45" s="80">
        <v>281745</v>
      </c>
      <c r="I45" s="80">
        <v>133017</v>
      </c>
      <c r="J45" s="80">
        <v>110034</v>
      </c>
      <c r="K45" s="80">
        <v>965</v>
      </c>
      <c r="L45" s="784">
        <v>92482</v>
      </c>
      <c r="M45" s="784">
        <v>6670</v>
      </c>
      <c r="N45" s="784">
        <v>4691</v>
      </c>
      <c r="O45" s="784">
        <v>9112</v>
      </c>
      <c r="P45" s="786">
        <v>56600</v>
      </c>
      <c r="Q45" s="784">
        <v>38479</v>
      </c>
      <c r="R45" s="784">
        <v>18121</v>
      </c>
      <c r="S45" s="784">
        <v>15409</v>
      </c>
      <c r="T45" s="784">
        <v>61573</v>
      </c>
      <c r="U45" s="784">
        <v>23866</v>
      </c>
      <c r="V45" s="784">
        <v>5538</v>
      </c>
      <c r="W45" s="784">
        <v>1295</v>
      </c>
      <c r="X45" s="784">
        <v>156</v>
      </c>
      <c r="Y45" s="784">
        <v>54</v>
      </c>
    </row>
    <row r="46" spans="1:25">
      <c r="A46" s="73" t="s">
        <v>495</v>
      </c>
      <c r="B46" s="73" t="s">
        <v>473</v>
      </c>
      <c r="C46" s="77">
        <f t="shared" si="0"/>
        <v>99143</v>
      </c>
      <c r="D46" s="80">
        <v>58839</v>
      </c>
      <c r="E46" s="80">
        <v>40304</v>
      </c>
      <c r="F46" s="80">
        <v>3292</v>
      </c>
      <c r="G46" s="80">
        <v>53</v>
      </c>
      <c r="H46" s="80">
        <v>248598</v>
      </c>
      <c r="I46" s="80">
        <v>160986</v>
      </c>
      <c r="J46" s="80">
        <v>85096</v>
      </c>
      <c r="K46" s="80">
        <v>2416</v>
      </c>
      <c r="L46" s="784">
        <v>104256</v>
      </c>
      <c r="M46" s="784">
        <v>4620</v>
      </c>
      <c r="N46" s="784">
        <v>6062</v>
      </c>
      <c r="O46" s="784">
        <v>9922</v>
      </c>
      <c r="P46" s="786">
        <v>68628</v>
      </c>
      <c r="Q46" s="784">
        <v>50158</v>
      </c>
      <c r="R46" s="784">
        <v>18470</v>
      </c>
      <c r="S46" s="784">
        <v>15024</v>
      </c>
      <c r="T46" s="784">
        <v>72172</v>
      </c>
      <c r="U46" s="784">
        <v>25534</v>
      </c>
      <c r="V46" s="784">
        <v>5246</v>
      </c>
      <c r="W46" s="784">
        <v>1060</v>
      </c>
      <c r="X46" s="784">
        <v>184</v>
      </c>
      <c r="Y46" s="784">
        <v>60</v>
      </c>
    </row>
    <row r="47" spans="1:25">
      <c r="A47" s="73" t="s">
        <v>496</v>
      </c>
      <c r="B47" s="73" t="s">
        <v>474</v>
      </c>
      <c r="C47" s="77">
        <f t="shared" si="0"/>
        <v>187435</v>
      </c>
      <c r="D47" s="80">
        <v>104302</v>
      </c>
      <c r="E47" s="80">
        <v>83133</v>
      </c>
      <c r="F47" s="80">
        <v>3272</v>
      </c>
      <c r="G47" s="80">
        <v>71</v>
      </c>
      <c r="H47" s="80">
        <v>467518</v>
      </c>
      <c r="I47" s="80">
        <v>312691</v>
      </c>
      <c r="J47" s="80">
        <v>152517</v>
      </c>
      <c r="K47" s="80">
        <v>3573</v>
      </c>
      <c r="L47" s="784">
        <v>197424</v>
      </c>
      <c r="M47" s="784">
        <v>5046</v>
      </c>
      <c r="N47" s="784">
        <v>9725</v>
      </c>
      <c r="O47" s="784">
        <v>17733</v>
      </c>
      <c r="P47" s="786">
        <v>138462</v>
      </c>
      <c r="Q47" s="784">
        <v>106840</v>
      </c>
      <c r="R47" s="784">
        <v>31622</v>
      </c>
      <c r="S47" s="784">
        <v>26458</v>
      </c>
      <c r="T47" s="784">
        <v>139215</v>
      </c>
      <c r="U47" s="784">
        <v>45177</v>
      </c>
      <c r="V47" s="784">
        <v>10335</v>
      </c>
      <c r="W47" s="784">
        <v>2223</v>
      </c>
      <c r="X47" s="784">
        <v>356</v>
      </c>
      <c r="Y47" s="784">
        <v>118</v>
      </c>
    </row>
    <row r="48" spans="1:25">
      <c r="A48" s="73" t="s">
        <v>497</v>
      </c>
      <c r="B48" s="73" t="s">
        <v>475</v>
      </c>
      <c r="C48" s="77">
        <f t="shared" si="0"/>
        <v>86622</v>
      </c>
      <c r="D48" s="80">
        <v>55651</v>
      </c>
      <c r="E48" s="80">
        <v>30971</v>
      </c>
      <c r="F48" s="80">
        <v>4351</v>
      </c>
      <c r="G48" s="80">
        <v>27</v>
      </c>
      <c r="H48" s="80">
        <v>284807</v>
      </c>
      <c r="I48" s="80">
        <v>155831</v>
      </c>
      <c r="J48" s="80">
        <v>112932</v>
      </c>
      <c r="K48" s="80">
        <v>536</v>
      </c>
      <c r="L48" s="784">
        <v>90252</v>
      </c>
      <c r="M48" s="784">
        <v>4993</v>
      </c>
      <c r="N48" s="784">
        <v>4633</v>
      </c>
      <c r="O48" s="784">
        <v>8124</v>
      </c>
      <c r="P48" s="786">
        <v>58615</v>
      </c>
      <c r="Q48" s="784">
        <v>42767</v>
      </c>
      <c r="R48" s="784">
        <v>15848</v>
      </c>
      <c r="S48" s="784">
        <v>13887</v>
      </c>
      <c r="T48" s="784">
        <v>58884</v>
      </c>
      <c r="U48" s="784">
        <v>24222</v>
      </c>
      <c r="V48" s="784">
        <v>5647</v>
      </c>
      <c r="W48" s="784">
        <v>1247</v>
      </c>
      <c r="X48" s="784">
        <v>183</v>
      </c>
      <c r="Y48" s="784">
        <v>69</v>
      </c>
    </row>
    <row r="49" spans="1:25">
      <c r="A49" s="73" t="s">
        <v>498</v>
      </c>
      <c r="B49" s="73" t="s">
        <v>476</v>
      </c>
      <c r="C49" s="77">
        <f t="shared" si="0"/>
        <v>121766</v>
      </c>
      <c r="D49" s="80">
        <v>80276</v>
      </c>
      <c r="E49" s="80">
        <v>41490</v>
      </c>
      <c r="F49" s="80">
        <v>1727</v>
      </c>
      <c r="G49" s="80">
        <v>19</v>
      </c>
      <c r="H49" s="80">
        <v>212558</v>
      </c>
      <c r="I49" s="80">
        <v>56434</v>
      </c>
      <c r="J49" s="80">
        <v>71238</v>
      </c>
      <c r="K49" s="80">
        <v>374</v>
      </c>
      <c r="L49" s="784">
        <v>126926</v>
      </c>
      <c r="M49" s="784">
        <v>4304</v>
      </c>
      <c r="N49" s="784">
        <v>5874</v>
      </c>
      <c r="O49" s="784">
        <v>17770</v>
      </c>
      <c r="P49" s="786">
        <v>82824</v>
      </c>
      <c r="Q49" s="784">
        <v>59807</v>
      </c>
      <c r="R49" s="784">
        <v>23017</v>
      </c>
      <c r="S49" s="784">
        <v>16154</v>
      </c>
      <c r="T49" s="784">
        <v>95223</v>
      </c>
      <c r="U49" s="784">
        <v>26850</v>
      </c>
      <c r="V49" s="784">
        <v>4058</v>
      </c>
      <c r="W49" s="784">
        <v>680</v>
      </c>
      <c r="X49" s="784">
        <v>86</v>
      </c>
      <c r="Y49" s="784">
        <v>29</v>
      </c>
    </row>
    <row r="50" spans="1:25">
      <c r="A50" s="73" t="s">
        <v>499</v>
      </c>
      <c r="B50" s="73" t="s">
        <v>477</v>
      </c>
      <c r="C50" s="77">
        <f t="shared" si="0"/>
        <v>65976</v>
      </c>
      <c r="D50" s="80">
        <v>40424</v>
      </c>
      <c r="E50" s="80">
        <v>25552</v>
      </c>
      <c r="F50" s="80">
        <v>1345</v>
      </c>
      <c r="G50" s="80">
        <v>17</v>
      </c>
      <c r="H50" s="80">
        <v>122375</v>
      </c>
      <c r="I50" s="80">
        <v>56281</v>
      </c>
      <c r="J50" s="80">
        <v>44661</v>
      </c>
      <c r="K50" s="80">
        <v>617</v>
      </c>
      <c r="L50" s="784">
        <v>68812</v>
      </c>
      <c r="M50" s="784">
        <v>4988</v>
      </c>
      <c r="N50" s="784">
        <v>3989</v>
      </c>
      <c r="O50" s="784">
        <v>8678</v>
      </c>
      <c r="P50" s="786">
        <v>42774</v>
      </c>
      <c r="Q50" s="784">
        <v>30311</v>
      </c>
      <c r="R50" s="784">
        <v>12463</v>
      </c>
      <c r="S50" s="784">
        <v>8383</v>
      </c>
      <c r="T50" s="784">
        <v>49837</v>
      </c>
      <c r="U50" s="784">
        <v>15716</v>
      </c>
      <c r="V50" s="784">
        <v>2685</v>
      </c>
      <c r="W50" s="784">
        <v>494</v>
      </c>
      <c r="X50" s="784">
        <v>68</v>
      </c>
      <c r="Y50" s="784">
        <v>12</v>
      </c>
    </row>
    <row r="51" spans="1:25">
      <c r="A51" s="73" t="s">
        <v>69</v>
      </c>
      <c r="B51" s="73" t="s">
        <v>70</v>
      </c>
      <c r="C51" s="77">
        <f t="shared" si="0"/>
        <v>78200</v>
      </c>
      <c r="D51" s="80">
        <v>47679</v>
      </c>
      <c r="E51" s="80">
        <v>30521</v>
      </c>
      <c r="F51" s="80">
        <v>1425</v>
      </c>
      <c r="G51" s="80">
        <v>35</v>
      </c>
      <c r="H51" s="80">
        <v>244007</v>
      </c>
      <c r="I51" s="80">
        <v>109723</v>
      </c>
      <c r="J51" s="80">
        <v>92515</v>
      </c>
      <c r="K51" s="80">
        <v>2674</v>
      </c>
      <c r="L51" s="784">
        <v>83245</v>
      </c>
      <c r="M51" s="784">
        <v>339</v>
      </c>
      <c r="N51" s="784">
        <v>3288</v>
      </c>
      <c r="O51" s="784">
        <v>8355</v>
      </c>
      <c r="P51" s="786">
        <v>57920</v>
      </c>
      <c r="Q51" s="784">
        <v>44022</v>
      </c>
      <c r="R51" s="784">
        <v>13898</v>
      </c>
      <c r="S51" s="784">
        <v>13343</v>
      </c>
      <c r="T51" s="784">
        <v>59487</v>
      </c>
      <c r="U51" s="784">
        <v>18292</v>
      </c>
      <c r="V51" s="784">
        <v>4317</v>
      </c>
      <c r="W51" s="784">
        <v>943</v>
      </c>
      <c r="X51" s="784">
        <v>141</v>
      </c>
      <c r="Y51" s="784">
        <v>65</v>
      </c>
    </row>
    <row r="52" spans="1:25">
      <c r="A52" s="79" t="s">
        <v>73</v>
      </c>
      <c r="B52" s="79" t="s">
        <v>74</v>
      </c>
      <c r="C52" s="77">
        <f t="shared" si="0"/>
        <v>353037</v>
      </c>
      <c r="D52" s="80">
        <v>207797</v>
      </c>
      <c r="E52" s="80">
        <v>145240</v>
      </c>
      <c r="F52" s="80">
        <v>10935</v>
      </c>
      <c r="G52" s="80">
        <v>103</v>
      </c>
      <c r="H52" s="80">
        <v>721002</v>
      </c>
      <c r="I52" s="80">
        <v>350036</v>
      </c>
      <c r="J52" s="80">
        <v>266207</v>
      </c>
      <c r="K52" s="80">
        <v>3918</v>
      </c>
      <c r="L52" s="784">
        <v>370580</v>
      </c>
      <c r="M52" s="784">
        <v>34765</v>
      </c>
      <c r="N52" s="784">
        <v>20413</v>
      </c>
      <c r="O52" s="784">
        <v>40264</v>
      </c>
      <c r="P52" s="786">
        <v>223700</v>
      </c>
      <c r="Q52" s="784">
        <v>164528</v>
      </c>
      <c r="R52" s="784">
        <v>59172</v>
      </c>
      <c r="S52" s="784">
        <v>51438</v>
      </c>
      <c r="T52" s="784">
        <v>267004</v>
      </c>
      <c r="U52" s="784">
        <v>84300</v>
      </c>
      <c r="V52" s="784">
        <v>15814</v>
      </c>
      <c r="W52" s="784">
        <v>2986</v>
      </c>
      <c r="X52" s="784">
        <v>355</v>
      </c>
      <c r="Y52" s="784">
        <v>121</v>
      </c>
    </row>
    <row r="53" spans="1:25">
      <c r="A53" s="73" t="s">
        <v>75</v>
      </c>
      <c r="B53" s="73" t="s">
        <v>1479</v>
      </c>
      <c r="C53" s="77">
        <f t="shared" si="0"/>
        <v>5408871</v>
      </c>
      <c r="D53" s="78">
        <v>3254090</v>
      </c>
      <c r="E53" s="78">
        <v>2154781</v>
      </c>
      <c r="F53" s="78">
        <v>185036</v>
      </c>
      <c r="G53" s="78">
        <v>1864</v>
      </c>
      <c r="H53" s="78">
        <v>12867894</v>
      </c>
      <c r="I53" s="78">
        <v>7045465</v>
      </c>
      <c r="J53" s="78">
        <v>4677387</v>
      </c>
      <c r="K53" s="78">
        <v>69002</v>
      </c>
      <c r="L53" s="784">
        <v>6369534</v>
      </c>
      <c r="M53" s="784">
        <v>407187</v>
      </c>
      <c r="N53" s="784">
        <v>331535</v>
      </c>
      <c r="O53" s="784">
        <v>645990</v>
      </c>
      <c r="P53" s="786">
        <v>4121428</v>
      </c>
      <c r="Q53" s="784">
        <v>3101898</v>
      </c>
      <c r="R53" s="784">
        <v>1019530</v>
      </c>
      <c r="S53" s="784">
        <v>863394</v>
      </c>
      <c r="T53" s="784">
        <v>4522024</v>
      </c>
      <c r="U53" s="784">
        <v>1479497</v>
      </c>
      <c r="V53" s="784">
        <v>295353</v>
      </c>
      <c r="W53" s="784">
        <v>60428</v>
      </c>
      <c r="X53" s="784">
        <v>8984</v>
      </c>
      <c r="Y53" s="784">
        <v>3248</v>
      </c>
    </row>
    <row r="54" spans="1:25">
      <c r="B54"/>
      <c r="C54"/>
      <c r="D54"/>
      <c r="E54"/>
      <c r="F54"/>
      <c r="G54"/>
      <c r="H54"/>
      <c r="I54"/>
      <c r="J54"/>
      <c r="K54"/>
      <c r="L54"/>
      <c r="M54"/>
      <c r="N54"/>
      <c r="O54"/>
      <c r="P54"/>
      <c r="Q54"/>
      <c r="R54"/>
      <c r="S54"/>
      <c r="T54"/>
      <c r="U54"/>
      <c r="V54"/>
      <c r="W54"/>
    </row>
    <row r="55" spans="1:25">
      <c r="B55"/>
      <c r="C55"/>
      <c r="D55"/>
      <c r="E55"/>
      <c r="F55"/>
      <c r="G55"/>
      <c r="H55"/>
      <c r="I55"/>
      <c r="J55"/>
      <c r="K55"/>
      <c r="U55"/>
      <c r="V55"/>
    </row>
    <row r="56" spans="1:25">
      <c r="A56" s="615" t="s">
        <v>1634</v>
      </c>
      <c r="B56" s="615"/>
      <c r="C56" s="616" t="s">
        <v>1633</v>
      </c>
      <c r="D56" s="615"/>
      <c r="E56" s="615"/>
      <c r="F56" s="615"/>
      <c r="G56" s="615"/>
      <c r="H56" s="615"/>
      <c r="I56" s="615"/>
      <c r="J56" s="62"/>
      <c r="K56" s="615" t="s">
        <v>1635</v>
      </c>
    </row>
    <row r="57" spans="1:25" s="88" customFormat="1">
      <c r="A57" s="88" t="s">
        <v>504</v>
      </c>
      <c r="J57" s="89"/>
    </row>
    <row r="58" spans="1:25">
      <c r="A58" s="183" t="s">
        <v>1013</v>
      </c>
      <c r="J58"/>
      <c r="K58" s="9">
        <v>2016</v>
      </c>
      <c r="M58" s="9">
        <v>2015</v>
      </c>
    </row>
    <row r="59" spans="1:25" s="84" customFormat="1" ht="45">
      <c r="A59" s="233" t="s">
        <v>501</v>
      </c>
      <c r="B59" s="59" t="s">
        <v>500</v>
      </c>
      <c r="C59" s="59">
        <v>2010</v>
      </c>
      <c r="D59" s="59">
        <v>2011</v>
      </c>
      <c r="E59" s="59">
        <v>2012</v>
      </c>
      <c r="F59" s="59">
        <v>2013</v>
      </c>
      <c r="G59" s="59">
        <v>2014</v>
      </c>
      <c r="H59" s="59">
        <v>2015</v>
      </c>
      <c r="I59" s="59">
        <v>2016</v>
      </c>
      <c r="K59" s="84" t="s">
        <v>1012</v>
      </c>
      <c r="L59" s="84" t="s">
        <v>1014</v>
      </c>
      <c r="M59" s="84" t="s">
        <v>1015</v>
      </c>
      <c r="N59" s="84" t="s">
        <v>1016</v>
      </c>
    </row>
    <row r="60" spans="1:25">
      <c r="A60" s="82" t="s">
        <v>486</v>
      </c>
      <c r="B60" s="73" t="s">
        <v>465</v>
      </c>
      <c r="C60">
        <v>11704</v>
      </c>
      <c r="D60">
        <v>9762</v>
      </c>
      <c r="E60">
        <v>10174</v>
      </c>
      <c r="F60">
        <v>8078</v>
      </c>
      <c r="G60">
        <v>7956</v>
      </c>
      <c r="H60">
        <v>6868</v>
      </c>
      <c r="I60" s="171">
        <v>6281</v>
      </c>
      <c r="J60"/>
      <c r="K60" s="729">
        <v>15392</v>
      </c>
      <c r="L60" s="232">
        <f>I60/K60</f>
        <v>0.40806912681912683</v>
      </c>
      <c r="M60" s="729">
        <v>15161</v>
      </c>
      <c r="N60" s="232">
        <f>H60/M60</f>
        <v>0.45300441923355977</v>
      </c>
      <c r="P60" s="84" t="s">
        <v>486</v>
      </c>
      <c r="Q60" s="84">
        <v>489115.86353220901</v>
      </c>
    </row>
    <row r="61" spans="1:25">
      <c r="A61" s="82" t="s">
        <v>487</v>
      </c>
      <c r="B61" s="73" t="s">
        <v>466</v>
      </c>
      <c r="C61">
        <v>14402</v>
      </c>
      <c r="D61">
        <v>11828</v>
      </c>
      <c r="E61">
        <v>12761</v>
      </c>
      <c r="F61">
        <v>11984</v>
      </c>
      <c r="G61">
        <v>11596</v>
      </c>
      <c r="H61">
        <v>9664</v>
      </c>
      <c r="I61" s="171">
        <v>9362</v>
      </c>
      <c r="K61" s="729">
        <v>20642</v>
      </c>
      <c r="L61" s="232">
        <f t="shared" ref="L61:L74" si="1">I61/K61</f>
        <v>0.45354132351516324</v>
      </c>
      <c r="M61" s="729">
        <v>19990</v>
      </c>
      <c r="N61" s="232">
        <f t="shared" ref="N61:N75" si="2">H61/M61</f>
        <v>0.48344172086043019</v>
      </c>
      <c r="P61" s="9" t="s">
        <v>487</v>
      </c>
      <c r="Q61" s="9">
        <v>883173.87418410915</v>
      </c>
    </row>
    <row r="62" spans="1:25">
      <c r="A62" s="82" t="s">
        <v>488</v>
      </c>
      <c r="B62" s="73" t="s">
        <v>467</v>
      </c>
      <c r="C62">
        <v>8469</v>
      </c>
      <c r="D62">
        <v>6827</v>
      </c>
      <c r="E62">
        <v>7376</v>
      </c>
      <c r="F62">
        <v>6941</v>
      </c>
      <c r="G62">
        <v>7198</v>
      </c>
      <c r="H62">
        <v>5041</v>
      </c>
      <c r="I62" s="171">
        <v>5155</v>
      </c>
      <c r="K62" s="729">
        <v>13034</v>
      </c>
      <c r="L62" s="232">
        <f t="shared" si="1"/>
        <v>0.39550406628816942</v>
      </c>
      <c r="M62" s="729">
        <v>12019</v>
      </c>
      <c r="N62" s="232">
        <f t="shared" si="2"/>
        <v>0.4194192528496547</v>
      </c>
      <c r="P62" s="9" t="s">
        <v>488</v>
      </c>
      <c r="Q62" s="9">
        <v>638413.26770847104</v>
      </c>
    </row>
    <row r="63" spans="1:25">
      <c r="A63" s="83" t="s">
        <v>71</v>
      </c>
      <c r="B63" s="73" t="s">
        <v>116</v>
      </c>
      <c r="C63">
        <v>9482</v>
      </c>
      <c r="D63">
        <v>8622</v>
      </c>
      <c r="E63">
        <v>8662</v>
      </c>
      <c r="F63">
        <v>8448</v>
      </c>
      <c r="G63">
        <v>8684</v>
      </c>
      <c r="H63">
        <v>7280</v>
      </c>
      <c r="I63" s="171">
        <v>5943</v>
      </c>
      <c r="K63" s="729">
        <v>17496</v>
      </c>
      <c r="L63" s="232">
        <f t="shared" si="1"/>
        <v>0.33967764060356653</v>
      </c>
      <c r="M63" s="729">
        <v>16597</v>
      </c>
      <c r="N63" s="232">
        <f t="shared" si="2"/>
        <v>0.43863348797975538</v>
      </c>
      <c r="P63" s="9" t="s">
        <v>71</v>
      </c>
      <c r="Q63" s="9">
        <v>706194.81616041926</v>
      </c>
    </row>
    <row r="64" spans="1:25">
      <c r="A64" s="83" t="s">
        <v>489</v>
      </c>
      <c r="B64" s="73" t="s">
        <v>468</v>
      </c>
      <c r="C64">
        <v>9819</v>
      </c>
      <c r="D64">
        <v>7548</v>
      </c>
      <c r="E64">
        <v>7862</v>
      </c>
      <c r="F64">
        <v>6363</v>
      </c>
      <c r="G64">
        <v>6682</v>
      </c>
      <c r="H64">
        <v>5741</v>
      </c>
      <c r="I64" s="171">
        <v>6034</v>
      </c>
      <c r="K64" s="729">
        <v>13234</v>
      </c>
      <c r="L64" s="232">
        <f t="shared" si="1"/>
        <v>0.45594680368747165</v>
      </c>
      <c r="M64" s="729">
        <v>12999</v>
      </c>
      <c r="N64" s="232">
        <f t="shared" si="2"/>
        <v>0.44164935764289559</v>
      </c>
      <c r="P64" s="9" t="s">
        <v>489</v>
      </c>
      <c r="Q64" s="9">
        <v>475929.62013935857</v>
      </c>
    </row>
    <row r="65" spans="1:25">
      <c r="A65" s="83" t="s">
        <v>490</v>
      </c>
      <c r="B65" s="73" t="s">
        <v>469</v>
      </c>
      <c r="C65">
        <v>4215</v>
      </c>
      <c r="D65">
        <v>3339</v>
      </c>
      <c r="E65">
        <v>3395</v>
      </c>
      <c r="F65">
        <v>3062</v>
      </c>
      <c r="G65">
        <v>3201</v>
      </c>
      <c r="H65">
        <v>2627</v>
      </c>
      <c r="I65" s="171">
        <v>2579</v>
      </c>
      <c r="K65" s="729">
        <v>6677</v>
      </c>
      <c r="L65" s="232">
        <f t="shared" si="1"/>
        <v>0.38625131046877342</v>
      </c>
      <c r="M65" s="729">
        <v>6254</v>
      </c>
      <c r="N65" s="232">
        <f t="shared" si="2"/>
        <v>0.4200511672529581</v>
      </c>
      <c r="P65" s="9" t="s">
        <v>490</v>
      </c>
      <c r="Q65" s="9">
        <v>479845.82285956031</v>
      </c>
    </row>
    <row r="66" spans="1:25">
      <c r="A66" s="83" t="s">
        <v>491</v>
      </c>
      <c r="B66" s="73" t="s">
        <v>470</v>
      </c>
      <c r="C66">
        <v>6996</v>
      </c>
      <c r="D66">
        <v>5685</v>
      </c>
      <c r="E66">
        <v>6139</v>
      </c>
      <c r="F66">
        <v>5076</v>
      </c>
      <c r="G66">
        <v>5538</v>
      </c>
      <c r="H66">
        <v>4303</v>
      </c>
      <c r="I66" s="171">
        <v>4200</v>
      </c>
      <c r="K66" s="729">
        <v>10149</v>
      </c>
      <c r="L66" s="232">
        <f t="shared" si="1"/>
        <v>0.41383387525864618</v>
      </c>
      <c r="M66" s="729">
        <v>10092</v>
      </c>
      <c r="N66" s="232">
        <f t="shared" si="2"/>
        <v>0.42637732857709076</v>
      </c>
      <c r="P66" s="9" t="s">
        <v>491</v>
      </c>
      <c r="Q66" s="9">
        <v>584060.98389911407</v>
      </c>
    </row>
    <row r="67" spans="1:25">
      <c r="A67" s="83" t="s">
        <v>492</v>
      </c>
      <c r="B67" s="73" t="s">
        <v>471</v>
      </c>
      <c r="C67">
        <v>6363</v>
      </c>
      <c r="D67">
        <v>5119</v>
      </c>
      <c r="E67">
        <v>5816</v>
      </c>
      <c r="F67">
        <v>5468</v>
      </c>
      <c r="G67">
        <v>6033</v>
      </c>
      <c r="H67">
        <v>4879</v>
      </c>
      <c r="I67" s="171">
        <v>5199</v>
      </c>
      <c r="K67" s="729">
        <v>10212</v>
      </c>
      <c r="L67" s="232">
        <f t="shared" si="1"/>
        <v>0.50910693301997645</v>
      </c>
      <c r="M67" s="729">
        <v>9707</v>
      </c>
      <c r="N67" s="232">
        <f t="shared" si="2"/>
        <v>0.50262697022767078</v>
      </c>
      <c r="P67" s="9" t="s">
        <v>492</v>
      </c>
      <c r="Q67" s="9">
        <v>625645.05255848449</v>
      </c>
    </row>
    <row r="68" spans="1:25">
      <c r="A68" s="83" t="s">
        <v>493</v>
      </c>
      <c r="B68" s="73" t="s">
        <v>472</v>
      </c>
      <c r="C68">
        <v>10142</v>
      </c>
      <c r="D68">
        <v>9262</v>
      </c>
      <c r="E68">
        <v>9298</v>
      </c>
      <c r="F68">
        <v>8190</v>
      </c>
      <c r="G68">
        <v>8131</v>
      </c>
      <c r="H68">
        <v>6203</v>
      </c>
      <c r="I68" s="171">
        <v>6857</v>
      </c>
      <c r="K68" s="729">
        <v>16551</v>
      </c>
      <c r="L68" s="232">
        <f t="shared" si="1"/>
        <v>0.41429520874871612</v>
      </c>
      <c r="M68" s="729">
        <v>15341</v>
      </c>
      <c r="N68" s="232">
        <f t="shared" si="2"/>
        <v>0.40434130760706605</v>
      </c>
      <c r="P68" s="9" t="s">
        <v>493</v>
      </c>
      <c r="Q68" s="9">
        <v>1169860.5579067885</v>
      </c>
    </row>
    <row r="69" spans="1:25">
      <c r="A69" s="83" t="s">
        <v>494</v>
      </c>
      <c r="B69" s="73" t="s">
        <v>478</v>
      </c>
      <c r="C69">
        <v>5622</v>
      </c>
      <c r="D69">
        <v>4550</v>
      </c>
      <c r="E69">
        <v>4887</v>
      </c>
      <c r="F69">
        <v>3940</v>
      </c>
      <c r="G69">
        <v>3750</v>
      </c>
      <c r="H69">
        <v>2629</v>
      </c>
      <c r="I69" s="171">
        <v>2123</v>
      </c>
      <c r="K69" s="729">
        <v>6296</v>
      </c>
      <c r="L69" s="232">
        <f t="shared" si="1"/>
        <v>0.33719822109275732</v>
      </c>
      <c r="M69" s="729">
        <v>6717</v>
      </c>
      <c r="N69" s="232">
        <f t="shared" si="2"/>
        <v>0.39139496799166296</v>
      </c>
      <c r="P69" s="9" t="s">
        <v>494</v>
      </c>
      <c r="Q69" s="9">
        <v>641878.2924776962</v>
      </c>
    </row>
    <row r="70" spans="1:25">
      <c r="A70" s="83" t="s">
        <v>495</v>
      </c>
      <c r="B70" s="73" t="s">
        <v>473</v>
      </c>
      <c r="C70">
        <v>5279</v>
      </c>
      <c r="D70">
        <v>4320</v>
      </c>
      <c r="E70">
        <v>4291</v>
      </c>
      <c r="F70">
        <v>4318</v>
      </c>
      <c r="G70">
        <v>4132</v>
      </c>
      <c r="H70">
        <v>2790</v>
      </c>
      <c r="I70" s="171">
        <v>3062</v>
      </c>
      <c r="K70" s="729">
        <v>7779</v>
      </c>
      <c r="L70" s="232">
        <f t="shared" si="1"/>
        <v>0.39362385910785447</v>
      </c>
      <c r="M70" s="729">
        <v>7118</v>
      </c>
      <c r="N70" s="232">
        <f t="shared" si="2"/>
        <v>0.39196403484124753</v>
      </c>
      <c r="P70" s="9" t="s">
        <v>495</v>
      </c>
      <c r="Q70" s="9">
        <v>544143.21738073835</v>
      </c>
    </row>
    <row r="71" spans="1:25">
      <c r="A71" s="83" t="s">
        <v>496</v>
      </c>
      <c r="B71" s="73" t="s">
        <v>474</v>
      </c>
      <c r="C71">
        <v>10434</v>
      </c>
      <c r="D71">
        <v>8122</v>
      </c>
      <c r="E71">
        <v>8600</v>
      </c>
      <c r="F71">
        <v>9064</v>
      </c>
      <c r="G71">
        <v>9332</v>
      </c>
      <c r="H71">
        <v>8131</v>
      </c>
      <c r="I71" s="171">
        <v>8776</v>
      </c>
      <c r="K71" s="729">
        <v>20729</v>
      </c>
      <c r="L71" s="232">
        <f t="shared" si="1"/>
        <v>0.42336822808625596</v>
      </c>
      <c r="M71" s="729">
        <v>18908</v>
      </c>
      <c r="N71" s="232">
        <f t="shared" si="2"/>
        <v>0.43002961709329385</v>
      </c>
      <c r="P71" s="9" t="s">
        <v>496</v>
      </c>
      <c r="Q71" s="9">
        <v>848600.11115094076</v>
      </c>
    </row>
    <row r="72" spans="1:25">
      <c r="A72" s="83" t="s">
        <v>497</v>
      </c>
      <c r="B72" s="73" t="s">
        <v>475</v>
      </c>
      <c r="C72">
        <v>4706</v>
      </c>
      <c r="D72">
        <v>3752</v>
      </c>
      <c r="E72">
        <v>3912</v>
      </c>
      <c r="F72">
        <v>3294</v>
      </c>
      <c r="G72">
        <v>3568</v>
      </c>
      <c r="H72">
        <v>2604</v>
      </c>
      <c r="I72" s="171">
        <v>2476</v>
      </c>
      <c r="K72" s="729">
        <v>6620</v>
      </c>
      <c r="L72" s="232">
        <f t="shared" si="1"/>
        <v>0.37401812688821751</v>
      </c>
      <c r="M72" s="729">
        <v>6294</v>
      </c>
      <c r="N72" s="232">
        <f t="shared" si="2"/>
        <v>0.41372735938989513</v>
      </c>
      <c r="P72" s="9" t="s">
        <v>497</v>
      </c>
      <c r="Q72" s="9">
        <v>578272.60123310029</v>
      </c>
    </row>
    <row r="73" spans="1:25">
      <c r="A73" s="83" t="s">
        <v>498</v>
      </c>
      <c r="B73" s="73" t="s">
        <v>476</v>
      </c>
      <c r="C73">
        <v>8509</v>
      </c>
      <c r="D73">
        <v>7668</v>
      </c>
      <c r="E73">
        <v>7600</v>
      </c>
      <c r="F73">
        <v>5831</v>
      </c>
      <c r="G73">
        <v>6011</v>
      </c>
      <c r="H73">
        <v>4404</v>
      </c>
      <c r="I73" s="171">
        <v>3841</v>
      </c>
      <c r="K73" s="729">
        <v>11707</v>
      </c>
      <c r="L73" s="232">
        <f t="shared" si="1"/>
        <v>0.32809430255402749</v>
      </c>
      <c r="M73" s="729">
        <v>11485</v>
      </c>
      <c r="N73" s="232">
        <f t="shared" si="2"/>
        <v>0.38345668262951677</v>
      </c>
      <c r="P73" s="9" t="s">
        <v>498</v>
      </c>
      <c r="Q73" s="9">
        <v>436880.4753072242</v>
      </c>
    </row>
    <row r="74" spans="1:25">
      <c r="A74" s="83" t="s">
        <v>499</v>
      </c>
      <c r="B74" s="73" t="s">
        <v>477</v>
      </c>
      <c r="C74">
        <v>4626</v>
      </c>
      <c r="D74">
        <v>3335</v>
      </c>
      <c r="E74">
        <v>3779</v>
      </c>
      <c r="F74">
        <v>3427</v>
      </c>
      <c r="G74">
        <v>3653</v>
      </c>
      <c r="H74">
        <v>2119</v>
      </c>
      <c r="I74" s="171">
        <v>1860</v>
      </c>
      <c r="K74" s="729">
        <v>5489</v>
      </c>
      <c r="L74" s="232">
        <f t="shared" si="1"/>
        <v>0.33885953725633083</v>
      </c>
      <c r="M74" s="729">
        <v>5529</v>
      </c>
      <c r="N74" s="232">
        <f t="shared" si="2"/>
        <v>0.383251944293724</v>
      </c>
      <c r="P74" s="9" t="s">
        <v>499</v>
      </c>
      <c r="Q74" s="9">
        <v>244113.495765183</v>
      </c>
    </row>
    <row r="75" spans="1:25">
      <c r="A75" s="83" t="s">
        <v>502</v>
      </c>
      <c r="B75" s="73" t="s">
        <v>1479</v>
      </c>
      <c r="C75">
        <v>358588</v>
      </c>
      <c r="D75">
        <v>291721</v>
      </c>
      <c r="E75">
        <v>307478</v>
      </c>
      <c r="F75">
        <v>274942</v>
      </c>
      <c r="G75">
        <v>283454</v>
      </c>
      <c r="H75">
        <v>220156</v>
      </c>
      <c r="I75" s="171">
        <v>222792</v>
      </c>
      <c r="K75" s="729">
        <v>365188</v>
      </c>
      <c r="L75" s="232">
        <f>I75/K75</f>
        <v>0.61007481078239156</v>
      </c>
      <c r="M75" s="729">
        <v>509550</v>
      </c>
      <c r="N75" s="232">
        <f t="shared" si="2"/>
        <v>0.43205966048474143</v>
      </c>
    </row>
    <row r="79" spans="1:25" s="90" customFormat="1">
      <c r="A79" s="90" t="s">
        <v>505</v>
      </c>
      <c r="K79" s="636" t="s">
        <v>1638</v>
      </c>
      <c r="U79" s="676" t="s">
        <v>1707</v>
      </c>
      <c r="W79" s="676" t="s">
        <v>1708</v>
      </c>
      <c r="X79" s="676" t="s">
        <v>1709</v>
      </c>
      <c r="Y79" s="676" t="s">
        <v>1710</v>
      </c>
    </row>
    <row r="80" spans="1:25">
      <c r="C80" s="9">
        <v>2015</v>
      </c>
      <c r="D80" s="9">
        <v>2014</v>
      </c>
      <c r="E80" s="9">
        <v>2015</v>
      </c>
      <c r="F80" s="81">
        <v>2015</v>
      </c>
      <c r="G80" s="81">
        <v>2015</v>
      </c>
      <c r="H80" s="81">
        <v>2015</v>
      </c>
      <c r="I80" s="81">
        <v>2014</v>
      </c>
      <c r="J80" s="81">
        <v>2014</v>
      </c>
      <c r="K80" s="81">
        <v>2014</v>
      </c>
      <c r="L80" s="81">
        <v>2014</v>
      </c>
      <c r="M80" s="782">
        <v>2013</v>
      </c>
      <c r="N80" s="782">
        <v>2013</v>
      </c>
      <c r="O80" s="81">
        <v>2014</v>
      </c>
      <c r="P80" s="81">
        <v>2015</v>
      </c>
      <c r="Q80" s="81">
        <v>2014</v>
      </c>
      <c r="R80" s="9">
        <v>2013</v>
      </c>
      <c r="S80" s="81">
        <v>2014</v>
      </c>
      <c r="T80" s="81">
        <v>2014</v>
      </c>
      <c r="U80" s="81"/>
      <c r="V80" s="81">
        <v>2013</v>
      </c>
      <c r="W80" s="81"/>
      <c r="X80" s="81">
        <v>2014</v>
      </c>
      <c r="Y80" s="81">
        <v>2013</v>
      </c>
    </row>
    <row r="81" spans="1:25" ht="45">
      <c r="A81" s="9" t="s">
        <v>483</v>
      </c>
      <c r="B81" s="9" t="s">
        <v>484</v>
      </c>
      <c r="C81" s="84" t="s">
        <v>1001</v>
      </c>
      <c r="D81" s="84" t="s">
        <v>1002</v>
      </c>
      <c r="E81" s="84" t="s">
        <v>1003</v>
      </c>
      <c r="F81" s="84" t="s">
        <v>1004</v>
      </c>
      <c r="G81" s="84" t="s">
        <v>1005</v>
      </c>
      <c r="H81" s="84" t="s">
        <v>1006</v>
      </c>
      <c r="I81" s="84" t="s">
        <v>1007</v>
      </c>
      <c r="J81" s="84" t="s">
        <v>1008</v>
      </c>
      <c r="K81" s="404" t="s">
        <v>1578</v>
      </c>
      <c r="L81" s="84" t="s">
        <v>1009</v>
      </c>
      <c r="M81" s="779" t="s">
        <v>1010</v>
      </c>
      <c r="N81" s="779" t="s">
        <v>1579</v>
      </c>
      <c r="O81" s="84" t="s">
        <v>1011</v>
      </c>
      <c r="P81" s="71" t="s">
        <v>1018</v>
      </c>
      <c r="Q81" s="71" t="s">
        <v>1020</v>
      </c>
      <c r="R81" s="84" t="s">
        <v>1019</v>
      </c>
      <c r="S81" s="779" t="s">
        <v>1002</v>
      </c>
      <c r="T81" s="779" t="s">
        <v>1021</v>
      </c>
      <c r="U81" s="779" t="s">
        <v>1303</v>
      </c>
      <c r="V81" s="779" t="s">
        <v>1022</v>
      </c>
      <c r="W81" s="779" t="s">
        <v>1304</v>
      </c>
      <c r="X81" s="779" t="s">
        <v>1301</v>
      </c>
      <c r="Y81" s="779" t="s">
        <v>1302</v>
      </c>
    </row>
    <row r="82" spans="1:25">
      <c r="A82" s="9">
        <v>59</v>
      </c>
      <c r="B82" s="9" t="s">
        <v>89</v>
      </c>
      <c r="C82" s="729">
        <v>40584</v>
      </c>
      <c r="D82" s="9">
        <v>3467</v>
      </c>
      <c r="E82" s="729">
        <v>5077</v>
      </c>
      <c r="F82" s="729">
        <v>3494</v>
      </c>
      <c r="G82" s="729">
        <v>46268</v>
      </c>
      <c r="H82" s="729">
        <v>5783</v>
      </c>
      <c r="I82" s="729">
        <v>5562</v>
      </c>
      <c r="J82" s="729">
        <v>6335</v>
      </c>
      <c r="K82" s="9">
        <v>16830</v>
      </c>
      <c r="L82" s="672">
        <v>37471</v>
      </c>
      <c r="M82" s="780">
        <v>3572</v>
      </c>
      <c r="N82" s="780">
        <v>16282</v>
      </c>
      <c r="O82" s="672">
        <v>43005</v>
      </c>
      <c r="P82" s="232">
        <f>E82/R82</f>
        <v>2.2646222558547178E-2</v>
      </c>
      <c r="Q82" s="232">
        <f>I82/R82</f>
        <v>2.480959028375801E-2</v>
      </c>
      <c r="R82" s="673">
        <v>224187.49912372601</v>
      </c>
      <c r="S82" s="780">
        <v>3467</v>
      </c>
      <c r="T82" s="780">
        <v>5744</v>
      </c>
      <c r="U82" s="781" t="s">
        <v>1245</v>
      </c>
      <c r="V82" s="780">
        <v>6769</v>
      </c>
      <c r="W82" s="781" t="s">
        <v>1245</v>
      </c>
      <c r="X82" s="781" t="s">
        <v>1245</v>
      </c>
      <c r="Y82" s="781" t="s">
        <v>1245</v>
      </c>
    </row>
    <row r="83" spans="1:25">
      <c r="A83" s="9">
        <v>7204</v>
      </c>
      <c r="B83" s="9" t="s">
        <v>6</v>
      </c>
      <c r="C83" s="729">
        <v>88636</v>
      </c>
      <c r="D83" s="9">
        <v>7718</v>
      </c>
      <c r="E83" s="729">
        <v>14106</v>
      </c>
      <c r="F83" s="729">
        <v>10078</v>
      </c>
      <c r="G83" s="729">
        <v>101436</v>
      </c>
      <c r="H83" s="729">
        <v>15957</v>
      </c>
      <c r="I83" s="729">
        <v>14125</v>
      </c>
      <c r="J83" s="729">
        <v>15891</v>
      </c>
      <c r="K83" s="9">
        <v>39074</v>
      </c>
      <c r="L83" s="672">
        <v>80983</v>
      </c>
      <c r="M83" s="780">
        <v>6978</v>
      </c>
      <c r="N83" s="780">
        <v>34905</v>
      </c>
      <c r="O83" s="672">
        <v>93405</v>
      </c>
      <c r="P83" s="232">
        <f t="shared" ref="P83:P129" si="3">E83/R83</f>
        <v>2.3251357383581459E-2</v>
      </c>
      <c r="Q83" s="232">
        <f t="shared" ref="Q83:Q129" si="4">I83/R83</f>
        <v>2.3282675672982284E-2</v>
      </c>
      <c r="R83" s="673">
        <v>606674.25850848202</v>
      </c>
      <c r="S83" s="780">
        <v>7718</v>
      </c>
      <c r="T83" s="780">
        <v>12747</v>
      </c>
      <c r="U83" s="781" t="s">
        <v>1245</v>
      </c>
      <c r="V83" s="780">
        <v>13476</v>
      </c>
      <c r="W83" s="781" t="s">
        <v>1245</v>
      </c>
      <c r="X83" s="781" t="s">
        <v>1245</v>
      </c>
      <c r="Y83" s="781" t="s">
        <v>1245</v>
      </c>
    </row>
    <row r="84" spans="1:25">
      <c r="A84" s="9">
        <v>3122</v>
      </c>
      <c r="B84" s="9" t="s">
        <v>1406</v>
      </c>
      <c r="C84" s="729">
        <v>11726</v>
      </c>
      <c r="D84" s="9">
        <v>1033</v>
      </c>
      <c r="E84" s="729">
        <v>1550</v>
      </c>
      <c r="F84" s="729">
        <v>1131</v>
      </c>
      <c r="G84" s="729">
        <v>14045</v>
      </c>
      <c r="H84" s="729">
        <v>1737</v>
      </c>
      <c r="I84" s="729">
        <v>1828</v>
      </c>
      <c r="J84" s="729">
        <v>2030</v>
      </c>
      <c r="K84" s="9">
        <v>4959</v>
      </c>
      <c r="L84" s="672">
        <v>10760</v>
      </c>
      <c r="M84" s="780">
        <v>941</v>
      </c>
      <c r="N84" s="780">
        <v>4621</v>
      </c>
      <c r="O84" s="672">
        <v>13084</v>
      </c>
      <c r="P84" s="232">
        <f t="shared" si="3"/>
        <v>1.0095148427828856E-2</v>
      </c>
      <c r="Q84" s="232">
        <f t="shared" si="4"/>
        <v>1.1905762145852355E-2</v>
      </c>
      <c r="R84" s="673">
        <v>153539.09960622099</v>
      </c>
      <c r="S84" s="780">
        <v>1033</v>
      </c>
      <c r="T84" s="780">
        <v>1848</v>
      </c>
      <c r="U84" s="781" t="s">
        <v>1245</v>
      </c>
      <c r="V84" s="780">
        <v>2052</v>
      </c>
      <c r="W84" s="781" t="s">
        <v>1245</v>
      </c>
      <c r="X84" s="781" t="s">
        <v>1245</v>
      </c>
      <c r="Y84" s="781" t="s">
        <v>1245</v>
      </c>
    </row>
    <row r="85" spans="1:25">
      <c r="A85" s="9">
        <v>8210</v>
      </c>
      <c r="B85" s="9" t="s">
        <v>8</v>
      </c>
      <c r="C85" s="729">
        <v>53320</v>
      </c>
      <c r="D85" s="9">
        <v>4462</v>
      </c>
      <c r="E85" s="729">
        <v>6634</v>
      </c>
      <c r="F85" s="729">
        <v>4695</v>
      </c>
      <c r="G85" s="729">
        <v>60616</v>
      </c>
      <c r="H85" s="729">
        <v>7413</v>
      </c>
      <c r="I85" s="729">
        <v>7392</v>
      </c>
      <c r="J85" s="729">
        <v>8258</v>
      </c>
      <c r="K85" s="9">
        <v>21393</v>
      </c>
      <c r="L85" s="672">
        <v>49060</v>
      </c>
      <c r="M85" s="780">
        <v>4064</v>
      </c>
      <c r="N85" s="780">
        <v>20561</v>
      </c>
      <c r="O85" s="672">
        <v>56188</v>
      </c>
      <c r="P85" s="232">
        <f t="shared" si="3"/>
        <v>1.7175880056568182E-2</v>
      </c>
      <c r="Q85" s="232">
        <f t="shared" si="4"/>
        <v>1.9138393937014171E-2</v>
      </c>
      <c r="R85" s="673">
        <v>386239.306408239</v>
      </c>
      <c r="S85" s="780">
        <v>4462</v>
      </c>
      <c r="T85" s="780">
        <v>6780</v>
      </c>
      <c r="U85" s="781" t="s">
        <v>1245</v>
      </c>
      <c r="V85" s="780">
        <v>8073</v>
      </c>
      <c r="W85" s="781" t="s">
        <v>1245</v>
      </c>
      <c r="X85" s="781" t="s">
        <v>1245</v>
      </c>
      <c r="Y85" s="781" t="s">
        <v>1245</v>
      </c>
    </row>
    <row r="86" spans="1:25">
      <c r="A86" s="9">
        <v>3111</v>
      </c>
      <c r="B86" s="9" t="s">
        <v>10</v>
      </c>
      <c r="C86" s="729">
        <v>46086</v>
      </c>
      <c r="D86" s="9">
        <v>4095</v>
      </c>
      <c r="E86" s="729">
        <v>6434</v>
      </c>
      <c r="F86" s="729">
        <v>4271</v>
      </c>
      <c r="G86" s="729">
        <v>54023</v>
      </c>
      <c r="H86" s="729">
        <v>7217</v>
      </c>
      <c r="I86" s="729">
        <v>6518</v>
      </c>
      <c r="J86" s="729">
        <v>7395</v>
      </c>
      <c r="K86" s="9">
        <v>19900</v>
      </c>
      <c r="L86" s="672">
        <v>42589</v>
      </c>
      <c r="M86" s="780">
        <v>3616</v>
      </c>
      <c r="N86" s="780">
        <v>18000</v>
      </c>
      <c r="O86" s="672">
        <v>50395</v>
      </c>
      <c r="P86" s="232">
        <f t="shared" si="3"/>
        <v>1.6848166294361762E-2</v>
      </c>
      <c r="Q86" s="232">
        <f t="shared" si="4"/>
        <v>1.7068129920212928E-2</v>
      </c>
      <c r="R86" s="673">
        <v>381881.32094548101</v>
      </c>
      <c r="S86" s="780">
        <v>4095</v>
      </c>
      <c r="T86" s="780">
        <v>6521</v>
      </c>
      <c r="U86" s="781" t="s">
        <v>1245</v>
      </c>
      <c r="V86" s="780">
        <v>7031</v>
      </c>
      <c r="W86" s="781" t="s">
        <v>1245</v>
      </c>
      <c r="X86" s="781" t="s">
        <v>1245</v>
      </c>
      <c r="Y86" s="781" t="s">
        <v>1245</v>
      </c>
    </row>
    <row r="87" spans="1:25">
      <c r="A87" s="9">
        <v>8214</v>
      </c>
      <c r="B87" s="9" t="s">
        <v>12</v>
      </c>
      <c r="C87" s="729">
        <v>126826</v>
      </c>
      <c r="D87" s="9">
        <v>10659</v>
      </c>
      <c r="E87" s="729">
        <v>18710</v>
      </c>
      <c r="F87" s="729">
        <v>12430</v>
      </c>
      <c r="G87" s="729">
        <v>145311</v>
      </c>
      <c r="H87" s="729">
        <v>20843</v>
      </c>
      <c r="I87" s="729">
        <v>18754</v>
      </c>
      <c r="J87" s="729">
        <v>20882</v>
      </c>
      <c r="K87" s="9">
        <v>54456</v>
      </c>
      <c r="L87" s="672">
        <v>116043</v>
      </c>
      <c r="M87" s="780">
        <v>9903</v>
      </c>
      <c r="N87" s="780">
        <v>52147</v>
      </c>
      <c r="O87" s="672">
        <v>134098</v>
      </c>
      <c r="P87" s="232">
        <f t="shared" si="3"/>
        <v>2.1836717362843698E-2</v>
      </c>
      <c r="Q87" s="232">
        <f t="shared" si="4"/>
        <v>2.1888070412761664E-2</v>
      </c>
      <c r="R87" s="673">
        <v>856813.76413453196</v>
      </c>
      <c r="S87" s="780">
        <v>10659</v>
      </c>
      <c r="T87" s="780">
        <v>18162</v>
      </c>
      <c r="U87" s="781" t="s">
        <v>1245</v>
      </c>
      <c r="V87" s="780">
        <v>19448</v>
      </c>
      <c r="W87" s="781" t="s">
        <v>1245</v>
      </c>
      <c r="X87" s="781" t="s">
        <v>1245</v>
      </c>
      <c r="Y87" s="781" t="s">
        <v>1245</v>
      </c>
    </row>
    <row r="88" spans="1:25">
      <c r="A88" s="9">
        <v>9310</v>
      </c>
      <c r="B88" s="9" t="s">
        <v>54</v>
      </c>
      <c r="C88" s="729">
        <v>101261</v>
      </c>
      <c r="D88" s="9">
        <v>8624</v>
      </c>
      <c r="E88" s="729">
        <v>13238</v>
      </c>
      <c r="F88" s="729">
        <v>8495</v>
      </c>
      <c r="G88" s="729">
        <v>113442</v>
      </c>
      <c r="H88" s="729">
        <v>14896</v>
      </c>
      <c r="I88" s="729">
        <v>13643</v>
      </c>
      <c r="J88" s="729">
        <v>15374</v>
      </c>
      <c r="K88" s="9">
        <v>42414</v>
      </c>
      <c r="L88" s="672">
        <v>94449</v>
      </c>
      <c r="M88" s="780">
        <v>8486</v>
      </c>
      <c r="N88" s="780">
        <v>41259</v>
      </c>
      <c r="O88" s="672">
        <v>106225</v>
      </c>
      <c r="P88" s="232">
        <f t="shared" si="3"/>
        <v>2.3179860573768734E-2</v>
      </c>
      <c r="Q88" s="232">
        <f t="shared" si="4"/>
        <v>2.3889019323759392E-2</v>
      </c>
      <c r="R88" s="673">
        <v>571099.20734297496</v>
      </c>
      <c r="S88" s="780">
        <v>8624</v>
      </c>
      <c r="T88" s="780">
        <v>14289</v>
      </c>
      <c r="U88" s="781" t="s">
        <v>1245</v>
      </c>
      <c r="V88" s="780">
        <v>16283</v>
      </c>
      <c r="W88" s="781" t="s">
        <v>1245</v>
      </c>
      <c r="X88" s="781" t="s">
        <v>1245</v>
      </c>
      <c r="Y88" s="781" t="s">
        <v>1245</v>
      </c>
    </row>
    <row r="89" spans="1:25">
      <c r="A89" s="9">
        <v>9111</v>
      </c>
      <c r="B89" s="9" t="s">
        <v>15</v>
      </c>
      <c r="C89" s="729">
        <v>58183</v>
      </c>
      <c r="D89" s="9">
        <v>5399</v>
      </c>
      <c r="E89" s="729">
        <v>8584</v>
      </c>
      <c r="F89" s="729">
        <v>5746</v>
      </c>
      <c r="G89" s="729">
        <v>65229</v>
      </c>
      <c r="H89" s="729">
        <v>9504</v>
      </c>
      <c r="I89" s="729">
        <v>8806</v>
      </c>
      <c r="J89" s="729">
        <v>9791</v>
      </c>
      <c r="K89" s="9">
        <v>26526</v>
      </c>
      <c r="L89" s="672">
        <v>52960</v>
      </c>
      <c r="M89" s="780">
        <v>5046</v>
      </c>
      <c r="N89" s="780">
        <v>23898</v>
      </c>
      <c r="O89" s="672">
        <v>59794</v>
      </c>
      <c r="P89" s="232">
        <f t="shared" si="3"/>
        <v>2.8250647490248703E-2</v>
      </c>
      <c r="Q89" s="232">
        <f t="shared" si="4"/>
        <v>2.8981267683962031E-2</v>
      </c>
      <c r="R89" s="673">
        <v>303851.44280190201</v>
      </c>
      <c r="S89" s="780">
        <v>5399</v>
      </c>
      <c r="T89" s="780">
        <v>8903</v>
      </c>
      <c r="U89" s="781" t="s">
        <v>1245</v>
      </c>
      <c r="V89" s="780">
        <v>10261</v>
      </c>
      <c r="W89" s="781" t="s">
        <v>1245</v>
      </c>
      <c r="X89" s="781" t="s">
        <v>1245</v>
      </c>
      <c r="Y89" s="781" t="s">
        <v>1245</v>
      </c>
    </row>
    <row r="90" spans="1:25">
      <c r="A90" s="9">
        <v>5203</v>
      </c>
      <c r="B90" s="9" t="s">
        <v>17</v>
      </c>
      <c r="C90" s="729">
        <v>59894</v>
      </c>
      <c r="D90" s="9">
        <v>5060</v>
      </c>
      <c r="E90" s="729">
        <v>7937</v>
      </c>
      <c r="F90" s="729">
        <v>5506</v>
      </c>
      <c r="G90" s="729">
        <v>69659</v>
      </c>
      <c r="H90" s="729">
        <v>9141</v>
      </c>
      <c r="I90" s="729">
        <v>8359</v>
      </c>
      <c r="J90" s="729">
        <v>9460</v>
      </c>
      <c r="K90" s="9">
        <v>25072</v>
      </c>
      <c r="L90" s="672">
        <v>54805</v>
      </c>
      <c r="M90" s="780">
        <v>4802</v>
      </c>
      <c r="N90" s="780">
        <v>23464</v>
      </c>
      <c r="O90" s="672">
        <v>64156</v>
      </c>
      <c r="P90" s="232">
        <f t="shared" si="3"/>
        <v>1.5431622887787161E-2</v>
      </c>
      <c r="Q90" s="232">
        <f t="shared" si="4"/>
        <v>1.6252102270254868E-2</v>
      </c>
      <c r="R90" s="673">
        <v>514333.46043477202</v>
      </c>
      <c r="S90" s="780">
        <v>5060</v>
      </c>
      <c r="T90" s="780">
        <v>7628</v>
      </c>
      <c r="U90" s="781" t="s">
        <v>1245</v>
      </c>
      <c r="V90" s="780">
        <v>8528</v>
      </c>
      <c r="W90" s="781" t="s">
        <v>1245</v>
      </c>
      <c r="X90" s="781" t="s">
        <v>1245</v>
      </c>
      <c r="Y90" s="781" t="s">
        <v>1245</v>
      </c>
    </row>
    <row r="91" spans="1:25">
      <c r="A91" s="9">
        <v>9307</v>
      </c>
      <c r="B91" s="9" t="s">
        <v>19</v>
      </c>
      <c r="C91" s="729">
        <v>65611</v>
      </c>
      <c r="D91" s="9">
        <v>5595</v>
      </c>
      <c r="E91" s="729">
        <v>8733</v>
      </c>
      <c r="F91" s="729">
        <v>5882</v>
      </c>
      <c r="G91" s="729">
        <v>72960</v>
      </c>
      <c r="H91" s="729">
        <v>9964</v>
      </c>
      <c r="I91" s="729">
        <v>8840</v>
      </c>
      <c r="J91" s="729">
        <v>9925</v>
      </c>
      <c r="K91" s="9">
        <v>27403</v>
      </c>
      <c r="L91" s="672">
        <v>61149</v>
      </c>
      <c r="M91" s="780">
        <v>5562</v>
      </c>
      <c r="N91" s="780">
        <v>26701</v>
      </c>
      <c r="O91" s="672">
        <v>68404</v>
      </c>
      <c r="P91" s="232">
        <f t="shared" si="3"/>
        <v>3.1406071051205159E-2</v>
      </c>
      <c r="Q91" s="232">
        <f t="shared" si="4"/>
        <v>3.179087004381697E-2</v>
      </c>
      <c r="R91" s="673">
        <v>278067.25603344402</v>
      </c>
      <c r="S91" s="780">
        <v>5595</v>
      </c>
      <c r="T91" s="780">
        <v>9429</v>
      </c>
      <c r="U91" s="781" t="s">
        <v>1245</v>
      </c>
      <c r="V91" s="780">
        <v>10897</v>
      </c>
      <c r="W91" s="781" t="s">
        <v>1245</v>
      </c>
      <c r="X91" s="781" t="s">
        <v>1245</v>
      </c>
      <c r="Y91" s="781" t="s">
        <v>1245</v>
      </c>
    </row>
    <row r="92" spans="1:25">
      <c r="A92" s="9">
        <v>5312</v>
      </c>
      <c r="B92" s="9" t="s">
        <v>21</v>
      </c>
      <c r="C92" s="729">
        <v>40187</v>
      </c>
      <c r="D92" s="9">
        <v>3394</v>
      </c>
      <c r="E92" s="729">
        <v>4895</v>
      </c>
      <c r="F92" s="729">
        <v>3301</v>
      </c>
      <c r="G92" s="729">
        <v>47013</v>
      </c>
      <c r="H92" s="729">
        <v>5566</v>
      </c>
      <c r="I92" s="729">
        <v>5375</v>
      </c>
      <c r="J92" s="729">
        <v>6008</v>
      </c>
      <c r="K92" s="9">
        <v>16774</v>
      </c>
      <c r="L92" s="672">
        <v>37286</v>
      </c>
      <c r="M92" s="780">
        <v>3103</v>
      </c>
      <c r="N92" s="780">
        <v>15471</v>
      </c>
      <c r="O92" s="672">
        <v>43994</v>
      </c>
      <c r="P92" s="232">
        <f t="shared" si="3"/>
        <v>1.2783136539721159E-2</v>
      </c>
      <c r="Q92" s="232">
        <f t="shared" si="4"/>
        <v>1.4036641246374102E-2</v>
      </c>
      <c r="R92" s="673">
        <v>382926.364338652</v>
      </c>
      <c r="S92" s="780">
        <v>3394</v>
      </c>
      <c r="T92" s="780">
        <v>5018</v>
      </c>
      <c r="U92" s="781" t="s">
        <v>1245</v>
      </c>
      <c r="V92" s="780">
        <v>5728</v>
      </c>
      <c r="W92" s="781" t="s">
        <v>1245</v>
      </c>
      <c r="X92" s="781" t="s">
        <v>1245</v>
      </c>
      <c r="Y92" s="781" t="s">
        <v>1245</v>
      </c>
    </row>
    <row r="93" spans="1:25">
      <c r="A93" s="9">
        <v>2307</v>
      </c>
      <c r="B93" s="9" t="s">
        <v>23</v>
      </c>
      <c r="C93" s="729">
        <v>37702</v>
      </c>
      <c r="D93" s="9">
        <v>3116</v>
      </c>
      <c r="E93" s="729">
        <v>4501</v>
      </c>
      <c r="F93" s="729">
        <v>3084</v>
      </c>
      <c r="G93" s="729">
        <v>44222</v>
      </c>
      <c r="H93" s="729">
        <v>5096</v>
      </c>
      <c r="I93" s="729">
        <v>5079</v>
      </c>
      <c r="J93" s="729">
        <v>5666</v>
      </c>
      <c r="K93" s="9">
        <v>15137</v>
      </c>
      <c r="L93" s="672">
        <v>34721</v>
      </c>
      <c r="M93" s="780">
        <v>2945</v>
      </c>
      <c r="N93" s="780">
        <v>14612</v>
      </c>
      <c r="O93" s="672">
        <v>41155</v>
      </c>
      <c r="P93" s="232">
        <f t="shared" si="3"/>
        <v>1.1544810375280547E-2</v>
      </c>
      <c r="Q93" s="232">
        <f t="shared" si="4"/>
        <v>1.3027347677416106E-2</v>
      </c>
      <c r="R93" s="673">
        <v>389872.14633143099</v>
      </c>
      <c r="S93" s="780">
        <v>3116</v>
      </c>
      <c r="T93" s="780">
        <v>5098</v>
      </c>
      <c r="U93" s="781" t="s">
        <v>1245</v>
      </c>
      <c r="V93" s="780">
        <v>5643</v>
      </c>
      <c r="W93" s="781" t="s">
        <v>1245</v>
      </c>
      <c r="X93" s="781" t="s">
        <v>1245</v>
      </c>
      <c r="Y93" s="781" t="s">
        <v>1245</v>
      </c>
    </row>
    <row r="94" spans="1:25">
      <c r="A94" s="9">
        <v>4205</v>
      </c>
      <c r="B94" s="9" t="s">
        <v>25</v>
      </c>
      <c r="C94" s="729">
        <v>37599</v>
      </c>
      <c r="D94" s="9">
        <v>3162</v>
      </c>
      <c r="E94" s="729">
        <v>4451</v>
      </c>
      <c r="F94" s="729">
        <v>2839</v>
      </c>
      <c r="G94" s="729">
        <v>43146</v>
      </c>
      <c r="H94" s="729">
        <v>5048</v>
      </c>
      <c r="I94" s="729">
        <v>4929</v>
      </c>
      <c r="J94" s="729">
        <v>5489</v>
      </c>
      <c r="K94" s="9">
        <v>15510</v>
      </c>
      <c r="L94" s="672">
        <v>35111</v>
      </c>
      <c r="M94" s="780">
        <v>2913</v>
      </c>
      <c r="N94" s="780">
        <v>14327</v>
      </c>
      <c r="O94" s="672">
        <v>40518</v>
      </c>
      <c r="P94" s="232">
        <f t="shared" si="3"/>
        <v>1.5945071901145545E-2</v>
      </c>
      <c r="Q94" s="232">
        <f t="shared" si="4"/>
        <v>1.7657438643169265E-2</v>
      </c>
      <c r="R94" s="673">
        <v>279145.80928796099</v>
      </c>
      <c r="S94" s="780">
        <v>3162</v>
      </c>
      <c r="T94" s="780">
        <v>4790</v>
      </c>
      <c r="U94" s="781" t="s">
        <v>1245</v>
      </c>
      <c r="V94" s="780">
        <v>5376</v>
      </c>
      <c r="W94" s="781" t="s">
        <v>1245</v>
      </c>
      <c r="X94" s="781" t="s">
        <v>1245</v>
      </c>
      <c r="Y94" s="781" t="s">
        <v>1245</v>
      </c>
    </row>
    <row r="95" spans="1:25">
      <c r="A95" s="9">
        <v>9315</v>
      </c>
      <c r="B95" s="9" t="s">
        <v>55</v>
      </c>
      <c r="C95" s="729">
        <v>48220</v>
      </c>
      <c r="D95" s="9">
        <v>4016</v>
      </c>
      <c r="E95" s="729">
        <v>6226</v>
      </c>
      <c r="F95" s="729">
        <v>4455</v>
      </c>
      <c r="G95" s="729">
        <v>54432</v>
      </c>
      <c r="H95" s="729">
        <v>7046</v>
      </c>
      <c r="I95" s="729">
        <v>6705</v>
      </c>
      <c r="J95" s="729">
        <v>7574</v>
      </c>
      <c r="K95" s="9">
        <v>20113</v>
      </c>
      <c r="L95" s="672">
        <v>44610</v>
      </c>
      <c r="M95" s="780">
        <v>4198</v>
      </c>
      <c r="N95" s="780">
        <v>19612</v>
      </c>
      <c r="O95" s="672">
        <v>50790</v>
      </c>
      <c r="P95" s="232">
        <f t="shared" si="3"/>
        <v>2.392310249435365E-2</v>
      </c>
      <c r="Q95" s="232">
        <f t="shared" si="4"/>
        <v>2.5763636720951048E-2</v>
      </c>
      <c r="R95" s="673">
        <v>260250.52567782399</v>
      </c>
      <c r="S95" s="780">
        <v>4016</v>
      </c>
      <c r="T95" s="780">
        <v>7470</v>
      </c>
      <c r="U95" s="781" t="s">
        <v>1245</v>
      </c>
      <c r="V95" s="780">
        <v>7970</v>
      </c>
      <c r="W95" s="781" t="s">
        <v>1245</v>
      </c>
      <c r="X95" s="781" t="s">
        <v>1245</v>
      </c>
      <c r="Y95" s="781" t="s">
        <v>1245</v>
      </c>
    </row>
    <row r="96" spans="1:25">
      <c r="A96" s="9">
        <v>61</v>
      </c>
      <c r="B96" s="9" t="s">
        <v>27</v>
      </c>
      <c r="C96" s="729">
        <v>93708</v>
      </c>
      <c r="D96" s="9">
        <v>8292</v>
      </c>
      <c r="E96" s="729">
        <v>12948</v>
      </c>
      <c r="F96" s="729">
        <v>9064</v>
      </c>
      <c r="G96" s="729">
        <v>107290</v>
      </c>
      <c r="H96" s="729">
        <v>14500</v>
      </c>
      <c r="I96" s="729">
        <v>13772</v>
      </c>
      <c r="J96" s="729">
        <v>15367</v>
      </c>
      <c r="K96" s="9">
        <v>40857</v>
      </c>
      <c r="L96" s="672">
        <v>86172</v>
      </c>
      <c r="M96" s="780">
        <v>7811</v>
      </c>
      <c r="N96" s="780">
        <v>38439</v>
      </c>
      <c r="O96" s="672">
        <v>99618</v>
      </c>
      <c r="P96" s="232">
        <f t="shared" si="3"/>
        <v>1.8193037476024184E-2</v>
      </c>
      <c r="Q96" s="232">
        <f t="shared" si="4"/>
        <v>1.9350827318489732E-2</v>
      </c>
      <c r="R96" s="673">
        <v>711700.83704074204</v>
      </c>
      <c r="S96" s="780">
        <v>8292</v>
      </c>
      <c r="T96" s="780">
        <v>13761</v>
      </c>
      <c r="U96" s="781" t="s">
        <v>1245</v>
      </c>
      <c r="V96" s="780">
        <v>15848</v>
      </c>
      <c r="W96" s="781" t="s">
        <v>1245</v>
      </c>
      <c r="X96" s="781" t="s">
        <v>1245</v>
      </c>
      <c r="Y96" s="781" t="s">
        <v>1245</v>
      </c>
    </row>
    <row r="97" spans="1:25">
      <c r="A97" s="9">
        <v>2</v>
      </c>
      <c r="B97" s="9" t="s">
        <v>29</v>
      </c>
      <c r="C97" s="729">
        <v>155116</v>
      </c>
      <c r="D97" s="9">
        <v>13208</v>
      </c>
      <c r="E97" s="729">
        <v>22451</v>
      </c>
      <c r="F97" s="729">
        <v>15033</v>
      </c>
      <c r="G97" s="729">
        <v>177011</v>
      </c>
      <c r="H97" s="729">
        <v>24984</v>
      </c>
      <c r="I97" s="729">
        <v>22684</v>
      </c>
      <c r="J97" s="729">
        <v>25246</v>
      </c>
      <c r="K97" s="9">
        <v>66646</v>
      </c>
      <c r="L97" s="672">
        <v>142061</v>
      </c>
      <c r="M97" s="780">
        <v>12231</v>
      </c>
      <c r="N97" s="780">
        <v>63934</v>
      </c>
      <c r="O97" s="672">
        <v>163482</v>
      </c>
      <c r="P97" s="232">
        <f t="shared" si="3"/>
        <v>2.0742956578796486E-2</v>
      </c>
      <c r="Q97" s="232">
        <f t="shared" si="4"/>
        <v>2.0958230236221974E-2</v>
      </c>
      <c r="R97" s="673">
        <v>1082343.2963721999</v>
      </c>
      <c r="S97" s="780">
        <v>13208</v>
      </c>
      <c r="T97" s="780">
        <v>22055</v>
      </c>
      <c r="U97" s="781" t="s">
        <v>1245</v>
      </c>
      <c r="V97" s="780">
        <v>24057</v>
      </c>
      <c r="W97" s="781" t="s">
        <v>1245</v>
      </c>
      <c r="X97" s="781" t="s">
        <v>1245</v>
      </c>
      <c r="Y97" s="781" t="s">
        <v>1245</v>
      </c>
    </row>
    <row r="98" spans="1:25">
      <c r="A98" s="9">
        <v>3</v>
      </c>
      <c r="B98" s="9" t="s">
        <v>485</v>
      </c>
      <c r="C98" s="729">
        <v>135357</v>
      </c>
      <c r="D98" s="9">
        <v>11774</v>
      </c>
      <c r="E98" s="729">
        <v>17546</v>
      </c>
      <c r="F98" s="729">
        <v>11275</v>
      </c>
      <c r="G98" s="729">
        <v>152529</v>
      </c>
      <c r="H98" s="729">
        <v>19812</v>
      </c>
      <c r="I98" s="729">
        <v>18179</v>
      </c>
      <c r="J98" s="729">
        <v>20555</v>
      </c>
      <c r="K98" s="9">
        <v>57153</v>
      </c>
      <c r="L98" s="672">
        <v>126090</v>
      </c>
      <c r="M98" s="780">
        <v>11402</v>
      </c>
      <c r="N98" s="780">
        <v>55364</v>
      </c>
      <c r="O98" s="672">
        <v>142745</v>
      </c>
      <c r="P98" s="232">
        <f t="shared" si="3"/>
        <v>2.2786073676616378E-2</v>
      </c>
      <c r="Q98" s="232">
        <f t="shared" si="4"/>
        <v>2.360811771157011E-2</v>
      </c>
      <c r="R98" s="673">
        <v>770031.74171275203</v>
      </c>
      <c r="S98" s="780">
        <v>11774</v>
      </c>
      <c r="T98" s="780">
        <v>19120</v>
      </c>
      <c r="U98" s="781" t="s">
        <v>1245</v>
      </c>
      <c r="V98" s="780">
        <v>21946</v>
      </c>
      <c r="W98" s="781" t="s">
        <v>1245</v>
      </c>
      <c r="X98" s="781" t="s">
        <v>1245</v>
      </c>
      <c r="Y98" s="781" t="s">
        <v>1245</v>
      </c>
    </row>
    <row r="99" spans="1:25">
      <c r="A99" s="9">
        <v>4</v>
      </c>
      <c r="B99" s="9" t="s">
        <v>32</v>
      </c>
      <c r="C99" s="729">
        <v>84934</v>
      </c>
      <c r="D99" s="9">
        <v>7567</v>
      </c>
      <c r="E99" s="729">
        <v>11958</v>
      </c>
      <c r="F99" s="729">
        <v>8335</v>
      </c>
      <c r="G99" s="729">
        <v>97196</v>
      </c>
      <c r="H99" s="729">
        <v>13348</v>
      </c>
      <c r="I99" s="729">
        <v>12733</v>
      </c>
      <c r="J99" s="729">
        <v>14154</v>
      </c>
      <c r="K99" s="9">
        <v>37331</v>
      </c>
      <c r="L99" s="672">
        <v>78032</v>
      </c>
      <c r="M99" s="780">
        <v>7076</v>
      </c>
      <c r="N99" s="780">
        <v>35081</v>
      </c>
      <c r="O99" s="672">
        <v>90181</v>
      </c>
      <c r="P99" s="232">
        <f t="shared" si="3"/>
        <v>1.8337395292341629E-2</v>
      </c>
      <c r="Q99" s="232">
        <f t="shared" si="4"/>
        <v>1.9525844978874895E-2</v>
      </c>
      <c r="R99" s="673">
        <v>652110.06303573004</v>
      </c>
      <c r="S99" s="780">
        <v>7567</v>
      </c>
      <c r="T99" s="780">
        <v>12662</v>
      </c>
      <c r="U99" s="781" t="s">
        <v>1245</v>
      </c>
      <c r="V99" s="780">
        <v>14537</v>
      </c>
      <c r="W99" s="781" t="s">
        <v>1245</v>
      </c>
      <c r="X99" s="781" t="s">
        <v>1245</v>
      </c>
      <c r="Y99" s="781" t="s">
        <v>1245</v>
      </c>
    </row>
    <row r="100" spans="1:25">
      <c r="A100" s="9">
        <v>5</v>
      </c>
      <c r="B100" s="9" t="s">
        <v>34</v>
      </c>
      <c r="C100" s="729">
        <v>67035</v>
      </c>
      <c r="D100" s="9">
        <v>5923</v>
      </c>
      <c r="E100" s="729">
        <v>9183</v>
      </c>
      <c r="F100" s="729">
        <v>6024</v>
      </c>
      <c r="G100" s="729">
        <v>77231</v>
      </c>
      <c r="H100" s="729">
        <v>10200</v>
      </c>
      <c r="I100" s="729">
        <v>9451</v>
      </c>
      <c r="J100" s="729">
        <v>10574</v>
      </c>
      <c r="K100" s="9">
        <v>29030</v>
      </c>
      <c r="L100" s="672">
        <v>62281</v>
      </c>
      <c r="M100" s="780">
        <v>5317</v>
      </c>
      <c r="N100" s="780">
        <v>26594</v>
      </c>
      <c r="O100" s="672">
        <v>72328</v>
      </c>
      <c r="P100" s="232">
        <f t="shared" si="3"/>
        <v>1.6674798934661495E-2</v>
      </c>
      <c r="Q100" s="232">
        <f t="shared" si="4"/>
        <v>1.7161442309864511E-2</v>
      </c>
      <c r="R100" s="673">
        <v>550711.28809304698</v>
      </c>
      <c r="S100" s="780">
        <v>5923</v>
      </c>
      <c r="T100" s="780">
        <v>9598</v>
      </c>
      <c r="U100" s="781" t="s">
        <v>1245</v>
      </c>
      <c r="V100" s="780">
        <v>10026</v>
      </c>
      <c r="W100" s="781" t="s">
        <v>1245</v>
      </c>
      <c r="X100" s="781" t="s">
        <v>1245</v>
      </c>
      <c r="Y100" s="781" t="s">
        <v>1245</v>
      </c>
    </row>
    <row r="101" spans="1:25">
      <c r="A101" s="9">
        <v>6</v>
      </c>
      <c r="B101" s="9" t="s">
        <v>61</v>
      </c>
      <c r="C101" s="729">
        <v>84227</v>
      </c>
      <c r="D101" s="9">
        <v>7361</v>
      </c>
      <c r="E101" s="729">
        <v>13601</v>
      </c>
      <c r="F101" s="729">
        <v>9707</v>
      </c>
      <c r="G101" s="729">
        <v>96406</v>
      </c>
      <c r="H101" s="729">
        <v>15357</v>
      </c>
      <c r="I101" s="729">
        <v>13600</v>
      </c>
      <c r="J101" s="729">
        <v>15310</v>
      </c>
      <c r="K101" s="9">
        <v>37359</v>
      </c>
      <c r="L101" s="672">
        <v>76781</v>
      </c>
      <c r="M101" s="780">
        <v>6632</v>
      </c>
      <c r="N101" s="780">
        <v>33323</v>
      </c>
      <c r="O101" s="672">
        <v>88592</v>
      </c>
      <c r="P101" s="232">
        <f t="shared" si="3"/>
        <v>2.3700017167525681E-2</v>
      </c>
      <c r="Q101" s="232">
        <f t="shared" si="4"/>
        <v>2.3698274647331024E-2</v>
      </c>
      <c r="R101" s="673">
        <v>573881.44083863404</v>
      </c>
      <c r="S101" s="780">
        <v>7361</v>
      </c>
      <c r="T101" s="780">
        <v>12255</v>
      </c>
      <c r="U101" s="781" t="s">
        <v>1245</v>
      </c>
      <c r="V101" s="780">
        <v>12922</v>
      </c>
      <c r="W101" s="781" t="s">
        <v>1245</v>
      </c>
      <c r="X101" s="781" t="s">
        <v>1245</v>
      </c>
      <c r="Y101" s="781" t="s">
        <v>1245</v>
      </c>
    </row>
    <row r="102" spans="1:25">
      <c r="A102" s="9">
        <v>7</v>
      </c>
      <c r="B102" s="9" t="s">
        <v>37</v>
      </c>
      <c r="C102" s="729">
        <v>111844</v>
      </c>
      <c r="D102" s="9">
        <v>9548</v>
      </c>
      <c r="E102" s="729">
        <v>14341</v>
      </c>
      <c r="F102" s="729">
        <v>9638</v>
      </c>
      <c r="G102" s="729">
        <v>124633</v>
      </c>
      <c r="H102" s="729">
        <v>16397</v>
      </c>
      <c r="I102" s="729">
        <v>14795</v>
      </c>
      <c r="J102" s="729">
        <v>16654</v>
      </c>
      <c r="K102" s="9">
        <v>46632</v>
      </c>
      <c r="L102" s="672">
        <v>103943</v>
      </c>
      <c r="M102" s="780">
        <v>9778</v>
      </c>
      <c r="N102" s="780">
        <v>45666</v>
      </c>
      <c r="O102" s="672">
        <v>116594</v>
      </c>
      <c r="P102" s="232">
        <f t="shared" si="3"/>
        <v>3.1588868419493855E-2</v>
      </c>
      <c r="Q102" s="232">
        <f t="shared" si="4"/>
        <v>3.2588892564424495E-2</v>
      </c>
      <c r="R102" s="673">
        <v>453989.03846615797</v>
      </c>
      <c r="S102" s="780">
        <v>9548</v>
      </c>
      <c r="T102" s="780">
        <v>16076</v>
      </c>
      <c r="U102" s="781" t="s">
        <v>1245</v>
      </c>
      <c r="V102" s="780">
        <v>18322</v>
      </c>
      <c r="W102" s="781" t="s">
        <v>1245</v>
      </c>
      <c r="X102" s="781" t="s">
        <v>1245</v>
      </c>
      <c r="Y102" s="781" t="s">
        <v>1245</v>
      </c>
    </row>
    <row r="103" spans="1:25">
      <c r="A103" s="9">
        <v>8</v>
      </c>
      <c r="B103" s="9" t="s">
        <v>39</v>
      </c>
      <c r="C103" s="729">
        <v>53557</v>
      </c>
      <c r="D103" s="9">
        <v>4505</v>
      </c>
      <c r="E103" s="729">
        <v>7285</v>
      </c>
      <c r="F103" s="729">
        <v>5049</v>
      </c>
      <c r="G103" s="729">
        <v>62155</v>
      </c>
      <c r="H103" s="729">
        <v>8383</v>
      </c>
      <c r="I103" s="729">
        <v>7609</v>
      </c>
      <c r="J103" s="729">
        <v>8597</v>
      </c>
      <c r="K103" s="9">
        <v>22415</v>
      </c>
      <c r="L103" s="672">
        <v>48719</v>
      </c>
      <c r="M103" s="780">
        <v>4300</v>
      </c>
      <c r="N103" s="780">
        <v>20919</v>
      </c>
      <c r="O103" s="672">
        <v>57155</v>
      </c>
      <c r="P103" s="232">
        <f t="shared" si="3"/>
        <v>1.6283168970678396E-2</v>
      </c>
      <c r="Q103" s="232">
        <f t="shared" si="4"/>
        <v>1.7007362072462857E-2</v>
      </c>
      <c r="R103" s="673">
        <v>447394.48525765003</v>
      </c>
      <c r="S103" s="780">
        <v>4505</v>
      </c>
      <c r="T103" s="780">
        <v>6857</v>
      </c>
      <c r="U103" s="781" t="s">
        <v>1245</v>
      </c>
      <c r="V103" s="780">
        <v>7643</v>
      </c>
      <c r="W103" s="781" t="s">
        <v>1245</v>
      </c>
      <c r="X103" s="781" t="s">
        <v>1245</v>
      </c>
      <c r="Y103" s="781" t="s">
        <v>1245</v>
      </c>
    </row>
    <row r="104" spans="1:25">
      <c r="A104" s="9">
        <v>9</v>
      </c>
      <c r="B104" s="9" t="s">
        <v>41</v>
      </c>
      <c r="C104" s="729">
        <v>48243</v>
      </c>
      <c r="D104" s="9">
        <v>4014</v>
      </c>
      <c r="E104" s="729">
        <v>5450</v>
      </c>
      <c r="F104" s="729">
        <v>3481</v>
      </c>
      <c r="G104" s="729">
        <v>54872</v>
      </c>
      <c r="H104" s="729">
        <v>6170</v>
      </c>
      <c r="I104" s="729">
        <v>6189</v>
      </c>
      <c r="J104" s="729">
        <v>6892</v>
      </c>
      <c r="K104" s="9">
        <v>19820</v>
      </c>
      <c r="L104" s="672">
        <v>45111</v>
      </c>
      <c r="M104" s="780">
        <v>3735</v>
      </c>
      <c r="N104" s="780">
        <v>18240</v>
      </c>
      <c r="O104" s="672">
        <v>51564</v>
      </c>
      <c r="P104" s="232">
        <f t="shared" si="3"/>
        <v>1.4452467562705587E-2</v>
      </c>
      <c r="Q104" s="232">
        <f t="shared" si="4"/>
        <v>1.6412169127630254E-2</v>
      </c>
      <c r="R104" s="673">
        <v>377098.23435713199</v>
      </c>
      <c r="S104" s="780">
        <v>4014</v>
      </c>
      <c r="T104" s="780">
        <v>6043</v>
      </c>
      <c r="U104" s="781" t="s">
        <v>1245</v>
      </c>
      <c r="V104" s="780">
        <v>6797</v>
      </c>
      <c r="W104" s="781" t="s">
        <v>1245</v>
      </c>
      <c r="X104" s="781" t="s">
        <v>1245</v>
      </c>
      <c r="Y104" s="781" t="s">
        <v>1245</v>
      </c>
    </row>
    <row r="105" spans="1:25">
      <c r="A105" s="9">
        <v>10</v>
      </c>
      <c r="B105" s="9" t="s">
        <v>43</v>
      </c>
      <c r="C105" s="729">
        <v>43347</v>
      </c>
      <c r="D105" s="9">
        <v>3672</v>
      </c>
      <c r="E105" s="729">
        <v>5572</v>
      </c>
      <c r="F105" s="729">
        <v>3895</v>
      </c>
      <c r="G105" s="729">
        <v>49158</v>
      </c>
      <c r="H105" s="729">
        <v>6221</v>
      </c>
      <c r="I105" s="729">
        <v>6237</v>
      </c>
      <c r="J105" s="729">
        <v>6907</v>
      </c>
      <c r="K105" s="9">
        <v>17746</v>
      </c>
      <c r="L105" s="672">
        <v>39822</v>
      </c>
      <c r="M105" s="780">
        <v>3331</v>
      </c>
      <c r="N105" s="780">
        <v>16941</v>
      </c>
      <c r="O105" s="672">
        <v>45509</v>
      </c>
      <c r="P105" s="232">
        <f t="shared" si="3"/>
        <v>1.7024168993073276E-2</v>
      </c>
      <c r="Q105" s="232">
        <f t="shared" si="4"/>
        <v>1.9055947955814431E-2</v>
      </c>
      <c r="R105" s="673">
        <v>327299.38255823898</v>
      </c>
      <c r="S105" s="780">
        <v>3672</v>
      </c>
      <c r="T105" s="780">
        <v>5714</v>
      </c>
      <c r="U105" s="781" t="s">
        <v>1245</v>
      </c>
      <c r="V105" s="780">
        <v>6743</v>
      </c>
      <c r="W105" s="781" t="s">
        <v>1245</v>
      </c>
      <c r="X105" s="781" t="s">
        <v>1245</v>
      </c>
      <c r="Y105" s="781" t="s">
        <v>1245</v>
      </c>
    </row>
    <row r="106" spans="1:25">
      <c r="A106" s="9">
        <v>11</v>
      </c>
      <c r="B106" s="9" t="s">
        <v>45</v>
      </c>
      <c r="C106" s="729">
        <v>36145</v>
      </c>
      <c r="D106" s="9">
        <v>3086</v>
      </c>
      <c r="E106" s="729">
        <v>4483</v>
      </c>
      <c r="F106" s="729">
        <v>3002</v>
      </c>
      <c r="G106" s="729">
        <v>42375</v>
      </c>
      <c r="H106" s="729">
        <v>5086</v>
      </c>
      <c r="I106" s="729">
        <v>4876</v>
      </c>
      <c r="J106" s="729">
        <v>5467</v>
      </c>
      <c r="K106" s="9">
        <v>15212</v>
      </c>
      <c r="L106" s="672">
        <v>33525</v>
      </c>
      <c r="M106" s="780">
        <v>2774</v>
      </c>
      <c r="N106" s="780">
        <v>14012</v>
      </c>
      <c r="O106" s="672">
        <v>39643</v>
      </c>
      <c r="P106" s="232">
        <f t="shared" si="3"/>
        <v>1.3108335241346027E-2</v>
      </c>
      <c r="Q106" s="232">
        <f t="shared" si="4"/>
        <v>1.4257471032077454E-2</v>
      </c>
      <c r="R106" s="673">
        <v>341996.13585253898</v>
      </c>
      <c r="S106" s="780">
        <v>3086</v>
      </c>
      <c r="T106" s="780">
        <v>4578</v>
      </c>
      <c r="U106" s="781" t="s">
        <v>1245</v>
      </c>
      <c r="V106" s="780">
        <v>5238</v>
      </c>
      <c r="W106" s="781" t="s">
        <v>1245</v>
      </c>
      <c r="X106" s="781" t="s">
        <v>1245</v>
      </c>
      <c r="Y106" s="781" t="s">
        <v>1245</v>
      </c>
    </row>
    <row r="107" spans="1:25">
      <c r="A107" s="9">
        <v>12</v>
      </c>
      <c r="B107" s="9" t="s">
        <v>47</v>
      </c>
      <c r="C107" s="729">
        <v>30241</v>
      </c>
      <c r="D107" s="9">
        <v>2509</v>
      </c>
      <c r="E107" s="729">
        <v>3714</v>
      </c>
      <c r="F107" s="729">
        <v>2535</v>
      </c>
      <c r="G107" s="729">
        <v>35561</v>
      </c>
      <c r="H107" s="729">
        <v>4203</v>
      </c>
      <c r="I107" s="729">
        <v>4214</v>
      </c>
      <c r="J107" s="729">
        <v>4704</v>
      </c>
      <c r="K107" s="9">
        <v>12281</v>
      </c>
      <c r="L107" s="672">
        <v>27726</v>
      </c>
      <c r="M107" s="780">
        <v>2362</v>
      </c>
      <c r="N107" s="780">
        <v>11765</v>
      </c>
      <c r="O107" s="672">
        <v>33010</v>
      </c>
      <c r="P107" s="232">
        <f t="shared" si="3"/>
        <v>1.1967842375223053E-2</v>
      </c>
      <c r="Q107" s="232">
        <f t="shared" si="4"/>
        <v>1.3579022016475484E-2</v>
      </c>
      <c r="R107" s="673">
        <v>310331.62733569002</v>
      </c>
      <c r="S107" s="780">
        <v>2509</v>
      </c>
      <c r="T107" s="780">
        <v>4161</v>
      </c>
      <c r="U107" s="781" t="s">
        <v>1245</v>
      </c>
      <c r="V107" s="780">
        <v>4564</v>
      </c>
      <c r="W107" s="781" t="s">
        <v>1245</v>
      </c>
      <c r="X107" s="781" t="s">
        <v>1245</v>
      </c>
      <c r="Y107" s="781" t="s">
        <v>1245</v>
      </c>
    </row>
    <row r="108" spans="1:25">
      <c r="A108" s="9">
        <v>13</v>
      </c>
      <c r="B108" s="9" t="s">
        <v>63</v>
      </c>
      <c r="C108" s="729">
        <v>48442</v>
      </c>
      <c r="D108" s="9">
        <v>4055</v>
      </c>
      <c r="E108" s="729">
        <v>6357</v>
      </c>
      <c r="F108" s="729">
        <v>4507</v>
      </c>
      <c r="G108" s="729">
        <v>54459</v>
      </c>
      <c r="H108" s="729">
        <v>7179</v>
      </c>
      <c r="I108" s="729">
        <v>6740</v>
      </c>
      <c r="J108" s="729">
        <v>7618</v>
      </c>
      <c r="K108" s="9">
        <v>20348</v>
      </c>
      <c r="L108" s="672">
        <v>44765</v>
      </c>
      <c r="M108" s="780">
        <v>4238</v>
      </c>
      <c r="N108" s="780">
        <v>19802</v>
      </c>
      <c r="O108" s="672">
        <v>50705</v>
      </c>
      <c r="P108" s="232">
        <f t="shared" si="3"/>
        <v>2.4365693210847493E-2</v>
      </c>
      <c r="Q108" s="232">
        <f t="shared" si="4"/>
        <v>2.5833690772551848E-2</v>
      </c>
      <c r="R108" s="673">
        <v>260899.61590626501</v>
      </c>
      <c r="S108" s="780">
        <v>4055</v>
      </c>
      <c r="T108" s="780">
        <v>7404</v>
      </c>
      <c r="U108" s="781" t="s">
        <v>1245</v>
      </c>
      <c r="V108" s="780">
        <v>8097</v>
      </c>
      <c r="W108" s="781" t="s">
        <v>1245</v>
      </c>
      <c r="X108" s="781" t="s">
        <v>1245</v>
      </c>
      <c r="Y108" s="781" t="s">
        <v>1245</v>
      </c>
    </row>
    <row r="109" spans="1:25">
      <c r="A109" s="9">
        <v>14</v>
      </c>
      <c r="B109" s="9" t="s">
        <v>64</v>
      </c>
      <c r="C109" s="729">
        <v>17978</v>
      </c>
      <c r="D109" s="9">
        <v>1542</v>
      </c>
      <c r="E109" s="729">
        <v>2343</v>
      </c>
      <c r="F109" s="729">
        <v>1690</v>
      </c>
      <c r="G109" s="729">
        <v>21435</v>
      </c>
      <c r="H109" s="729">
        <v>2650</v>
      </c>
      <c r="I109" s="729">
        <v>2717</v>
      </c>
      <c r="J109" s="729">
        <v>3032</v>
      </c>
      <c r="K109" s="9">
        <v>7461</v>
      </c>
      <c r="L109" s="672">
        <v>16566</v>
      </c>
      <c r="M109" s="780">
        <v>1418</v>
      </c>
      <c r="N109" s="780">
        <v>6902</v>
      </c>
      <c r="O109" s="672">
        <v>20031</v>
      </c>
      <c r="P109" s="232">
        <f t="shared" si="3"/>
        <v>1.0127635603906891E-2</v>
      </c>
      <c r="Q109" s="232">
        <f t="shared" si="4"/>
        <v>1.1744253493732404E-2</v>
      </c>
      <c r="R109" s="673">
        <v>231347.18621749699</v>
      </c>
      <c r="S109" s="780">
        <v>1542</v>
      </c>
      <c r="T109" s="780">
        <v>2779</v>
      </c>
      <c r="U109" s="781" t="s">
        <v>1245</v>
      </c>
      <c r="V109" s="780">
        <v>3020</v>
      </c>
      <c r="W109" s="781" t="s">
        <v>1245</v>
      </c>
      <c r="X109" s="781" t="s">
        <v>1245</v>
      </c>
      <c r="Y109" s="781" t="s">
        <v>1245</v>
      </c>
    </row>
    <row r="110" spans="1:25">
      <c r="A110" s="9">
        <v>15</v>
      </c>
      <c r="B110" s="9" t="s">
        <v>49</v>
      </c>
      <c r="C110" s="729">
        <v>50759</v>
      </c>
      <c r="D110" s="9">
        <v>4738</v>
      </c>
      <c r="E110" s="729">
        <v>7591</v>
      </c>
      <c r="F110" s="729">
        <v>5059</v>
      </c>
      <c r="G110" s="729">
        <v>56803</v>
      </c>
      <c r="H110" s="729">
        <v>8362</v>
      </c>
      <c r="I110" s="729">
        <v>7737</v>
      </c>
      <c r="J110" s="729">
        <v>8553</v>
      </c>
      <c r="K110" s="9">
        <v>23230</v>
      </c>
      <c r="L110" s="672">
        <v>46194</v>
      </c>
      <c r="M110" s="780">
        <v>4355</v>
      </c>
      <c r="N110" s="780">
        <v>20738</v>
      </c>
      <c r="O110" s="672">
        <v>52037</v>
      </c>
      <c r="P110" s="232">
        <f t="shared" si="3"/>
        <v>2.7992560833031307E-2</v>
      </c>
      <c r="Q110" s="232">
        <f t="shared" si="4"/>
        <v>2.8530950225946941E-2</v>
      </c>
      <c r="R110" s="673">
        <v>271179.19097428903</v>
      </c>
      <c r="S110" s="780">
        <v>4738</v>
      </c>
      <c r="T110" s="780">
        <v>7693</v>
      </c>
      <c r="U110" s="781" t="s">
        <v>1245</v>
      </c>
      <c r="V110" s="780">
        <v>8922</v>
      </c>
      <c r="W110" s="781" t="s">
        <v>1245</v>
      </c>
      <c r="X110" s="781" t="s">
        <v>1245</v>
      </c>
      <c r="Y110" s="781" t="s">
        <v>1245</v>
      </c>
    </row>
    <row r="111" spans="1:25">
      <c r="A111" s="9">
        <v>16</v>
      </c>
      <c r="B111" s="9" t="s">
        <v>65</v>
      </c>
      <c r="C111" s="729">
        <v>42158</v>
      </c>
      <c r="D111" s="9">
        <v>3629</v>
      </c>
      <c r="E111" s="729">
        <v>5294</v>
      </c>
      <c r="F111" s="729">
        <v>3641</v>
      </c>
      <c r="G111" s="729">
        <v>48291</v>
      </c>
      <c r="H111" s="729">
        <v>6049</v>
      </c>
      <c r="I111" s="729">
        <v>5856</v>
      </c>
      <c r="J111" s="729">
        <v>6670</v>
      </c>
      <c r="K111" s="9">
        <v>17481</v>
      </c>
      <c r="L111" s="672">
        <v>38860</v>
      </c>
      <c r="M111" s="780">
        <v>3694</v>
      </c>
      <c r="N111" s="780">
        <v>16949</v>
      </c>
      <c r="O111" s="672">
        <v>44837</v>
      </c>
      <c r="P111" s="232">
        <f t="shared" si="3"/>
        <v>2.2507867289490113E-2</v>
      </c>
      <c r="Q111" s="232">
        <f t="shared" si="4"/>
        <v>2.4897255543493407E-2</v>
      </c>
      <c r="R111" s="673">
        <v>235206.647165189</v>
      </c>
      <c r="S111" s="780">
        <v>3629</v>
      </c>
      <c r="T111" s="780">
        <v>5897</v>
      </c>
      <c r="U111" s="781" t="s">
        <v>1245</v>
      </c>
      <c r="V111" s="780">
        <v>7073</v>
      </c>
      <c r="W111" s="781" t="s">
        <v>1245</v>
      </c>
      <c r="X111" s="781" t="s">
        <v>1245</v>
      </c>
      <c r="Y111" s="781" t="s">
        <v>1245</v>
      </c>
    </row>
    <row r="112" spans="1:25">
      <c r="A112" s="9">
        <v>6</v>
      </c>
      <c r="B112" s="9" t="s">
        <v>465</v>
      </c>
      <c r="C112" s="729">
        <v>119039</v>
      </c>
      <c r="D112" s="9">
        <v>10131</v>
      </c>
      <c r="E112" s="729">
        <v>15161</v>
      </c>
      <c r="F112" s="729">
        <v>10224</v>
      </c>
      <c r="G112" s="729">
        <v>132622</v>
      </c>
      <c r="H112" s="729">
        <v>17329</v>
      </c>
      <c r="I112" s="729">
        <v>15554</v>
      </c>
      <c r="J112" s="729">
        <v>17503</v>
      </c>
      <c r="K112" s="9">
        <v>49199</v>
      </c>
      <c r="L112" s="672">
        <v>110755</v>
      </c>
      <c r="M112" s="780">
        <v>10284</v>
      </c>
      <c r="N112" s="780">
        <v>48290</v>
      </c>
      <c r="O112" s="672">
        <v>124198</v>
      </c>
      <c r="P112" s="232">
        <f t="shared" si="3"/>
        <v>3.1009974726863548E-2</v>
      </c>
      <c r="Q112" s="232">
        <f t="shared" si="4"/>
        <v>3.1813808251542487E-2</v>
      </c>
      <c r="R112" s="673">
        <v>488907.20271584799</v>
      </c>
      <c r="S112" s="780">
        <v>10131</v>
      </c>
      <c r="T112" s="780">
        <v>16876</v>
      </c>
      <c r="U112" s="781" t="s">
        <v>1245</v>
      </c>
      <c r="V112" s="780">
        <v>19303</v>
      </c>
      <c r="W112" s="781" t="s">
        <v>1245</v>
      </c>
      <c r="X112" s="781" t="s">
        <v>1245</v>
      </c>
      <c r="Y112" s="781" t="s">
        <v>1245</v>
      </c>
    </row>
    <row r="113" spans="1:25">
      <c r="A113" s="9">
        <v>13</v>
      </c>
      <c r="B113" s="9" t="s">
        <v>466</v>
      </c>
      <c r="C113" s="729">
        <v>155836</v>
      </c>
      <c r="D113" s="9">
        <v>13482</v>
      </c>
      <c r="E113" s="729">
        <v>19990</v>
      </c>
      <c r="F113" s="729">
        <v>12932</v>
      </c>
      <c r="G113" s="729">
        <v>176168</v>
      </c>
      <c r="H113" s="729">
        <v>22627</v>
      </c>
      <c r="I113" s="729">
        <v>20818</v>
      </c>
      <c r="J113" s="729">
        <v>23609</v>
      </c>
      <c r="K113" s="9">
        <v>65333</v>
      </c>
      <c r="L113" s="672">
        <v>145149</v>
      </c>
      <c r="M113" s="780">
        <v>13041</v>
      </c>
      <c r="N113" s="780">
        <v>63308</v>
      </c>
      <c r="O113" s="672">
        <v>164883</v>
      </c>
      <c r="P113" s="232">
        <f t="shared" si="3"/>
        <v>2.2572668445193646E-2</v>
      </c>
      <c r="Q113" s="232">
        <f t="shared" si="4"/>
        <v>2.3507644406805469E-2</v>
      </c>
      <c r="R113" s="673">
        <v>885584.26526024798</v>
      </c>
      <c r="S113" s="780">
        <v>13482</v>
      </c>
      <c r="T113" s="780">
        <v>21789</v>
      </c>
      <c r="U113" s="781" t="s">
        <v>1245</v>
      </c>
      <c r="V113" s="780">
        <v>25115</v>
      </c>
      <c r="W113" s="781" t="s">
        <v>1245</v>
      </c>
      <c r="X113" s="781" t="s">
        <v>1245</v>
      </c>
      <c r="Y113" s="781" t="s">
        <v>1245</v>
      </c>
    </row>
    <row r="114" spans="1:25">
      <c r="A114" s="9">
        <v>31</v>
      </c>
      <c r="B114" s="9" t="s">
        <v>467</v>
      </c>
      <c r="C114" s="729">
        <v>86283</v>
      </c>
      <c r="D114" s="9">
        <v>7590</v>
      </c>
      <c r="E114" s="729">
        <v>12019</v>
      </c>
      <c r="F114" s="729">
        <v>8407</v>
      </c>
      <c r="G114" s="729">
        <v>98998</v>
      </c>
      <c r="H114" s="729">
        <v>13433</v>
      </c>
      <c r="I114" s="729">
        <v>12784</v>
      </c>
      <c r="J114" s="729">
        <v>14232</v>
      </c>
      <c r="K114" s="9">
        <v>37567</v>
      </c>
      <c r="L114" s="672">
        <v>79386</v>
      </c>
      <c r="M114" s="780">
        <v>7136</v>
      </c>
      <c r="N114" s="780">
        <v>35303</v>
      </c>
      <c r="O114" s="672">
        <v>91963</v>
      </c>
      <c r="P114" s="232">
        <f t="shared" si="3"/>
        <v>1.8513065512431742E-2</v>
      </c>
      <c r="Q114" s="232">
        <f t="shared" si="4"/>
        <v>1.9691407730337583E-2</v>
      </c>
      <c r="R114" s="673">
        <v>649217.16999970097</v>
      </c>
      <c r="S114" s="780">
        <v>7590</v>
      </c>
      <c r="T114" s="780">
        <v>12702</v>
      </c>
      <c r="U114" s="781" t="s">
        <v>1245</v>
      </c>
      <c r="V114" s="780">
        <v>14522</v>
      </c>
      <c r="W114" s="781" t="s">
        <v>1245</v>
      </c>
      <c r="X114" s="781" t="s">
        <v>1245</v>
      </c>
      <c r="Y114" s="781" t="s">
        <v>1245</v>
      </c>
    </row>
    <row r="115" spans="1:25">
      <c r="A115" s="9">
        <v>33</v>
      </c>
      <c r="B115" s="9" t="s">
        <v>116</v>
      </c>
      <c r="C115" s="729">
        <v>106890</v>
      </c>
      <c r="D115" s="9">
        <v>18552</v>
      </c>
      <c r="E115" s="729">
        <v>16597</v>
      </c>
      <c r="F115" s="729">
        <v>11915</v>
      </c>
      <c r="G115" s="729">
        <v>122419</v>
      </c>
      <c r="H115" s="729">
        <v>18794</v>
      </c>
      <c r="I115" s="729">
        <v>16763</v>
      </c>
      <c r="J115" s="729">
        <v>18897</v>
      </c>
      <c r="K115" s="9">
        <v>93574</v>
      </c>
      <c r="L115" s="672">
        <v>195664</v>
      </c>
      <c r="M115" s="780">
        <v>16966</v>
      </c>
      <c r="N115" s="780">
        <v>83640</v>
      </c>
      <c r="O115" s="672">
        <v>225774</v>
      </c>
      <c r="P115" s="232">
        <f t="shared" si="3"/>
        <v>2.3136891698531826E-2</v>
      </c>
      <c r="Q115" s="232">
        <f t="shared" si="4"/>
        <v>2.3368302436734892E-2</v>
      </c>
      <c r="R115" s="673">
        <v>717339.22673170397</v>
      </c>
      <c r="S115" s="780">
        <v>18552</v>
      </c>
      <c r="T115" s="780">
        <v>30432</v>
      </c>
      <c r="U115" s="781" t="s">
        <v>1245</v>
      </c>
      <c r="V115" s="780">
        <v>32564</v>
      </c>
      <c r="W115" s="781" t="s">
        <v>1245</v>
      </c>
      <c r="X115" s="781" t="s">
        <v>1245</v>
      </c>
      <c r="Y115" s="781" t="s">
        <v>1245</v>
      </c>
    </row>
    <row r="116" spans="1:25">
      <c r="A116" s="9">
        <v>34</v>
      </c>
      <c r="B116" s="9" t="s">
        <v>468</v>
      </c>
      <c r="C116" s="729">
        <v>92333</v>
      </c>
      <c r="D116" s="9">
        <v>8493</v>
      </c>
      <c r="E116" s="729">
        <v>12999</v>
      </c>
      <c r="F116" s="729">
        <v>8947</v>
      </c>
      <c r="G116" s="729">
        <v>103963</v>
      </c>
      <c r="H116" s="729">
        <v>14555</v>
      </c>
      <c r="I116" s="729">
        <v>13482</v>
      </c>
      <c r="J116" s="729">
        <v>15100</v>
      </c>
      <c r="K116" s="9">
        <v>41251</v>
      </c>
      <c r="L116" s="672">
        <v>84579</v>
      </c>
      <c r="M116" s="780">
        <v>7919</v>
      </c>
      <c r="N116" s="780">
        <v>37200</v>
      </c>
      <c r="O116" s="672">
        <v>95799</v>
      </c>
      <c r="P116" s="232">
        <f t="shared" si="3"/>
        <v>2.693436544402145E-2</v>
      </c>
      <c r="Q116" s="232">
        <f t="shared" si="4"/>
        <v>2.7935157697999632E-2</v>
      </c>
      <c r="R116" s="673">
        <v>482617.644251402</v>
      </c>
      <c r="S116" s="780">
        <v>8493</v>
      </c>
      <c r="T116" s="780">
        <v>13779</v>
      </c>
      <c r="U116" s="781" t="s">
        <v>1245</v>
      </c>
      <c r="V116" s="780">
        <v>16192</v>
      </c>
      <c r="W116" s="781" t="s">
        <v>1245</v>
      </c>
      <c r="X116" s="781" t="s">
        <v>1245</v>
      </c>
      <c r="Y116" s="781" t="s">
        <v>1245</v>
      </c>
    </row>
    <row r="117" spans="1:25">
      <c r="A117" s="9">
        <v>35</v>
      </c>
      <c r="B117" s="9" t="s">
        <v>469</v>
      </c>
      <c r="C117" s="729">
        <v>53415</v>
      </c>
      <c r="D117" s="9">
        <v>4473</v>
      </c>
      <c r="E117" s="729">
        <v>6254</v>
      </c>
      <c r="F117" s="729">
        <v>4237</v>
      </c>
      <c r="G117" s="729">
        <v>62462</v>
      </c>
      <c r="H117" s="729">
        <v>7143</v>
      </c>
      <c r="I117" s="729">
        <v>6672</v>
      </c>
      <c r="J117" s="729">
        <v>7530</v>
      </c>
      <c r="K117" s="9">
        <v>21671</v>
      </c>
      <c r="L117" s="672">
        <v>49805</v>
      </c>
      <c r="M117" s="780">
        <v>4045</v>
      </c>
      <c r="N117" s="780">
        <v>20015</v>
      </c>
      <c r="O117" s="672">
        <v>58650</v>
      </c>
      <c r="P117" s="232">
        <f t="shared" si="3"/>
        <v>1.2904466351898972E-2</v>
      </c>
      <c r="Q117" s="232">
        <f t="shared" si="4"/>
        <v>1.3766965062339293E-2</v>
      </c>
      <c r="R117" s="673">
        <v>484638.40576248901</v>
      </c>
      <c r="S117" s="780">
        <v>4473</v>
      </c>
      <c r="T117" s="780">
        <v>6360</v>
      </c>
      <c r="U117" s="781" t="s">
        <v>1245</v>
      </c>
      <c r="V117" s="780">
        <v>7352</v>
      </c>
      <c r="W117" s="781" t="s">
        <v>1245</v>
      </c>
      <c r="X117" s="781" t="s">
        <v>1245</v>
      </c>
      <c r="Y117" s="781" t="s">
        <v>1245</v>
      </c>
    </row>
    <row r="118" spans="1:25">
      <c r="A118" s="9">
        <v>38</v>
      </c>
      <c r="B118" s="9" t="s">
        <v>470</v>
      </c>
      <c r="C118" s="729">
        <v>77841</v>
      </c>
      <c r="D118" s="9">
        <v>6624</v>
      </c>
      <c r="E118" s="729">
        <v>10092</v>
      </c>
      <c r="F118" s="729">
        <v>7215</v>
      </c>
      <c r="G118" s="729">
        <v>88159</v>
      </c>
      <c r="H118" s="729">
        <v>11239</v>
      </c>
      <c r="I118" s="729">
        <v>11062</v>
      </c>
      <c r="J118" s="729">
        <v>12287</v>
      </c>
      <c r="K118" s="9">
        <v>32004</v>
      </c>
      <c r="L118" s="672">
        <v>71476</v>
      </c>
      <c r="M118" s="780">
        <v>6028</v>
      </c>
      <c r="N118" s="780">
        <v>30622</v>
      </c>
      <c r="O118" s="672">
        <v>81610</v>
      </c>
      <c r="P118" s="232">
        <f t="shared" si="3"/>
        <v>1.7132784529865407E-2</v>
      </c>
      <c r="Q118" s="232">
        <f t="shared" si="4"/>
        <v>1.8779514711590478E-2</v>
      </c>
      <c r="R118" s="673">
        <v>589046.10528474802</v>
      </c>
      <c r="S118" s="780">
        <v>6624</v>
      </c>
      <c r="T118" s="780">
        <v>10249</v>
      </c>
      <c r="U118" s="781" t="s">
        <v>1245</v>
      </c>
      <c r="V118" s="780">
        <v>12150</v>
      </c>
      <c r="W118" s="781" t="s">
        <v>1245</v>
      </c>
      <c r="X118" s="781" t="s">
        <v>1245</v>
      </c>
      <c r="Y118" s="781" t="s">
        <v>1245</v>
      </c>
    </row>
    <row r="119" spans="1:25">
      <c r="A119" s="9">
        <v>44</v>
      </c>
      <c r="B119" s="9" t="s">
        <v>471</v>
      </c>
      <c r="C119" s="729">
        <v>77064</v>
      </c>
      <c r="D119" s="9">
        <v>6319</v>
      </c>
      <c r="E119" s="729">
        <v>9707</v>
      </c>
      <c r="F119" s="729">
        <v>6750</v>
      </c>
      <c r="G119" s="729">
        <v>89858</v>
      </c>
      <c r="H119" s="729">
        <v>11289</v>
      </c>
      <c r="I119" s="729">
        <v>10257</v>
      </c>
      <c r="J119" s="729">
        <v>11756</v>
      </c>
      <c r="K119" s="9">
        <v>31623</v>
      </c>
      <c r="L119" s="672">
        <v>70803</v>
      </c>
      <c r="M119" s="780">
        <v>6098</v>
      </c>
      <c r="N119" s="780">
        <v>29793</v>
      </c>
      <c r="O119" s="672">
        <v>83170</v>
      </c>
      <c r="P119" s="232">
        <f t="shared" si="3"/>
        <v>1.5331179410661838E-2</v>
      </c>
      <c r="Q119" s="232">
        <f t="shared" si="4"/>
        <v>1.6199846215633921E-2</v>
      </c>
      <c r="R119" s="673">
        <v>633154.15859326604</v>
      </c>
      <c r="S119" s="780">
        <v>6319</v>
      </c>
      <c r="T119" s="780">
        <v>9648</v>
      </c>
      <c r="U119" s="781" t="s">
        <v>1245</v>
      </c>
      <c r="V119" s="780">
        <v>10799</v>
      </c>
      <c r="W119" s="781" t="s">
        <v>1245</v>
      </c>
      <c r="X119" s="781" t="s">
        <v>1245</v>
      </c>
      <c r="Y119" s="781" t="s">
        <v>1245</v>
      </c>
    </row>
    <row r="120" spans="1:25">
      <c r="A120" s="9">
        <v>59</v>
      </c>
      <c r="B120" s="9" t="s">
        <v>472</v>
      </c>
      <c r="C120" s="729">
        <v>119279</v>
      </c>
      <c r="D120" s="9">
        <v>10308</v>
      </c>
      <c r="E120" s="729">
        <v>15341</v>
      </c>
      <c r="F120" s="729">
        <v>10434</v>
      </c>
      <c r="G120" s="729">
        <v>138389</v>
      </c>
      <c r="H120" s="729">
        <v>17103</v>
      </c>
      <c r="I120" s="729">
        <v>16363</v>
      </c>
      <c r="J120" s="729">
        <v>18277</v>
      </c>
      <c r="K120" s="9">
        <v>49848</v>
      </c>
      <c r="L120" s="672">
        <v>110917</v>
      </c>
      <c r="M120" s="780">
        <v>9304</v>
      </c>
      <c r="N120" s="780">
        <v>45959</v>
      </c>
      <c r="O120" s="672">
        <v>129819</v>
      </c>
      <c r="P120" s="232">
        <f t="shared" si="3"/>
        <v>1.3057123894772879E-2</v>
      </c>
      <c r="Q120" s="232">
        <f t="shared" si="4"/>
        <v>1.3926974662027811E-2</v>
      </c>
      <c r="R120" s="673">
        <v>1174914.1789289</v>
      </c>
      <c r="S120" s="780">
        <v>10308</v>
      </c>
      <c r="T120" s="780">
        <v>16868</v>
      </c>
      <c r="U120" s="781" t="s">
        <v>1245</v>
      </c>
      <c r="V120" s="780">
        <v>17771</v>
      </c>
      <c r="W120" s="781" t="s">
        <v>1245</v>
      </c>
      <c r="X120" s="781" t="s">
        <v>1245</v>
      </c>
      <c r="Y120" s="781" t="s">
        <v>1245</v>
      </c>
    </row>
    <row r="121" spans="1:25">
      <c r="A121" s="9">
        <v>62</v>
      </c>
      <c r="B121" s="9" t="s">
        <v>478</v>
      </c>
      <c r="C121" s="729">
        <v>55618</v>
      </c>
      <c r="D121" s="9">
        <v>4681</v>
      </c>
      <c r="E121" s="729">
        <v>6717</v>
      </c>
      <c r="F121" s="729">
        <v>4856</v>
      </c>
      <c r="G121" s="729">
        <v>65850</v>
      </c>
      <c r="H121" s="729">
        <v>7666</v>
      </c>
      <c r="I121" s="729">
        <v>7415</v>
      </c>
      <c r="J121" s="729">
        <v>8336</v>
      </c>
      <c r="K121" s="9">
        <v>22467</v>
      </c>
      <c r="L121" s="672">
        <v>51963</v>
      </c>
      <c r="M121" s="780">
        <v>4301</v>
      </c>
      <c r="N121" s="780">
        <v>20833</v>
      </c>
      <c r="O121" s="672">
        <v>62155</v>
      </c>
      <c r="P121" s="232">
        <f t="shared" si="3"/>
        <v>1.0437374909133943E-2</v>
      </c>
      <c r="Q121" s="232">
        <f t="shared" si="4"/>
        <v>1.1521979298976952E-2</v>
      </c>
      <c r="R121" s="673">
        <v>643552.62299927801</v>
      </c>
      <c r="S121" s="780">
        <v>4681</v>
      </c>
      <c r="T121" s="780">
        <v>7557</v>
      </c>
      <c r="U121" s="781" t="s">
        <v>1245</v>
      </c>
      <c r="V121" s="780">
        <v>8769</v>
      </c>
      <c r="W121" s="781" t="s">
        <v>1245</v>
      </c>
      <c r="X121" s="781" t="s">
        <v>1245</v>
      </c>
      <c r="Y121" s="781" t="s">
        <v>1245</v>
      </c>
    </row>
    <row r="122" spans="1:25">
      <c r="A122" s="9">
        <v>67</v>
      </c>
      <c r="B122" s="9" t="s">
        <v>473</v>
      </c>
      <c r="C122" s="729">
        <v>65575</v>
      </c>
      <c r="D122" s="9">
        <v>5466</v>
      </c>
      <c r="E122" s="729">
        <v>7118</v>
      </c>
      <c r="F122" s="729">
        <v>4525</v>
      </c>
      <c r="G122" s="729">
        <v>74577</v>
      </c>
      <c r="H122" s="729">
        <v>8067</v>
      </c>
      <c r="I122" s="729">
        <v>8126</v>
      </c>
      <c r="J122" s="729">
        <v>9074</v>
      </c>
      <c r="K122" s="9">
        <v>26840</v>
      </c>
      <c r="L122" s="672">
        <v>61573</v>
      </c>
      <c r="M122" s="780">
        <v>5201</v>
      </c>
      <c r="N122" s="780">
        <v>24882</v>
      </c>
      <c r="O122" s="672">
        <v>70332</v>
      </c>
      <c r="P122" s="232">
        <f t="shared" si="3"/>
        <v>1.3040813004727574E-2</v>
      </c>
      <c r="Q122" s="232">
        <f t="shared" si="4"/>
        <v>1.4887559212758679E-2</v>
      </c>
      <c r="R122" s="673">
        <v>545824.86516903294</v>
      </c>
      <c r="S122" s="780">
        <v>5466</v>
      </c>
      <c r="T122" s="780">
        <v>8125</v>
      </c>
      <c r="U122" s="781" t="s">
        <v>1245</v>
      </c>
      <c r="V122" s="780">
        <v>9199</v>
      </c>
      <c r="W122" s="781" t="s">
        <v>1245</v>
      </c>
      <c r="X122" s="781" t="s">
        <v>1245</v>
      </c>
      <c r="Y122" s="781" t="s">
        <v>1245</v>
      </c>
    </row>
    <row r="123" spans="1:25">
      <c r="A123" s="9">
        <v>69</v>
      </c>
      <c r="B123" s="9" t="s">
        <v>474</v>
      </c>
      <c r="C123" s="729">
        <v>129227</v>
      </c>
      <c r="D123" s="9">
        <v>10842</v>
      </c>
      <c r="E123" s="729">
        <v>18908</v>
      </c>
      <c r="F123" s="729">
        <v>12473</v>
      </c>
      <c r="G123" s="729">
        <v>148079</v>
      </c>
      <c r="H123" s="729">
        <v>21080</v>
      </c>
      <c r="I123" s="729">
        <v>18914</v>
      </c>
      <c r="J123" s="729">
        <v>21098</v>
      </c>
      <c r="K123" s="9">
        <v>55359</v>
      </c>
      <c r="L123" s="672">
        <v>118454</v>
      </c>
      <c r="M123" s="780">
        <v>10124</v>
      </c>
      <c r="N123" s="780">
        <v>52981</v>
      </c>
      <c r="O123" s="672">
        <v>136867</v>
      </c>
      <c r="P123" s="232">
        <f t="shared" si="3"/>
        <v>2.2111521534760096E-2</v>
      </c>
      <c r="Q123" s="232">
        <f t="shared" si="4"/>
        <v>2.2118538095433283E-2</v>
      </c>
      <c r="R123" s="673">
        <v>855119.80576623604</v>
      </c>
      <c r="S123" s="780">
        <v>10842</v>
      </c>
      <c r="T123" s="780">
        <v>18332</v>
      </c>
      <c r="U123" s="781" t="s">
        <v>1245</v>
      </c>
      <c r="V123" s="780">
        <v>19653</v>
      </c>
      <c r="W123" s="781" t="s">
        <v>1245</v>
      </c>
      <c r="X123" s="781" t="s">
        <v>1245</v>
      </c>
      <c r="Y123" s="781" t="s">
        <v>1245</v>
      </c>
    </row>
    <row r="124" spans="1:25">
      <c r="A124" s="9">
        <v>76</v>
      </c>
      <c r="B124" s="9" t="s">
        <v>475</v>
      </c>
      <c r="C124" s="729">
        <v>54252</v>
      </c>
      <c r="D124" s="9">
        <v>4381</v>
      </c>
      <c r="E124" s="729">
        <v>6294</v>
      </c>
      <c r="F124" s="729">
        <v>4363</v>
      </c>
      <c r="G124" s="729">
        <v>64533</v>
      </c>
      <c r="H124" s="729">
        <v>7244</v>
      </c>
      <c r="I124" s="729">
        <v>7010</v>
      </c>
      <c r="J124" s="729">
        <v>7972</v>
      </c>
      <c r="K124" s="9">
        <v>21217</v>
      </c>
      <c r="L124" s="672">
        <v>50193</v>
      </c>
      <c r="M124" s="780">
        <v>4036</v>
      </c>
      <c r="N124" s="780">
        <v>20490</v>
      </c>
      <c r="O124" s="672">
        <v>60345</v>
      </c>
      <c r="P124" s="232">
        <f t="shared" si="3"/>
        <v>1.0901303628855427E-2</v>
      </c>
      <c r="Q124" s="232">
        <f t="shared" si="4"/>
        <v>1.2141426507511368E-2</v>
      </c>
      <c r="R124" s="673">
        <v>577362.14073883498</v>
      </c>
      <c r="S124" s="780">
        <v>4381</v>
      </c>
      <c r="T124" s="780">
        <v>6854</v>
      </c>
      <c r="U124" s="781" t="s">
        <v>1245</v>
      </c>
      <c r="V124" s="780">
        <v>7749</v>
      </c>
      <c r="W124" s="781" t="s">
        <v>1245</v>
      </c>
      <c r="X124" s="781" t="s">
        <v>1245</v>
      </c>
      <c r="Y124" s="781" t="s">
        <v>1245</v>
      </c>
    </row>
    <row r="125" spans="1:25">
      <c r="A125" s="9">
        <v>83</v>
      </c>
      <c r="B125" s="9" t="s">
        <v>476</v>
      </c>
      <c r="C125" s="729">
        <v>89821</v>
      </c>
      <c r="D125" s="9">
        <v>7530</v>
      </c>
      <c r="E125" s="729">
        <v>11485</v>
      </c>
      <c r="F125" s="729">
        <v>8081</v>
      </c>
      <c r="G125" s="729">
        <v>101654</v>
      </c>
      <c r="H125" s="729">
        <v>13120</v>
      </c>
      <c r="I125" s="729">
        <v>12244</v>
      </c>
      <c r="J125" s="729">
        <v>14009</v>
      </c>
      <c r="K125" s="9">
        <v>37839</v>
      </c>
      <c r="L125" s="672">
        <v>83466</v>
      </c>
      <c r="M125" s="780">
        <v>7993</v>
      </c>
      <c r="N125" s="780">
        <v>36857</v>
      </c>
      <c r="O125" s="672">
        <v>95074</v>
      </c>
      <c r="P125" s="232">
        <f t="shared" si="3"/>
        <v>2.6033745568135369E-2</v>
      </c>
      <c r="Q125" s="232">
        <f t="shared" si="4"/>
        <v>2.7754216868632952E-2</v>
      </c>
      <c r="R125" s="673">
        <v>441158.18716678798</v>
      </c>
      <c r="S125" s="780">
        <v>7530</v>
      </c>
      <c r="T125" s="780">
        <v>13523</v>
      </c>
      <c r="U125" s="781" t="s">
        <v>1245</v>
      </c>
      <c r="V125" s="780">
        <v>14324</v>
      </c>
      <c r="W125" s="781" t="s">
        <v>1245</v>
      </c>
      <c r="X125" s="781" t="s">
        <v>1245</v>
      </c>
      <c r="Y125" s="781" t="s">
        <v>1245</v>
      </c>
    </row>
    <row r="126" spans="1:25">
      <c r="A126" s="9">
        <v>84</v>
      </c>
      <c r="B126" s="9" t="s">
        <v>477</v>
      </c>
      <c r="C126" s="729">
        <v>45500</v>
      </c>
      <c r="D126" s="9">
        <v>3922</v>
      </c>
      <c r="E126" s="729">
        <v>5529</v>
      </c>
      <c r="F126" s="729">
        <v>3906</v>
      </c>
      <c r="G126" s="729">
        <v>52355</v>
      </c>
      <c r="H126" s="729">
        <v>6413</v>
      </c>
      <c r="I126" s="729">
        <v>6220</v>
      </c>
      <c r="J126" s="729">
        <v>7091</v>
      </c>
      <c r="K126" s="9">
        <v>18531</v>
      </c>
      <c r="L126" s="672">
        <v>41898</v>
      </c>
      <c r="M126" s="780">
        <v>3979</v>
      </c>
      <c r="N126" s="780">
        <v>18074</v>
      </c>
      <c r="O126" s="672">
        <v>48567</v>
      </c>
      <c r="P126" s="232">
        <f t="shared" si="3"/>
        <v>2.2503984206565922E-2</v>
      </c>
      <c r="Q126" s="232">
        <f t="shared" si="4"/>
        <v>2.5316473460813897E-2</v>
      </c>
      <c r="R126" s="673">
        <v>245689.82759892</v>
      </c>
      <c r="S126" s="780">
        <v>3922</v>
      </c>
      <c r="T126" s="780">
        <v>6129</v>
      </c>
      <c r="U126" s="781" t="s">
        <v>1245</v>
      </c>
      <c r="V126" s="780">
        <v>7601</v>
      </c>
      <c r="W126" s="781" t="s">
        <v>1245</v>
      </c>
      <c r="X126" s="781" t="s">
        <v>1245</v>
      </c>
      <c r="Y126" s="781" t="s">
        <v>1245</v>
      </c>
    </row>
    <row r="127" spans="1:25">
      <c r="A127" s="9">
        <v>72</v>
      </c>
      <c r="B127" s="9" t="s">
        <v>74</v>
      </c>
      <c r="C127" s="729">
        <v>224812</v>
      </c>
      <c r="D127" s="9">
        <v>18622</v>
      </c>
      <c r="E127" s="729">
        <v>30138</v>
      </c>
      <c r="F127" s="729">
        <v>22011</v>
      </c>
      <c r="G127" s="729">
        <v>260279</v>
      </c>
      <c r="H127" s="729">
        <v>34791</v>
      </c>
      <c r="I127" s="729">
        <v>30858</v>
      </c>
      <c r="J127" s="729">
        <v>35518</v>
      </c>
      <c r="K127" s="9">
        <v>93094</v>
      </c>
      <c r="L127" s="672">
        <v>208013</v>
      </c>
      <c r="M127" s="780">
        <v>17841</v>
      </c>
      <c r="N127" s="780">
        <v>84831</v>
      </c>
      <c r="O127" s="672">
        <v>242590</v>
      </c>
      <c r="P127" s="232">
        <f t="shared" si="3"/>
        <v>1.9814117660086162E-2</v>
      </c>
      <c r="Q127" s="232">
        <f t="shared" si="4"/>
        <v>2.0287479021664966E-2</v>
      </c>
      <c r="R127" s="673">
        <v>1521036.6929792899</v>
      </c>
      <c r="S127" s="780">
        <v>18622</v>
      </c>
      <c r="T127" s="780">
        <v>29455</v>
      </c>
      <c r="U127" s="781" t="s">
        <v>1245</v>
      </c>
      <c r="V127" s="780">
        <v>32389</v>
      </c>
      <c r="W127" s="781" t="s">
        <v>1245</v>
      </c>
      <c r="X127" s="781" t="s">
        <v>1245</v>
      </c>
      <c r="Y127" s="781" t="s">
        <v>1245</v>
      </c>
    </row>
    <row r="128" spans="1:25">
      <c r="A128" s="91" t="s">
        <v>69</v>
      </c>
      <c r="B128" s="91" t="s">
        <v>70</v>
      </c>
      <c r="C128" s="729">
        <v>55958</v>
      </c>
      <c r="D128" s="9">
        <v>4827</v>
      </c>
      <c r="E128" s="729">
        <v>9466</v>
      </c>
      <c r="F128" s="729">
        <v>6736</v>
      </c>
      <c r="G128" s="729">
        <v>64976</v>
      </c>
      <c r="H128" s="729">
        <v>10737</v>
      </c>
      <c r="I128" s="729">
        <v>9146</v>
      </c>
      <c r="J128" s="729">
        <v>10420</v>
      </c>
      <c r="K128" s="9">
        <v>24822</v>
      </c>
      <c r="L128" s="672">
        <v>51163</v>
      </c>
      <c r="M128" s="780">
        <v>4330</v>
      </c>
      <c r="N128" s="780">
        <v>22216</v>
      </c>
      <c r="O128" s="672">
        <v>59871</v>
      </c>
      <c r="P128" s="232">
        <f t="shared" si="3"/>
        <v>2.5863641405304144E-2</v>
      </c>
      <c r="Q128" s="232">
        <f t="shared" si="4"/>
        <v>2.4989315898258157E-2</v>
      </c>
      <c r="R128" s="673">
        <v>365996.41371685202</v>
      </c>
      <c r="S128" s="780">
        <v>4827</v>
      </c>
      <c r="T128" s="780">
        <v>8258</v>
      </c>
      <c r="U128" s="781" t="s">
        <v>1245</v>
      </c>
      <c r="V128" s="780">
        <v>8601</v>
      </c>
      <c r="W128" s="781" t="s">
        <v>1245</v>
      </c>
      <c r="X128" s="781" t="s">
        <v>1245</v>
      </c>
      <c r="Y128" s="781" t="s">
        <v>1245</v>
      </c>
    </row>
    <row r="129" spans="1:25">
      <c r="B129" s="81" t="s">
        <v>1479</v>
      </c>
      <c r="C129" s="729">
        <v>4075482</v>
      </c>
      <c r="D129" s="9">
        <v>340909</v>
      </c>
      <c r="E129" s="729">
        <v>509550</v>
      </c>
      <c r="F129" s="729">
        <v>343443</v>
      </c>
      <c r="G129" s="729">
        <v>4668223</v>
      </c>
      <c r="H129" s="729">
        <v>577417</v>
      </c>
      <c r="I129" s="729">
        <v>534386</v>
      </c>
      <c r="J129" s="729">
        <v>601785</v>
      </c>
      <c r="K129" s="9">
        <v>1665729</v>
      </c>
      <c r="L129" s="672">
        <v>3784545</v>
      </c>
      <c r="M129" s="780">
        <v>323430</v>
      </c>
      <c r="N129" s="780">
        <v>1723756</v>
      </c>
      <c r="O129" s="672">
        <v>4365474</v>
      </c>
      <c r="P129" s="232">
        <f t="shared" si="3"/>
        <v>1.7120630847267469E-2</v>
      </c>
      <c r="Q129" s="232">
        <f t="shared" si="4"/>
        <v>1.7955108303302665E-2</v>
      </c>
      <c r="R129" s="673">
        <v>29762337.880284742</v>
      </c>
      <c r="S129" s="780">
        <v>340908</v>
      </c>
      <c r="T129" s="780">
        <v>529975</v>
      </c>
      <c r="U129" s="781" t="s">
        <v>1245</v>
      </c>
      <c r="V129" s="780">
        <v>601571</v>
      </c>
      <c r="W129" s="781" t="s">
        <v>1245</v>
      </c>
      <c r="X129" s="781" t="s">
        <v>1245</v>
      </c>
      <c r="Y129" s="781" t="s">
        <v>1245</v>
      </c>
    </row>
    <row r="132" spans="1:25">
      <c r="A132" s="9" t="s">
        <v>1640</v>
      </c>
    </row>
    <row r="133" spans="1:25">
      <c r="A133" s="636" t="s">
        <v>1639</v>
      </c>
      <c r="B133" s="617"/>
      <c r="C133" s="617"/>
      <c r="D133" s="617"/>
      <c r="E133" s="617"/>
      <c r="F133" s="617"/>
      <c r="G133" s="617"/>
      <c r="H133" s="617"/>
      <c r="I133" s="617"/>
    </row>
    <row r="134" spans="1:25">
      <c r="A134" s="637" t="s">
        <v>1633</v>
      </c>
      <c r="B134" s="618"/>
      <c r="C134" s="618"/>
      <c r="D134" s="618"/>
      <c r="E134" s="618"/>
      <c r="F134" s="618"/>
      <c r="G134" s="618"/>
    </row>
  </sheetData>
  <hyperlinks>
    <hyperlink ref="C56" r:id="rId1"/>
    <hyperlink ref="A133" r:id="rId2"/>
    <hyperlink ref="A134" r:id="rId3"/>
    <hyperlink ref="K79" r:id="rId4"/>
  </hyperlinks>
  <pageMargins left="0.7" right="0.7" top="0.75" bottom="0.75" header="0.3" footer="0.3"/>
  <pageSetup paperSize="9"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0"/>
  <sheetViews>
    <sheetView zoomScaleNormal="100" workbookViewId="0">
      <selection activeCell="A24" sqref="A24:U31"/>
    </sheetView>
  </sheetViews>
  <sheetFormatPr baseColWidth="10" defaultRowHeight="12" customHeight="1"/>
  <cols>
    <col min="1" max="1" width="25.7109375" style="96" customWidth="1"/>
    <col min="2" max="16384" width="11.42578125" style="96"/>
  </cols>
  <sheetData>
    <row r="1" spans="1:29" ht="12" customHeight="1">
      <c r="A1" s="114"/>
      <c r="D1" s="30"/>
    </row>
    <row r="2" spans="1:29" ht="12" customHeight="1">
      <c r="A2" s="114"/>
    </row>
    <row r="3" spans="1:29" s="93" customFormat="1" ht="15">
      <c r="A3" s="92" t="s">
        <v>1832</v>
      </c>
      <c r="H3" s="730" t="s">
        <v>1831</v>
      </c>
    </row>
    <row r="4" spans="1:29" s="95" customFormat="1" ht="12" customHeight="1">
      <c r="A4" s="94"/>
    </row>
    <row r="5" spans="1:29" s="95" customFormat="1" ht="12" customHeight="1">
      <c r="A5" s="31" t="s">
        <v>1842</v>
      </c>
      <c r="B5" s="235"/>
      <c r="Q5" s="31" t="s">
        <v>1842</v>
      </c>
      <c r="R5" s="235"/>
    </row>
    <row r="6" spans="1:29" ht="12" customHeight="1">
      <c r="A6" s="96" t="s">
        <v>506</v>
      </c>
      <c r="B6" s="97" t="s">
        <v>508</v>
      </c>
      <c r="C6" s="97" t="s">
        <v>1056</v>
      </c>
      <c r="D6" s="97" t="s">
        <v>510</v>
      </c>
      <c r="E6" s="97" t="s">
        <v>1054</v>
      </c>
      <c r="F6" s="97" t="s">
        <v>512</v>
      </c>
      <c r="G6" s="97" t="s">
        <v>513</v>
      </c>
      <c r="H6" s="97" t="s">
        <v>514</v>
      </c>
      <c r="I6" s="97" t="s">
        <v>515</v>
      </c>
      <c r="J6" s="97" t="s">
        <v>516</v>
      </c>
      <c r="K6" s="237" t="s">
        <v>1057</v>
      </c>
      <c r="L6" s="97" t="s">
        <v>1055</v>
      </c>
      <c r="M6" s="97" t="s">
        <v>519</v>
      </c>
      <c r="Q6" s="96" t="s">
        <v>506</v>
      </c>
      <c r="R6" s="97" t="s">
        <v>508</v>
      </c>
      <c r="S6" s="97" t="s">
        <v>1056</v>
      </c>
      <c r="T6" s="97" t="s">
        <v>510</v>
      </c>
      <c r="U6" s="97" t="s">
        <v>1054</v>
      </c>
      <c r="V6" s="97" t="s">
        <v>512</v>
      </c>
      <c r="W6" s="97" t="s">
        <v>513</v>
      </c>
      <c r="X6" s="97" t="s">
        <v>514</v>
      </c>
      <c r="Y6" s="97" t="s">
        <v>515</v>
      </c>
      <c r="Z6" s="97" t="s">
        <v>516</v>
      </c>
      <c r="AA6" s="237" t="s">
        <v>1057</v>
      </c>
      <c r="AB6" s="97" t="s">
        <v>1055</v>
      </c>
      <c r="AC6" s="97" t="s">
        <v>519</v>
      </c>
    </row>
    <row r="7" spans="1:29" ht="12" customHeight="1">
      <c r="A7" s="96" t="s">
        <v>1834</v>
      </c>
      <c r="B7" s="30">
        <f>((B22/$N22)/B$33)</f>
        <v>0.62930088608039314</v>
      </c>
      <c r="C7" s="30">
        <f t="shared" ref="C7:M7" si="0">((C22/$N22)/C$33)</f>
        <v>1.3206416992370111</v>
      </c>
      <c r="D7" s="30">
        <f t="shared" si="0"/>
        <v>1.1690476650721862</v>
      </c>
      <c r="E7" s="30">
        <f t="shared" si="0"/>
        <v>0.98617127314928466</v>
      </c>
      <c r="F7" s="30">
        <f t="shared" si="0"/>
        <v>0.94093498846711709</v>
      </c>
      <c r="G7" s="30">
        <f t="shared" si="0"/>
        <v>1.0009027497417862</v>
      </c>
      <c r="H7" s="30">
        <f t="shared" si="0"/>
        <v>0.67973207086679643</v>
      </c>
      <c r="I7" s="30">
        <f t="shared" si="0"/>
        <v>0.69674005266911554</v>
      </c>
      <c r="J7" s="30">
        <f t="shared" si="0"/>
        <v>1.0147744483072814</v>
      </c>
      <c r="K7" s="30">
        <f t="shared" si="0"/>
        <v>0.91093314157598715</v>
      </c>
      <c r="L7" s="30">
        <f t="shared" si="0"/>
        <v>0.98842671707396157</v>
      </c>
      <c r="M7" s="30">
        <f t="shared" si="0"/>
        <v>0.92811244418474448</v>
      </c>
      <c r="Q7" s="96" t="s">
        <v>525</v>
      </c>
      <c r="R7" s="316">
        <f>((R22/$AD22)/R$33)</f>
        <v>0.87851089788788006</v>
      </c>
      <c r="S7" s="316">
        <f t="shared" ref="S7:AC7" si="1">((S22/$AD22)/S$33)</f>
        <v>1.5178280755701967</v>
      </c>
      <c r="T7" s="316">
        <f t="shared" si="1"/>
        <v>1.105912322352576</v>
      </c>
      <c r="U7" s="316">
        <f t="shared" si="1"/>
        <v>1.0532251705776841</v>
      </c>
      <c r="V7" s="316">
        <f t="shared" si="1"/>
        <v>0.78587603254853688</v>
      </c>
      <c r="W7" s="316">
        <f t="shared" si="1"/>
        <v>1.0236284726225158</v>
      </c>
      <c r="X7" s="316">
        <f t="shared" si="1"/>
        <v>0.60743751302911198</v>
      </c>
      <c r="Y7" s="316">
        <f t="shared" si="1"/>
        <v>0.80775673716701257</v>
      </c>
      <c r="Z7" s="316">
        <f t="shared" si="1"/>
        <v>0.90257074245715974</v>
      </c>
      <c r="AA7" s="316">
        <f t="shared" si="1"/>
        <v>0.73350246958440368</v>
      </c>
      <c r="AB7" s="316">
        <f t="shared" si="1"/>
        <v>1.0093939793599718</v>
      </c>
      <c r="AC7" s="316">
        <f t="shared" si="1"/>
        <v>1.0120251706215684</v>
      </c>
    </row>
    <row r="8" spans="1:29" ht="12" customHeight="1">
      <c r="A8" s="96" t="s">
        <v>788</v>
      </c>
      <c r="B8" s="30">
        <f>((B23/$N23)/B$33)</f>
        <v>1.9046162320775402</v>
      </c>
      <c r="C8" s="30">
        <f t="shared" ref="B8:M16" si="2">((C23/$N23)/C$33)</f>
        <v>1.1027908570781788</v>
      </c>
      <c r="D8" s="30">
        <f t="shared" si="2"/>
        <v>1.1694677389256325</v>
      </c>
      <c r="E8" s="30">
        <f t="shared" si="2"/>
        <v>0.93732453131784677</v>
      </c>
      <c r="F8" s="30">
        <f t="shared" si="2"/>
        <v>0.73122698602907621</v>
      </c>
      <c r="G8" s="30">
        <f t="shared" si="2"/>
        <v>1.0282019612740612</v>
      </c>
      <c r="H8" s="30">
        <f t="shared" si="2"/>
        <v>0.94680471239183484</v>
      </c>
      <c r="I8" s="30">
        <f t="shared" si="2"/>
        <v>0.69150448576267065</v>
      </c>
      <c r="J8" s="30">
        <f t="shared" si="2"/>
        <v>1.0194499142356992</v>
      </c>
      <c r="K8" s="30">
        <f t="shared" si="2"/>
        <v>0.68968196981587593</v>
      </c>
      <c r="L8" s="30">
        <f t="shared" si="2"/>
        <v>1.1372227729227296</v>
      </c>
      <c r="M8" s="30">
        <f t="shared" si="2"/>
        <v>1.0393610222856777</v>
      </c>
      <c r="Q8" s="96" t="s">
        <v>74</v>
      </c>
      <c r="R8" s="316">
        <f>((R23/$AD23)/R$33)</f>
        <v>2.1912624464139649</v>
      </c>
      <c r="S8" s="316">
        <f t="shared" ref="R8:AC16" si="3">((S23/$AD23)/S$33)</f>
        <v>0.93371808597337447</v>
      </c>
      <c r="T8" s="316">
        <f t="shared" si="3"/>
        <v>1.1660521811033182</v>
      </c>
      <c r="U8" s="316">
        <f t="shared" si="3"/>
        <v>0.97663823005331984</v>
      </c>
      <c r="V8" s="316">
        <f t="shared" si="3"/>
        <v>0.99983847300015427</v>
      </c>
      <c r="W8" s="316">
        <f t="shared" si="3"/>
        <v>1.0922013345302228</v>
      </c>
      <c r="X8" s="316">
        <f t="shared" si="3"/>
        <v>0.57562334933900039</v>
      </c>
      <c r="Y8" s="316">
        <f t="shared" si="3"/>
        <v>0.71798542748954386</v>
      </c>
      <c r="Z8" s="316">
        <f t="shared" si="3"/>
        <v>1.0294679623950795</v>
      </c>
      <c r="AA8" s="316">
        <f t="shared" si="3"/>
        <v>0.82940567526158893</v>
      </c>
      <c r="AB8" s="316">
        <f t="shared" si="3"/>
        <v>1.1292700326013665</v>
      </c>
      <c r="AC8" s="316">
        <f t="shared" si="3"/>
        <v>1.0452058877726651</v>
      </c>
    </row>
    <row r="9" spans="1:29" ht="12" customHeight="1">
      <c r="A9" s="96" t="s">
        <v>1835</v>
      </c>
      <c r="B9" s="30">
        <f t="shared" si="2"/>
        <v>1.9335811788791581</v>
      </c>
      <c r="C9" s="30">
        <f t="shared" si="2"/>
        <v>1.3821810860420205</v>
      </c>
      <c r="D9" s="30">
        <f t="shared" si="2"/>
        <v>1.0590091664426302</v>
      </c>
      <c r="E9" s="30">
        <f t="shared" si="2"/>
        <v>1.0237049869444785</v>
      </c>
      <c r="F9" s="30">
        <f t="shared" si="2"/>
        <v>0.86899879113645795</v>
      </c>
      <c r="G9" s="30">
        <f t="shared" si="2"/>
        <v>0.86349851971538338</v>
      </c>
      <c r="H9" s="30">
        <f t="shared" si="2"/>
        <v>0.43341162095598179</v>
      </c>
      <c r="I9" s="30">
        <f t="shared" si="2"/>
        <v>0.6923107364738198</v>
      </c>
      <c r="J9" s="30">
        <f t="shared" si="2"/>
        <v>0.95797953009988468</v>
      </c>
      <c r="K9" s="30">
        <f t="shared" si="2"/>
        <v>0.64614493834413245</v>
      </c>
      <c r="L9" s="30">
        <f t="shared" si="2"/>
        <v>1.1308543890567511</v>
      </c>
      <c r="M9" s="30">
        <f t="shared" si="2"/>
        <v>0.92652948512900823</v>
      </c>
      <c r="Q9" s="96" t="s">
        <v>527</v>
      </c>
      <c r="R9" s="316">
        <f>((R24/$AD24)/R$33)</f>
        <v>1.9046162388793957</v>
      </c>
      <c r="S9" s="316">
        <f t="shared" si="3"/>
        <v>1.1027908610165178</v>
      </c>
      <c r="T9" s="316">
        <f t="shared" si="3"/>
        <v>1.1694677431020912</v>
      </c>
      <c r="U9" s="316">
        <f t="shared" si="3"/>
        <v>0.93732453466526455</v>
      </c>
      <c r="V9" s="316">
        <f t="shared" si="3"/>
        <v>0.73122698864046864</v>
      </c>
      <c r="W9" s="316">
        <f t="shared" si="3"/>
        <v>1.0282019649460248</v>
      </c>
      <c r="X9" s="316">
        <f t="shared" si="3"/>
        <v>0.94680471577310876</v>
      </c>
      <c r="Y9" s="316">
        <f t="shared" si="3"/>
        <v>0.69150448823220434</v>
      </c>
      <c r="Z9" s="316">
        <f t="shared" si="3"/>
        <v>1.0194499178764072</v>
      </c>
      <c r="AA9" s="316">
        <f t="shared" si="3"/>
        <v>0.68968197227890093</v>
      </c>
      <c r="AB9" s="316">
        <f t="shared" si="3"/>
        <v>1.1372227769840335</v>
      </c>
      <c r="AC9" s="316">
        <f t="shared" si="3"/>
        <v>1.039361025997493</v>
      </c>
    </row>
    <row r="10" spans="1:29" ht="12" customHeight="1">
      <c r="A10" s="96" t="s">
        <v>1836</v>
      </c>
      <c r="B10" s="30">
        <f t="shared" si="2"/>
        <v>1.1511721412051452</v>
      </c>
      <c r="C10" s="30">
        <f t="shared" si="2"/>
        <v>1.2043450080671076</v>
      </c>
      <c r="D10" s="30">
        <f t="shared" si="2"/>
        <v>1.0357995901335053</v>
      </c>
      <c r="E10" s="30">
        <f t="shared" si="2"/>
        <v>0.969436692624284</v>
      </c>
      <c r="F10" s="30">
        <f t="shared" si="2"/>
        <v>0.97251496225627165</v>
      </c>
      <c r="G10" s="30">
        <f t="shared" si="2"/>
        <v>0.75548804790653212</v>
      </c>
      <c r="H10" s="30">
        <f t="shared" si="2"/>
        <v>0.47002919640999402</v>
      </c>
      <c r="I10" s="30">
        <f t="shared" si="2"/>
        <v>0.74190791942589107</v>
      </c>
      <c r="J10" s="30">
        <f t="shared" si="2"/>
        <v>0.94699332788478396</v>
      </c>
      <c r="K10" s="30">
        <f t="shared" si="2"/>
        <v>0.73291786524353986</v>
      </c>
      <c r="L10" s="30">
        <f t="shared" si="2"/>
        <v>1.2679520950602086</v>
      </c>
      <c r="M10" s="30">
        <f t="shared" si="2"/>
        <v>0.86697235337793555</v>
      </c>
      <c r="Q10" s="96" t="s">
        <v>520</v>
      </c>
      <c r="R10" s="316">
        <f t="shared" si="3"/>
        <v>1.687112272939882</v>
      </c>
      <c r="S10" s="316">
        <f t="shared" si="3"/>
        <v>0.62452887761392573</v>
      </c>
      <c r="T10" s="316">
        <f t="shared" si="3"/>
        <v>1.1009625156389864</v>
      </c>
      <c r="U10" s="316">
        <f t="shared" si="3"/>
        <v>1.0411133374086463</v>
      </c>
      <c r="V10" s="316">
        <f t="shared" si="3"/>
        <v>0.81092312688851698</v>
      </c>
      <c r="W10" s="316">
        <f t="shared" si="3"/>
        <v>1.3385732271777977</v>
      </c>
      <c r="X10" s="316">
        <f>((X25/$AD25)/X$33)</f>
        <v>0.51936135001935591</v>
      </c>
      <c r="Y10" s="316">
        <f t="shared" si="3"/>
        <v>0.62826636662829072</v>
      </c>
      <c r="Z10" s="316">
        <f t="shared" si="3"/>
        <v>1.1618925695560192</v>
      </c>
      <c r="AA10" s="316">
        <f t="shared" si="3"/>
        <v>0.82929513971214874</v>
      </c>
      <c r="AB10" s="316">
        <f t="shared" si="3"/>
        <v>1.2931138561601865</v>
      </c>
      <c r="AC10" s="316">
        <f t="shared" si="3"/>
        <v>1.1447696762190238</v>
      </c>
    </row>
    <row r="11" spans="1:29" ht="12" customHeight="1">
      <c r="A11" s="96" t="s">
        <v>1837</v>
      </c>
      <c r="B11" s="30">
        <f t="shared" si="2"/>
        <v>1.3500107113569084</v>
      </c>
      <c r="C11" s="30">
        <f t="shared" si="2"/>
        <v>1.4574778907510963</v>
      </c>
      <c r="D11" s="30">
        <f t="shared" si="2"/>
        <v>1.1551425720431783</v>
      </c>
      <c r="E11" s="30">
        <f t="shared" si="2"/>
        <v>0.83580730996351804</v>
      </c>
      <c r="F11" s="30">
        <f t="shared" si="2"/>
        <v>1.0695813169182151</v>
      </c>
      <c r="G11" s="30">
        <f t="shared" si="2"/>
        <v>0.88874283779186491</v>
      </c>
      <c r="H11" s="30">
        <f t="shared" si="2"/>
        <v>0.29426160689362058</v>
      </c>
      <c r="I11" s="30">
        <f t="shared" si="2"/>
        <v>0.645074284825224</v>
      </c>
      <c r="J11" s="30">
        <f t="shared" si="2"/>
        <v>1.0063971110833503</v>
      </c>
      <c r="K11" s="30">
        <f t="shared" si="2"/>
        <v>0.67053252677307085</v>
      </c>
      <c r="L11" s="30">
        <f t="shared" si="2"/>
        <v>1.1384747620568014</v>
      </c>
      <c r="M11" s="30">
        <f t="shared" si="2"/>
        <v>0.96300075947230612</v>
      </c>
      <c r="Q11" s="96" t="s">
        <v>521</v>
      </c>
      <c r="R11" s="316">
        <f t="shared" si="3"/>
        <v>0.99017645584745195</v>
      </c>
      <c r="S11" s="316">
        <f t="shared" si="3"/>
        <v>1.1040687799974265</v>
      </c>
      <c r="T11" s="316">
        <f t="shared" si="3"/>
        <v>1.0966393641798542</v>
      </c>
      <c r="U11" s="316">
        <f t="shared" si="3"/>
        <v>0.98417571202146648</v>
      </c>
      <c r="V11" s="316">
        <f t="shared" si="3"/>
        <v>0.80762828914479834</v>
      </c>
      <c r="W11" s="316">
        <f t="shared" si="3"/>
        <v>0.83870874881786495</v>
      </c>
      <c r="X11" s="316">
        <f t="shared" si="3"/>
        <v>0.86077355614728646</v>
      </c>
      <c r="Y11" s="316">
        <f t="shared" si="3"/>
        <v>0.62550230789757899</v>
      </c>
      <c r="Z11" s="316">
        <f t="shared" si="3"/>
        <v>0.9244709708842197</v>
      </c>
      <c r="AA11" s="316">
        <f t="shared" si="3"/>
        <v>1.0084667169238084</v>
      </c>
      <c r="AB11" s="316">
        <f t="shared" si="3"/>
        <v>1.1214687551707219</v>
      </c>
      <c r="AC11" s="316">
        <f t="shared" si="3"/>
        <v>0.99609228094542035</v>
      </c>
    </row>
    <row r="12" spans="1:29" ht="12" customHeight="1">
      <c r="A12" s="96" t="s">
        <v>1838</v>
      </c>
      <c r="B12" s="30">
        <f t="shared" si="2"/>
        <v>2.4081849260149264</v>
      </c>
      <c r="C12" s="30">
        <f t="shared" si="2"/>
        <v>0.99181492246022152</v>
      </c>
      <c r="D12" s="30">
        <f t="shared" si="2"/>
        <v>1.1358167549325993</v>
      </c>
      <c r="E12" s="30">
        <f t="shared" si="2"/>
        <v>0.97204657996443555</v>
      </c>
      <c r="F12" s="30">
        <f t="shared" si="2"/>
        <v>0.90968716468043842</v>
      </c>
      <c r="G12" s="30">
        <f t="shared" si="2"/>
        <v>1.0216181946297835</v>
      </c>
      <c r="H12" s="30">
        <f t="shared" si="2"/>
        <v>0.46169482185427657</v>
      </c>
      <c r="I12" s="30">
        <f t="shared" si="2"/>
        <v>0.81610436355467175</v>
      </c>
      <c r="J12" s="30">
        <f t="shared" si="2"/>
        <v>1.0241271555118341</v>
      </c>
      <c r="K12" s="30">
        <f t="shared" si="2"/>
        <v>0.71634990366618567</v>
      </c>
      <c r="L12" s="30">
        <f t="shared" si="2"/>
        <v>1.1842016165264628</v>
      </c>
      <c r="M12" s="30">
        <f t="shared" si="2"/>
        <v>1.0557954674722436</v>
      </c>
      <c r="Q12" s="96" t="s">
        <v>526</v>
      </c>
      <c r="R12" s="316">
        <f t="shared" si="3"/>
        <v>0.83734360685463183</v>
      </c>
      <c r="S12" s="316">
        <f t="shared" si="3"/>
        <v>1.141469409351701</v>
      </c>
      <c r="T12" s="316">
        <f t="shared" si="3"/>
        <v>1.0579211534270763</v>
      </c>
      <c r="U12" s="316">
        <f t="shared" si="3"/>
        <v>0.98004929862083323</v>
      </c>
      <c r="V12" s="316">
        <f t="shared" si="3"/>
        <v>0.90354272928160184</v>
      </c>
      <c r="W12" s="316">
        <f t="shared" si="3"/>
        <v>0.75560738643980851</v>
      </c>
      <c r="X12" s="316">
        <f t="shared" si="3"/>
        <v>0.57381349819498551</v>
      </c>
      <c r="Y12" s="316">
        <f t="shared" si="3"/>
        <v>0.83584299329633893</v>
      </c>
      <c r="Z12" s="316">
        <f t="shared" si="3"/>
        <v>0.92442047163189223</v>
      </c>
      <c r="AA12" s="316">
        <f t="shared" si="3"/>
        <v>0.7594563740329745</v>
      </c>
      <c r="AB12" s="316">
        <f t="shared" si="3"/>
        <v>1.2942155434808718</v>
      </c>
      <c r="AC12" s="316">
        <f t="shared" si="3"/>
        <v>0.83463373955205433</v>
      </c>
    </row>
    <row r="13" spans="1:29" ht="12" customHeight="1">
      <c r="A13" s="96" t="s">
        <v>1839</v>
      </c>
      <c r="B13" s="30">
        <f t="shared" si="2"/>
        <v>1.2938918331063005</v>
      </c>
      <c r="C13" s="30">
        <f t="shared" si="2"/>
        <v>0.89509164678752307</v>
      </c>
      <c r="D13" s="30">
        <f t="shared" si="2"/>
        <v>1.0985233303027866</v>
      </c>
      <c r="E13" s="30">
        <f t="shared" si="2"/>
        <v>1.0089883684362884</v>
      </c>
      <c r="F13" s="30">
        <f t="shared" si="2"/>
        <v>0.80906413135535737</v>
      </c>
      <c r="G13" s="30">
        <f t="shared" si="2"/>
        <v>1.0565430520865686</v>
      </c>
      <c r="H13" s="30">
        <f t="shared" si="2"/>
        <v>0.71199064169428616</v>
      </c>
      <c r="I13" s="30">
        <f t="shared" si="2"/>
        <v>0.62670684464050519</v>
      </c>
      <c r="J13" s="30">
        <f t="shared" si="2"/>
        <v>1.027936148638273</v>
      </c>
      <c r="K13" s="30">
        <f t="shared" si="2"/>
        <v>0.93038611525404125</v>
      </c>
      <c r="L13" s="30">
        <f t="shared" si="2"/>
        <v>1.1962694068488857</v>
      </c>
      <c r="M13" s="30">
        <f t="shared" si="2"/>
        <v>1.0608839118703342</v>
      </c>
      <c r="Q13" s="96" t="s">
        <v>1087</v>
      </c>
      <c r="R13" s="316">
        <f t="shared" si="3"/>
        <v>1.0253878218503767</v>
      </c>
      <c r="S13" s="316">
        <f t="shared" si="3"/>
        <v>1.6361973915293995</v>
      </c>
      <c r="T13" s="316">
        <f t="shared" si="3"/>
        <v>1.1116017796274431</v>
      </c>
      <c r="U13" s="316">
        <f t="shared" si="3"/>
        <v>0.7808254033848856</v>
      </c>
      <c r="V13" s="316">
        <f t="shared" si="3"/>
        <v>1.3733112233234699</v>
      </c>
      <c r="W13" s="316">
        <f t="shared" si="3"/>
        <v>0.72021778341485032</v>
      </c>
      <c r="X13" s="316">
        <f t="shared" si="3"/>
        <v>0.306604972658376</v>
      </c>
      <c r="Y13" s="316">
        <f t="shared" si="3"/>
        <v>0.67414656218684599</v>
      </c>
      <c r="Z13" s="316">
        <f t="shared" si="3"/>
        <v>0.90242430322767564</v>
      </c>
      <c r="AA13" s="316">
        <f t="shared" si="3"/>
        <v>0.69521766371589444</v>
      </c>
      <c r="AB13" s="316">
        <f t="shared" si="3"/>
        <v>1.0977787258859784</v>
      </c>
      <c r="AC13" s="316">
        <f t="shared" si="3"/>
        <v>0.87121663209493994</v>
      </c>
    </row>
    <row r="14" spans="1:29" ht="12" customHeight="1">
      <c r="A14" s="96" t="s">
        <v>790</v>
      </c>
      <c r="B14" s="30">
        <f>((B29/$N29)/B$33)</f>
        <v>1.638416288696285</v>
      </c>
      <c r="C14" s="30">
        <f t="shared" si="2"/>
        <v>1.2823485015137586</v>
      </c>
      <c r="D14" s="30">
        <f t="shared" si="2"/>
        <v>1.2369676555859086</v>
      </c>
      <c r="E14" s="30">
        <f t="shared" si="2"/>
        <v>1.094668729639416</v>
      </c>
      <c r="F14" s="30">
        <f t="shared" si="2"/>
        <v>0.88765239268029728</v>
      </c>
      <c r="G14" s="30">
        <f t="shared" si="2"/>
        <v>0.84863626201493536</v>
      </c>
      <c r="H14" s="30">
        <f t="shared" si="2"/>
        <v>0.670234273530675</v>
      </c>
      <c r="I14" s="30">
        <f t="shared" si="2"/>
        <v>0.8903747488720487</v>
      </c>
      <c r="J14" s="30">
        <f t="shared" si="2"/>
        <v>0.93575750898579968</v>
      </c>
      <c r="K14" s="30">
        <f t="shared" si="2"/>
        <v>0.73550516376337782</v>
      </c>
      <c r="L14" s="30">
        <f t="shared" si="2"/>
        <v>0.99287296559131377</v>
      </c>
      <c r="M14" s="30">
        <f t="shared" si="2"/>
        <v>1.031583514417143</v>
      </c>
      <c r="Q14" s="96" t="s">
        <v>522</v>
      </c>
      <c r="R14" s="316">
        <f t="shared" si="3"/>
        <v>1.6384162964987845</v>
      </c>
      <c r="S14" s="316">
        <f t="shared" si="3"/>
        <v>1.2823485076205847</v>
      </c>
      <c r="T14" s="316">
        <f t="shared" si="3"/>
        <v>1.2369676614766214</v>
      </c>
      <c r="U14" s="316">
        <f t="shared" si="3"/>
        <v>1.0946687348524695</v>
      </c>
      <c r="V14" s="316">
        <f t="shared" si="3"/>
        <v>0.88765239690749365</v>
      </c>
      <c r="W14" s="316">
        <f t="shared" si="3"/>
        <v>0.84863626605632836</v>
      </c>
      <c r="X14" s="316">
        <f t="shared" si="3"/>
        <v>0.67023427672247837</v>
      </c>
      <c r="Y14" s="316">
        <f t="shared" si="3"/>
        <v>0.89037475311220948</v>
      </c>
      <c r="Z14" s="316">
        <f t="shared" si="3"/>
        <v>0.93575751344208336</v>
      </c>
      <c r="AA14" s="316">
        <f t="shared" si="3"/>
        <v>0.73550516726601556</v>
      </c>
      <c r="AB14" s="316">
        <f t="shared" si="3"/>
        <v>0.99287297031959365</v>
      </c>
      <c r="AC14" s="316">
        <f t="shared" si="3"/>
        <v>1.0315835193297711</v>
      </c>
    </row>
    <row r="15" spans="1:29" ht="12" customHeight="1">
      <c r="A15" s="96" t="s">
        <v>523</v>
      </c>
      <c r="B15" s="30">
        <f t="shared" si="2"/>
        <v>0.78420420998280393</v>
      </c>
      <c r="C15" s="30">
        <f t="shared" si="2"/>
        <v>0.77713078297114391</v>
      </c>
      <c r="D15" s="30">
        <f t="shared" si="2"/>
        <v>1.0797276315321593</v>
      </c>
      <c r="E15" s="30">
        <f t="shared" si="2"/>
        <v>1.0024381303940324</v>
      </c>
      <c r="F15" s="30">
        <f t="shared" si="2"/>
        <v>1.2320574952227619</v>
      </c>
      <c r="G15" s="30">
        <f t="shared" si="2"/>
        <v>1.4881419429942506</v>
      </c>
      <c r="H15" s="30">
        <f t="shared" si="2"/>
        <v>0.79814796983131464</v>
      </c>
      <c r="I15" s="30">
        <f t="shared" si="2"/>
        <v>0.67468514218562659</v>
      </c>
      <c r="J15" s="30">
        <f t="shared" si="2"/>
        <v>1.0826118112797647</v>
      </c>
      <c r="K15" s="30">
        <f t="shared" si="2"/>
        <v>0.87185834870257839</v>
      </c>
      <c r="L15" s="30">
        <f t="shared" si="2"/>
        <v>1.1534268716962552</v>
      </c>
      <c r="M15" s="30">
        <f t="shared" si="2"/>
        <v>1.0396187985119332</v>
      </c>
      <c r="Q15" s="96" t="s">
        <v>523</v>
      </c>
      <c r="R15" s="316">
        <f t="shared" si="3"/>
        <v>0.78420421432515242</v>
      </c>
      <c r="S15" s="316">
        <f t="shared" si="3"/>
        <v>0.77713078727432505</v>
      </c>
      <c r="T15" s="316">
        <f t="shared" si="3"/>
        <v>1.0797276375109002</v>
      </c>
      <c r="U15" s="316">
        <f t="shared" si="3"/>
        <v>1.0024381359448005</v>
      </c>
      <c r="V15" s="316">
        <f t="shared" si="3"/>
        <v>1.232057502044994</v>
      </c>
      <c r="W15" s="316">
        <f t="shared" si="3"/>
        <v>1.4881419512344907</v>
      </c>
      <c r="X15" s="316">
        <f t="shared" si="3"/>
        <v>0.79814797425087336</v>
      </c>
      <c r="Y15" s="316">
        <f t="shared" si="3"/>
        <v>0.67468514592153872</v>
      </c>
      <c r="Z15" s="316">
        <f t="shared" si="3"/>
        <v>1.0826118172744759</v>
      </c>
      <c r="AA15" s="316">
        <f t="shared" si="3"/>
        <v>0.8718583535302914</v>
      </c>
      <c r="AB15" s="316">
        <f t="shared" si="3"/>
        <v>1.1534268780830883</v>
      </c>
      <c r="AC15" s="316">
        <f t="shared" si="3"/>
        <v>1.0396188042685806</v>
      </c>
    </row>
    <row r="16" spans="1:29" ht="12" customHeight="1">
      <c r="A16" s="23" t="s">
        <v>1479</v>
      </c>
      <c r="B16" s="30">
        <f t="shared" si="2"/>
        <v>1</v>
      </c>
      <c r="C16" s="30">
        <f t="shared" si="2"/>
        <v>1</v>
      </c>
      <c r="D16" s="30">
        <f t="shared" si="2"/>
        <v>1</v>
      </c>
      <c r="E16" s="30">
        <f t="shared" si="2"/>
        <v>1</v>
      </c>
      <c r="F16" s="30">
        <f t="shared" si="2"/>
        <v>1</v>
      </c>
      <c r="G16" s="30">
        <f t="shared" si="2"/>
        <v>1</v>
      </c>
      <c r="H16" s="30">
        <f t="shared" si="2"/>
        <v>1</v>
      </c>
      <c r="I16" s="30">
        <f t="shared" si="2"/>
        <v>1</v>
      </c>
      <c r="J16" s="30">
        <f t="shared" si="2"/>
        <v>1</v>
      </c>
      <c r="K16" s="30">
        <f t="shared" si="2"/>
        <v>1</v>
      </c>
      <c r="L16" s="30">
        <f t="shared" si="2"/>
        <v>1</v>
      </c>
      <c r="M16" s="30">
        <f t="shared" si="2"/>
        <v>1</v>
      </c>
      <c r="Q16" s="23" t="s">
        <v>524</v>
      </c>
      <c r="R16" s="316">
        <f t="shared" si="3"/>
        <v>0.5144492489092648</v>
      </c>
      <c r="S16" s="316">
        <f t="shared" si="3"/>
        <v>1.3195717494338868</v>
      </c>
      <c r="T16" s="316">
        <f t="shared" si="3"/>
        <v>1.181662654911523</v>
      </c>
      <c r="U16" s="316">
        <f t="shared" si="3"/>
        <v>1.0075621022904158</v>
      </c>
      <c r="V16" s="316">
        <f t="shared" si="3"/>
        <v>0.96479146771063273</v>
      </c>
      <c r="W16" s="316">
        <f t="shared" si="3"/>
        <v>1.0234762985585164</v>
      </c>
      <c r="X16" s="316">
        <f t="shared" si="3"/>
        <v>0.73351798419288683</v>
      </c>
      <c r="Y16" s="316">
        <f t="shared" si="3"/>
        <v>0.71559441323017292</v>
      </c>
      <c r="Z16" s="316">
        <f t="shared" si="3"/>
        <v>1.0152120020715334</v>
      </c>
      <c r="AA16" s="316">
        <f t="shared" si="3"/>
        <v>0.93732727125448223</v>
      </c>
      <c r="AB16" s="316">
        <f t="shared" si="3"/>
        <v>0.94892863092989299</v>
      </c>
      <c r="AC16" s="316">
        <f t="shared" si="3"/>
        <v>0.91314132062510411</v>
      </c>
    </row>
    <row r="17" spans="1:30" ht="12" customHeight="1">
      <c r="A17" s="23"/>
      <c r="B17" s="627"/>
      <c r="C17" s="30"/>
      <c r="D17" s="30"/>
      <c r="E17" s="30"/>
      <c r="F17" s="30"/>
      <c r="G17" s="30"/>
      <c r="H17" s="30"/>
      <c r="I17" s="30"/>
      <c r="J17" s="30"/>
      <c r="K17" s="30"/>
      <c r="L17" s="30"/>
      <c r="M17" s="30"/>
      <c r="Q17" s="23"/>
      <c r="R17" s="731"/>
      <c r="S17" s="30"/>
      <c r="T17" s="30"/>
      <c r="U17" s="30"/>
      <c r="V17" s="30"/>
      <c r="W17" s="30"/>
      <c r="X17" s="30"/>
      <c r="Y17" s="30"/>
      <c r="Z17" s="30"/>
      <c r="AA17" s="30"/>
      <c r="AB17" s="30"/>
      <c r="AC17" s="30"/>
    </row>
    <row r="18" spans="1:30" ht="12" customHeight="1">
      <c r="A18" s="23"/>
      <c r="B18" s="221">
        <f>B22/$N22</f>
        <v>1.0785133369840202E-2</v>
      </c>
      <c r="C18" s="221">
        <f>C22/$N22</f>
        <v>0.18365369738428117</v>
      </c>
      <c r="D18" s="221">
        <f t="shared" ref="D18:M18" si="4">D22/$N22</f>
        <v>6.7564579362889995E-2</v>
      </c>
      <c r="E18" s="221">
        <f t="shared" si="4"/>
        <v>0.10042343133469857</v>
      </c>
      <c r="F18" s="221">
        <f t="shared" si="4"/>
        <v>4.2940386793407871E-2</v>
      </c>
      <c r="G18" s="221">
        <f t="shared" si="4"/>
        <v>2.809782376013031E-2</v>
      </c>
      <c r="H18" s="221">
        <f t="shared" si="4"/>
        <v>3.3216224219748479E-2</v>
      </c>
      <c r="I18" s="221">
        <f t="shared" si="4"/>
        <v>3.1896109930980597E-2</v>
      </c>
      <c r="J18" s="221">
        <f t="shared" si="4"/>
        <v>0.13044993916093039</v>
      </c>
      <c r="K18" s="221">
        <f t="shared" si="4"/>
        <v>0.11744679541910243</v>
      </c>
      <c r="L18" s="221">
        <f t="shared" si="4"/>
        <v>0.22550530376377043</v>
      </c>
      <c r="M18" s="221">
        <f t="shared" si="4"/>
        <v>2.8020568901199819E-2</v>
      </c>
      <c r="Q18" s="23"/>
      <c r="R18" s="221"/>
      <c r="S18" s="221"/>
      <c r="T18" s="221"/>
      <c r="U18" s="221"/>
      <c r="V18" s="221"/>
      <c r="W18" s="221"/>
      <c r="X18" s="221"/>
      <c r="Y18" s="221"/>
      <c r="Z18" s="221"/>
      <c r="AA18" s="221"/>
      <c r="AB18" s="221"/>
      <c r="AC18" s="221"/>
    </row>
    <row r="19" spans="1:30" s="31" customFormat="1" ht="12" customHeight="1">
      <c r="A19" s="31" t="s">
        <v>1842</v>
      </c>
      <c r="B19" s="352"/>
      <c r="C19" s="352"/>
      <c r="D19" s="352"/>
      <c r="E19" s="352"/>
      <c r="F19" s="352"/>
      <c r="G19" s="352"/>
      <c r="H19" s="352"/>
      <c r="I19" s="352"/>
      <c r="J19" s="352"/>
      <c r="K19" s="352"/>
      <c r="L19" s="352"/>
      <c r="M19" s="352"/>
      <c r="Q19" s="31" t="s">
        <v>1842</v>
      </c>
      <c r="R19" s="352"/>
      <c r="S19" s="352"/>
      <c r="T19" s="352"/>
      <c r="U19" s="352"/>
      <c r="V19" s="352"/>
      <c r="W19" s="352"/>
      <c r="X19" s="352"/>
      <c r="Y19" s="352"/>
      <c r="Z19" s="352"/>
      <c r="AA19" s="352"/>
      <c r="AB19" s="352"/>
      <c r="AC19" s="352"/>
    </row>
    <row r="20" spans="1:30" ht="12" customHeight="1">
      <c r="A20" s="98" t="s">
        <v>1452</v>
      </c>
      <c r="B20" s="98" t="s">
        <v>508</v>
      </c>
      <c r="C20" s="98" t="s">
        <v>509</v>
      </c>
      <c r="D20" s="98" t="s">
        <v>510</v>
      </c>
      <c r="E20" s="98" t="s">
        <v>511</v>
      </c>
      <c r="F20" s="98" t="s">
        <v>512</v>
      </c>
      <c r="G20" s="98" t="s">
        <v>513</v>
      </c>
      <c r="H20" s="98" t="s">
        <v>514</v>
      </c>
      <c r="I20" s="98" t="s">
        <v>515</v>
      </c>
      <c r="J20" s="98" t="s">
        <v>516</v>
      </c>
      <c r="K20" s="98" t="s">
        <v>517</v>
      </c>
      <c r="L20" s="98" t="s">
        <v>518</v>
      </c>
      <c r="M20" s="98" t="s">
        <v>519</v>
      </c>
      <c r="N20" s="98"/>
      <c r="Q20" s="98" t="s">
        <v>1452</v>
      </c>
      <c r="R20" s="98" t="s">
        <v>508</v>
      </c>
      <c r="S20" s="98" t="s">
        <v>509</v>
      </c>
      <c r="T20" s="98" t="s">
        <v>510</v>
      </c>
      <c r="U20" s="98" t="s">
        <v>511</v>
      </c>
      <c r="V20" s="98" t="s">
        <v>512</v>
      </c>
      <c r="W20" s="98" t="s">
        <v>513</v>
      </c>
      <c r="X20" s="98" t="s">
        <v>514</v>
      </c>
      <c r="Y20" s="98" t="s">
        <v>515</v>
      </c>
      <c r="Z20" s="98" t="s">
        <v>516</v>
      </c>
      <c r="AA20" s="98" t="s">
        <v>517</v>
      </c>
      <c r="AB20" s="98" t="s">
        <v>518</v>
      </c>
      <c r="AC20" s="98" t="s">
        <v>519</v>
      </c>
      <c r="AD20" s="98"/>
    </row>
    <row r="21" spans="1:30" ht="12" customHeight="1">
      <c r="A21" s="98" t="s">
        <v>1453</v>
      </c>
      <c r="B21" s="98" t="s">
        <v>528</v>
      </c>
      <c r="C21" s="98" t="s">
        <v>529</v>
      </c>
      <c r="D21" s="98" t="s">
        <v>530</v>
      </c>
      <c r="E21" s="98" t="s">
        <v>531</v>
      </c>
      <c r="F21" s="98" t="s">
        <v>532</v>
      </c>
      <c r="G21" s="98" t="s">
        <v>533</v>
      </c>
      <c r="H21" s="98" t="s">
        <v>534</v>
      </c>
      <c r="I21" s="98" t="s">
        <v>535</v>
      </c>
      <c r="J21" s="98" t="s">
        <v>536</v>
      </c>
      <c r="K21" s="98" t="s">
        <v>537</v>
      </c>
      <c r="L21" s="98" t="s">
        <v>538</v>
      </c>
      <c r="M21" s="98" t="s">
        <v>539</v>
      </c>
      <c r="N21" s="98" t="s">
        <v>91</v>
      </c>
      <c r="Q21" s="98" t="s">
        <v>1453</v>
      </c>
      <c r="R21" s="98" t="s">
        <v>528</v>
      </c>
      <c r="S21" s="98" t="s">
        <v>529</v>
      </c>
      <c r="T21" s="98" t="s">
        <v>530</v>
      </c>
      <c r="U21" s="98" t="s">
        <v>531</v>
      </c>
      <c r="V21" s="98" t="s">
        <v>532</v>
      </c>
      <c r="W21" s="98" t="s">
        <v>533</v>
      </c>
      <c r="X21" s="98" t="s">
        <v>534</v>
      </c>
      <c r="Y21" s="98" t="s">
        <v>535</v>
      </c>
      <c r="Z21" s="98" t="s">
        <v>536</v>
      </c>
      <c r="AA21" s="98" t="s">
        <v>537</v>
      </c>
      <c r="AB21" s="98" t="s">
        <v>538</v>
      </c>
      <c r="AC21" s="98" t="s">
        <v>539</v>
      </c>
      <c r="AD21" s="98" t="s">
        <v>91</v>
      </c>
    </row>
    <row r="22" spans="1:30" ht="12" customHeight="1">
      <c r="A22" s="98" t="s">
        <v>1834</v>
      </c>
      <c r="B22" s="99">
        <v>2356.6060486806527</v>
      </c>
      <c r="C22" s="99">
        <v>40129.259349601882</v>
      </c>
      <c r="D22" s="99">
        <v>14763.201431370866</v>
      </c>
      <c r="E22" s="99">
        <v>21943.02634906807</v>
      </c>
      <c r="F22" s="99">
        <v>9382.6911341691775</v>
      </c>
      <c r="G22" s="99">
        <v>6139.5162356594146</v>
      </c>
      <c r="H22" s="99">
        <v>7257.9125566948696</v>
      </c>
      <c r="I22" s="99">
        <v>6969.4609250664853</v>
      </c>
      <c r="J22" s="99">
        <v>28503.969782733118</v>
      </c>
      <c r="K22" s="99">
        <v>25662.717278656779</v>
      </c>
      <c r="L22" s="99">
        <v>49274.046470798836</v>
      </c>
      <c r="M22" s="99">
        <v>6122.6356592583215</v>
      </c>
      <c r="N22" s="99">
        <v>218505.04466367757</v>
      </c>
      <c r="Q22" s="98" t="s">
        <v>525</v>
      </c>
      <c r="R22" s="99">
        <v>754.05869713475602</v>
      </c>
      <c r="S22" s="99">
        <v>10571.292151837994</v>
      </c>
      <c r="T22" s="99">
        <v>3201.0936431444002</v>
      </c>
      <c r="U22" s="99">
        <v>5371.489881416619</v>
      </c>
      <c r="V22" s="99">
        <v>1796.1855632530285</v>
      </c>
      <c r="W22" s="99">
        <v>1439.1762470159908</v>
      </c>
      <c r="X22" s="99">
        <v>1486.6369896739354</v>
      </c>
      <c r="Y22" s="99">
        <v>1851.988795043731</v>
      </c>
      <c r="Z22" s="99">
        <v>5810.9405505488094</v>
      </c>
      <c r="AA22" s="99">
        <v>4736.385820168266</v>
      </c>
      <c r="AB22" s="99">
        <v>11533.571658220542</v>
      </c>
      <c r="AC22" s="99">
        <v>1530.2362658635495</v>
      </c>
      <c r="AD22" s="99">
        <v>50083.056263321632</v>
      </c>
    </row>
    <row r="23" spans="1:30" ht="12" customHeight="1">
      <c r="A23" s="98" t="s">
        <v>788</v>
      </c>
      <c r="B23" s="99">
        <v>2614.7303298454535</v>
      </c>
      <c r="C23" s="99">
        <v>12284.573229453013</v>
      </c>
      <c r="D23" s="99">
        <v>5414.1134362575285</v>
      </c>
      <c r="E23" s="99">
        <v>7645.8353063201448</v>
      </c>
      <c r="F23" s="99">
        <v>2673.0728285419618</v>
      </c>
      <c r="G23" s="99">
        <v>2312.1258872637759</v>
      </c>
      <c r="H23" s="99">
        <v>3706.1684929076255</v>
      </c>
      <c r="I23" s="99">
        <v>2535.7952890776251</v>
      </c>
      <c r="J23" s="99">
        <v>10497.659882761351</v>
      </c>
      <c r="K23" s="99">
        <v>7122.8826199639407</v>
      </c>
      <c r="L23" s="99">
        <v>20783.088132981091</v>
      </c>
      <c r="M23" s="99">
        <v>2513.5933883356879</v>
      </c>
      <c r="N23" s="99">
        <v>80103.639109779106</v>
      </c>
      <c r="Q23" s="98" t="s">
        <v>74</v>
      </c>
      <c r="R23" s="99">
        <v>3172.6662766508948</v>
      </c>
      <c r="S23" s="99">
        <v>10969.662373124907</v>
      </c>
      <c r="T23" s="99">
        <v>5693.3471270969376</v>
      </c>
      <c r="U23" s="99">
        <v>8401.9336825050959</v>
      </c>
      <c r="V23" s="99">
        <v>3854.7746818622068</v>
      </c>
      <c r="W23" s="99">
        <v>2590.27768586922</v>
      </c>
      <c r="X23" s="99">
        <v>2376.3681566688942</v>
      </c>
      <c r="Y23" s="99">
        <v>2776.8050588336582</v>
      </c>
      <c r="Z23" s="99">
        <v>11180.211336661705</v>
      </c>
      <c r="AA23" s="99">
        <v>9034.0916255021475</v>
      </c>
      <c r="AB23" s="99">
        <v>21765.713486263561</v>
      </c>
      <c r="AC23" s="99">
        <v>2665.8825993658629</v>
      </c>
      <c r="AD23" s="99">
        <v>84481.73409040508</v>
      </c>
    </row>
    <row r="24" spans="1:30" ht="12" customHeight="1">
      <c r="A24" s="98" t="s">
        <v>1835</v>
      </c>
      <c r="B24" s="99">
        <v>4460.6976163544787</v>
      </c>
      <c r="C24" s="99">
        <v>25873.358919823302</v>
      </c>
      <c r="D24" s="99">
        <v>8238.7206029060035</v>
      </c>
      <c r="E24" s="99">
        <v>14032.360235090673</v>
      </c>
      <c r="F24" s="99">
        <v>5338.2474799190604</v>
      </c>
      <c r="G24" s="99">
        <v>3262.9889001289876</v>
      </c>
      <c r="H24" s="99">
        <v>2850.9280132502199</v>
      </c>
      <c r="I24" s="99">
        <v>4266.1999521785192</v>
      </c>
      <c r="J24" s="99">
        <v>16576.91780789123</v>
      </c>
      <c r="K24" s="99">
        <v>11213.929265968745</v>
      </c>
      <c r="L24" s="99">
        <v>34728.991352766941</v>
      </c>
      <c r="M24" s="99">
        <v>3765.3798530775848</v>
      </c>
      <c r="N24" s="99">
        <v>134608.72084780634</v>
      </c>
      <c r="Q24" s="98" t="s">
        <v>527</v>
      </c>
      <c r="R24" s="99">
        <v>2614.7303298454535</v>
      </c>
      <c r="S24" s="99">
        <v>12284.573229453012</v>
      </c>
      <c r="T24" s="99">
        <v>5414.1134362575285</v>
      </c>
      <c r="U24" s="99">
        <v>7645.8353063201448</v>
      </c>
      <c r="V24" s="99">
        <v>2673.0728285419618</v>
      </c>
      <c r="W24" s="99">
        <v>2312.1258872637759</v>
      </c>
      <c r="X24" s="99">
        <v>3706.1684929076255</v>
      </c>
      <c r="Y24" s="99">
        <v>2535.7952890776251</v>
      </c>
      <c r="Z24" s="99">
        <v>10497.659882761351</v>
      </c>
      <c r="AA24" s="99">
        <v>7122.8826199639407</v>
      </c>
      <c r="AB24" s="99">
        <v>20783.088132981091</v>
      </c>
      <c r="AC24" s="99">
        <v>2513.5933883356879</v>
      </c>
      <c r="AD24" s="99">
        <v>80103.638823709189</v>
      </c>
    </row>
    <row r="25" spans="1:30" ht="12" customHeight="1">
      <c r="A25" s="98" t="s">
        <v>1836</v>
      </c>
      <c r="B25" s="99">
        <v>2717.8358283322741</v>
      </c>
      <c r="C25" s="99">
        <v>23071.793649778156</v>
      </c>
      <c r="D25" s="99">
        <v>8246.6652339816283</v>
      </c>
      <c r="E25" s="99">
        <v>13599.343210311701</v>
      </c>
      <c r="F25" s="99">
        <v>6113.9009373980552</v>
      </c>
      <c r="G25" s="99">
        <v>2921.6229784500915</v>
      </c>
      <c r="H25" s="99">
        <v>3164.1211930485965</v>
      </c>
      <c r="I25" s="99">
        <v>4678.7810383594397</v>
      </c>
      <c r="J25" s="99">
        <v>16770.153915404997</v>
      </c>
      <c r="K25" s="99">
        <v>13017.444906083805</v>
      </c>
      <c r="L25" s="99">
        <v>39850.236421679911</v>
      </c>
      <c r="M25" s="99">
        <v>3605.7646206249838</v>
      </c>
      <c r="N25" s="99">
        <v>137757.66466327547</v>
      </c>
      <c r="Q25" s="98" t="s">
        <v>520</v>
      </c>
      <c r="R25" s="99">
        <v>1733.440535269797</v>
      </c>
      <c r="S25" s="99">
        <v>5206.7290856832296</v>
      </c>
      <c r="T25" s="99">
        <v>3814.6717917024212</v>
      </c>
      <c r="U25" s="99">
        <v>6355.9212217679315</v>
      </c>
      <c r="V25" s="99">
        <v>2218.6245126013064</v>
      </c>
      <c r="W25" s="99">
        <v>2252.7900677665407</v>
      </c>
      <c r="X25" s="99">
        <v>1521.5278845213386</v>
      </c>
      <c r="Y25" s="99">
        <v>1724.2829743518864</v>
      </c>
      <c r="Z25" s="99">
        <v>8954.4335613566964</v>
      </c>
      <c r="AA25" s="99">
        <v>6410.0523324694359</v>
      </c>
      <c r="AB25" s="99">
        <v>17686.701114228599</v>
      </c>
      <c r="AC25" s="99">
        <v>2072.0119518619081</v>
      </c>
      <c r="AD25" s="99">
        <v>59951.187033581096</v>
      </c>
    </row>
    <row r="26" spans="1:30" ht="12" customHeight="1">
      <c r="A26" s="98" t="s">
        <v>1837</v>
      </c>
      <c r="B26" s="99">
        <v>1871.5532727023528</v>
      </c>
      <c r="C26" s="99">
        <v>16395.114276012035</v>
      </c>
      <c r="D26" s="99">
        <v>5400.3293978271086</v>
      </c>
      <c r="E26" s="99">
        <v>6884.7262524499583</v>
      </c>
      <c r="F26" s="99">
        <v>3948.3709218699714</v>
      </c>
      <c r="G26" s="99">
        <v>2018.1559288854105</v>
      </c>
      <c r="H26" s="99">
        <v>1163.1719137896632</v>
      </c>
      <c r="I26" s="99">
        <v>2388.7707607481852</v>
      </c>
      <c r="J26" s="99">
        <v>10465.055635987263</v>
      </c>
      <c r="K26" s="99">
        <v>6993.1415799757979</v>
      </c>
      <c r="L26" s="99">
        <v>21010.360051994739</v>
      </c>
      <c r="M26" s="99">
        <v>2351.8021599639824</v>
      </c>
      <c r="N26" s="99">
        <v>80890.552641318427</v>
      </c>
      <c r="Q26" s="98" t="s">
        <v>521</v>
      </c>
      <c r="R26" s="99">
        <v>1317.1852074834471</v>
      </c>
      <c r="S26" s="99">
        <v>11917.299995064406</v>
      </c>
      <c r="T26" s="99">
        <v>4919.4637177921913</v>
      </c>
      <c r="U26" s="99">
        <v>7778.9758743571492</v>
      </c>
      <c r="V26" s="99">
        <v>2860.7830854319736</v>
      </c>
      <c r="W26" s="99">
        <v>1827.5069930703876</v>
      </c>
      <c r="X26" s="99">
        <v>3264.8895311769111</v>
      </c>
      <c r="Y26" s="99">
        <v>2222.6082974514493</v>
      </c>
      <c r="Z26" s="99">
        <v>9224.3273903549689</v>
      </c>
      <c r="AA26" s="99">
        <v>10092.141021258545</v>
      </c>
      <c r="AB26" s="99">
        <v>19859.418858913123</v>
      </c>
      <c r="AC26" s="99">
        <v>2334.2265247891769</v>
      </c>
      <c r="AD26" s="99">
        <v>77618.826497143746</v>
      </c>
    </row>
    <row r="27" spans="1:30" ht="12" customHeight="1">
      <c r="A27" s="98" t="s">
        <v>1838</v>
      </c>
      <c r="B27" s="99">
        <v>5904.6028093802852</v>
      </c>
      <c r="C27" s="99">
        <v>19732.358031054959</v>
      </c>
      <c r="D27" s="99">
        <v>9391.3669006520795</v>
      </c>
      <c r="E27" s="99">
        <v>14161.311116150897</v>
      </c>
      <c r="F27" s="99">
        <v>5939.2564723563937</v>
      </c>
      <c r="G27" s="99">
        <v>4103.0149478648673</v>
      </c>
      <c r="H27" s="99">
        <v>3227.7596228670295</v>
      </c>
      <c r="I27" s="99">
        <v>5344.9829091716165</v>
      </c>
      <c r="J27" s="99">
        <v>18834.83925171768</v>
      </c>
      <c r="K27" s="99">
        <v>13213.368708944645</v>
      </c>
      <c r="L27" s="99">
        <v>38651.968145551436</v>
      </c>
      <c r="M27" s="99">
        <v>4560.2623112771544</v>
      </c>
      <c r="N27" s="99">
        <v>143065.0920000113</v>
      </c>
      <c r="Q27" s="98" t="s">
        <v>526</v>
      </c>
      <c r="R27" s="99">
        <v>1372.2027771236051</v>
      </c>
      <c r="S27" s="99">
        <v>15178.412651466964</v>
      </c>
      <c r="T27" s="99">
        <v>5846.3871070744872</v>
      </c>
      <c r="U27" s="99">
        <v>9542.8487304800619</v>
      </c>
      <c r="V27" s="99">
        <v>3942.7790297498036</v>
      </c>
      <c r="W27" s="99">
        <v>2028.2636379783414</v>
      </c>
      <c r="X27" s="99">
        <v>2681.2090149611336</v>
      </c>
      <c r="Y27" s="99">
        <v>3658.8032571256558</v>
      </c>
      <c r="Z27" s="99">
        <v>11362.955882482544</v>
      </c>
      <c r="AA27" s="99">
        <v>9362.7819311690164</v>
      </c>
      <c r="AB27" s="99">
        <v>28233.603061476308</v>
      </c>
      <c r="AC27" s="99">
        <v>2409.4598728235537</v>
      </c>
      <c r="AD27" s="99">
        <v>95619.706953911475</v>
      </c>
    </row>
    <row r="28" spans="1:30" ht="12" customHeight="1">
      <c r="A28" s="98" t="s">
        <v>1839</v>
      </c>
      <c r="B28" s="99">
        <v>3050.6257427532441</v>
      </c>
      <c r="C28" s="99">
        <v>17124.029080747634</v>
      </c>
      <c r="D28" s="99">
        <v>8734.1355094946121</v>
      </c>
      <c r="E28" s="99">
        <v>14134.897096125082</v>
      </c>
      <c r="F28" s="99">
        <v>5079.40759803328</v>
      </c>
      <c r="G28" s="99">
        <v>4080.2970608369283</v>
      </c>
      <c r="H28" s="99">
        <v>4786.4174156982499</v>
      </c>
      <c r="I28" s="99">
        <v>3946.8912718033357</v>
      </c>
      <c r="J28" s="99">
        <v>18178.760951711665</v>
      </c>
      <c r="K28" s="99">
        <v>16502.19335372798</v>
      </c>
      <c r="L28" s="99">
        <v>37546.119973141722</v>
      </c>
      <c r="M28" s="99">
        <v>4406.238476651085</v>
      </c>
      <c r="N28" s="99">
        <v>137570.01427415712</v>
      </c>
      <c r="Q28" s="98" t="s">
        <v>1087</v>
      </c>
      <c r="R28" s="99">
        <v>820.46394569478241</v>
      </c>
      <c r="S28" s="99">
        <v>10623.179882347567</v>
      </c>
      <c r="T28" s="99">
        <v>2999.4405689332752</v>
      </c>
      <c r="U28" s="99">
        <v>3712.2807437228976</v>
      </c>
      <c r="V28" s="99">
        <v>2926.034704329772</v>
      </c>
      <c r="W28" s="99">
        <v>943.94961077545327</v>
      </c>
      <c r="X28" s="99">
        <v>699.51312216333201</v>
      </c>
      <c r="Y28" s="99">
        <v>1440.8721128613647</v>
      </c>
      <c r="Z28" s="99">
        <v>5416.1328662459537</v>
      </c>
      <c r="AA28" s="99">
        <v>4184.8474928441228</v>
      </c>
      <c r="AB28" s="99">
        <v>11693.143096373078</v>
      </c>
      <c r="AC28" s="99">
        <v>1228.0235060786952</v>
      </c>
      <c r="AD28" s="99">
        <v>46687.881652370299</v>
      </c>
    </row>
    <row r="29" spans="1:30" ht="12" customHeight="1">
      <c r="A29" s="98" t="s">
        <v>790</v>
      </c>
      <c r="B29" s="99">
        <v>2682.3974911640148</v>
      </c>
      <c r="C29" s="99">
        <v>17035.404073278703</v>
      </c>
      <c r="D29" s="99">
        <v>6829.311193449701</v>
      </c>
      <c r="E29" s="99">
        <v>10648.712987511406</v>
      </c>
      <c r="F29" s="99">
        <v>3869.7326585443034</v>
      </c>
      <c r="G29" s="99">
        <v>2275.7999701927361</v>
      </c>
      <c r="H29" s="99">
        <v>3128.749803170128</v>
      </c>
      <c r="I29" s="99">
        <v>3893.7806074624168</v>
      </c>
      <c r="J29" s="99">
        <v>11491.305718685318</v>
      </c>
      <c r="K29" s="99">
        <v>9058.8296976263664</v>
      </c>
      <c r="L29" s="99">
        <v>21639.024124886291</v>
      </c>
      <c r="M29" s="99">
        <v>2975.1745229590388</v>
      </c>
      <c r="N29" s="99">
        <v>95528.223303856881</v>
      </c>
      <c r="Q29" s="98" t="s">
        <v>522</v>
      </c>
      <c r="R29" s="99">
        <v>2682.3974911640148</v>
      </c>
      <c r="S29" s="99">
        <v>17035.404073278703</v>
      </c>
      <c r="T29" s="99">
        <v>6829.311193449701</v>
      </c>
      <c r="U29" s="99">
        <v>10648.712987511406</v>
      </c>
      <c r="V29" s="99">
        <v>3869.7326585443034</v>
      </c>
      <c r="W29" s="99">
        <v>2275.7999701927361</v>
      </c>
      <c r="X29" s="99">
        <v>3128.749803170128</v>
      </c>
      <c r="Y29" s="99">
        <v>3893.7806074624168</v>
      </c>
      <c r="Z29" s="99">
        <v>11491.305718685318</v>
      </c>
      <c r="AA29" s="99">
        <v>9058.8296976263664</v>
      </c>
      <c r="AB29" s="99">
        <v>21639.024124886291</v>
      </c>
      <c r="AC29" s="99">
        <v>2975.1745229590388</v>
      </c>
      <c r="AD29" s="99">
        <v>95528.222848930425</v>
      </c>
    </row>
    <row r="30" spans="1:30" ht="12" customHeight="1">
      <c r="A30" s="98" t="s">
        <v>523</v>
      </c>
      <c r="B30" s="99">
        <v>1817.6194018567694</v>
      </c>
      <c r="C30" s="99">
        <v>14615.55750331072</v>
      </c>
      <c r="D30" s="99">
        <v>8439.3243355291143</v>
      </c>
      <c r="E30" s="99">
        <v>13805.333119277677</v>
      </c>
      <c r="F30" s="99">
        <v>7604.0315978072185</v>
      </c>
      <c r="G30" s="99">
        <v>5649.7829380750845</v>
      </c>
      <c r="H30" s="99">
        <v>5274.7577547726205</v>
      </c>
      <c r="I30" s="99">
        <v>4177.0982683186912</v>
      </c>
      <c r="J30" s="99">
        <v>18821.477903014489</v>
      </c>
      <c r="K30" s="99">
        <v>15202.226636803003</v>
      </c>
      <c r="L30" s="99">
        <v>35588.440183297425</v>
      </c>
      <c r="M30" s="99">
        <v>4244.7985107113091</v>
      </c>
      <c r="N30" s="99">
        <v>135240.44890163667</v>
      </c>
      <c r="Q30" s="98" t="s">
        <v>523</v>
      </c>
      <c r="R30" s="99">
        <v>1817.6194018567694</v>
      </c>
      <c r="S30" s="99">
        <v>14615.557503310722</v>
      </c>
      <c r="T30" s="99">
        <v>8439.3243355291143</v>
      </c>
      <c r="U30" s="99">
        <v>13805.333119277677</v>
      </c>
      <c r="V30" s="99">
        <v>7604.0315978072185</v>
      </c>
      <c r="W30" s="99">
        <v>5649.7829380750845</v>
      </c>
      <c r="X30" s="99">
        <v>5274.7577547726205</v>
      </c>
      <c r="Y30" s="99">
        <v>4177.0982683186912</v>
      </c>
      <c r="Z30" s="99">
        <v>18821.477903014489</v>
      </c>
      <c r="AA30" s="99">
        <v>15202.226636803003</v>
      </c>
      <c r="AB30" s="99">
        <v>35588.440183297425</v>
      </c>
      <c r="AC30" s="99">
        <v>4244.7985107113091</v>
      </c>
      <c r="AD30" s="99">
        <v>135240.44815277413</v>
      </c>
    </row>
    <row r="31" spans="1:30" ht="12" customHeight="1">
      <c r="A31" s="99" t="s">
        <v>1479</v>
      </c>
      <c r="B31" s="99">
        <v>32214.392245328465</v>
      </c>
      <c r="C31" s="99">
        <v>261395.0961335435</v>
      </c>
      <c r="D31" s="99">
        <v>108634.96384142812</v>
      </c>
      <c r="E31" s="99">
        <v>191410.37525344174</v>
      </c>
      <c r="F31" s="99">
        <v>85780.603979190026</v>
      </c>
      <c r="G31" s="99">
        <v>52767.141398829997</v>
      </c>
      <c r="H31" s="99">
        <v>91853.406644115748</v>
      </c>
      <c r="I31" s="99">
        <v>86049.768858281313</v>
      </c>
      <c r="J31" s="99">
        <v>241633.48812524878</v>
      </c>
      <c r="K31" s="99">
        <v>242346.88068195796</v>
      </c>
      <c r="L31" s="99">
        <v>428839.76616332418</v>
      </c>
      <c r="M31" s="99">
        <v>56749.118304605414</v>
      </c>
      <c r="N31" s="99">
        <v>1879675.0016292953</v>
      </c>
      <c r="Q31" s="98" t="s">
        <v>524</v>
      </c>
      <c r="R31" s="99">
        <v>1642.8070459687981</v>
      </c>
      <c r="S31" s="99">
        <v>34192.00135220497</v>
      </c>
      <c r="T31" s="99">
        <v>12724.98302011033</v>
      </c>
      <c r="U31" s="99">
        <v>19117.512180269601</v>
      </c>
      <c r="V31" s="99">
        <v>8203.829593659495</v>
      </c>
      <c r="W31" s="99">
        <v>5353.4707506656659</v>
      </c>
      <c r="X31" s="99">
        <v>6678.8257236329737</v>
      </c>
      <c r="Y31" s="99">
        <v>6103.9466113296185</v>
      </c>
      <c r="Z31" s="99">
        <v>24316.885154645519</v>
      </c>
      <c r="AA31" s="99">
        <v>22517.634423211792</v>
      </c>
      <c r="AB31" s="99">
        <v>40338.772427804775</v>
      </c>
      <c r="AC31" s="99">
        <v>5136.7826602767655</v>
      </c>
      <c r="AD31" s="99">
        <v>186327.45094378031</v>
      </c>
    </row>
    <row r="32" spans="1:30" ht="12" customHeight="1">
      <c r="A32" s="99"/>
      <c r="B32" s="99"/>
      <c r="C32" s="99"/>
      <c r="D32" s="99"/>
      <c r="E32" s="99"/>
      <c r="F32" s="99"/>
      <c r="G32" s="99"/>
      <c r="H32" s="99"/>
      <c r="I32" s="99"/>
      <c r="J32" s="99"/>
      <c r="K32" s="99"/>
      <c r="L32" s="99"/>
      <c r="M32" s="99"/>
      <c r="N32" s="99">
        <v>1862978.9845528556</v>
      </c>
      <c r="Q32" s="99" t="s">
        <v>1833</v>
      </c>
      <c r="R32" s="99">
        <v>32214.392245328465</v>
      </c>
      <c r="S32" s="99">
        <v>261395.0961335435</v>
      </c>
      <c r="T32" s="99">
        <v>108634.96384142812</v>
      </c>
      <c r="U32" s="99">
        <v>191410.37525344174</v>
      </c>
      <c r="V32" s="99">
        <v>85780.603979190026</v>
      </c>
      <c r="W32" s="99">
        <v>52767.141398829997</v>
      </c>
      <c r="X32" s="99">
        <v>91853.406644115748</v>
      </c>
      <c r="Y32" s="99">
        <v>86049.768858281313</v>
      </c>
      <c r="Z32" s="99">
        <v>241633.48812524878</v>
      </c>
      <c r="AA32" s="99">
        <v>242346.88068195796</v>
      </c>
      <c r="AB32" s="99">
        <v>428839.76616332418</v>
      </c>
      <c r="AC32" s="99">
        <v>56749.118304605414</v>
      </c>
      <c r="AD32" s="99">
        <v>1879675.0016292953</v>
      </c>
    </row>
    <row r="33" spans="1:30" ht="12" customHeight="1">
      <c r="B33" s="221">
        <f>B31/$N31</f>
        <v>1.713827774344243E-2</v>
      </c>
      <c r="C33" s="221">
        <f t="shared" ref="C33:M33" si="5">C31/$N31</f>
        <v>0.13906398494791239</v>
      </c>
      <c r="D33" s="221">
        <f t="shared" si="5"/>
        <v>5.7794546263191103E-2</v>
      </c>
      <c r="E33" s="221">
        <f t="shared" si="5"/>
        <v>0.10183163317463281</v>
      </c>
      <c r="F33" s="221">
        <f t="shared" si="5"/>
        <v>4.5635869980095348E-2</v>
      </c>
      <c r="G33" s="221">
        <f t="shared" si="5"/>
        <v>2.8072481334853971E-2</v>
      </c>
      <c r="H33" s="221">
        <f t="shared" si="5"/>
        <v>4.886664267200317E-2</v>
      </c>
      <c r="I33" s="221">
        <f t="shared" si="5"/>
        <v>4.5779067542896346E-2</v>
      </c>
      <c r="J33" s="221">
        <f t="shared" si="5"/>
        <v>0.12855067387489952</v>
      </c>
      <c r="K33" s="221">
        <f t="shared" si="5"/>
        <v>0.12893020361067342</v>
      </c>
      <c r="L33" s="221">
        <f t="shared" si="5"/>
        <v>0.22814569848064559</v>
      </c>
      <c r="M33" s="221">
        <f t="shared" si="5"/>
        <v>3.0190920374753873E-2</v>
      </c>
      <c r="N33" s="221"/>
      <c r="R33" s="221">
        <f>R32/$AD32</f>
        <v>1.713827774344243E-2</v>
      </c>
      <c r="S33" s="221">
        <f>S32/$AD32</f>
        <v>0.13906398494791239</v>
      </c>
      <c r="T33" s="221">
        <f t="shared" ref="T33:AC33" si="6">T32/$AD32</f>
        <v>5.7794546263191103E-2</v>
      </c>
      <c r="U33" s="221">
        <f t="shared" si="6"/>
        <v>0.10183163317463281</v>
      </c>
      <c r="V33" s="221">
        <f t="shared" si="6"/>
        <v>4.5635869980095348E-2</v>
      </c>
      <c r="W33" s="221">
        <f t="shared" si="6"/>
        <v>2.8072481334853971E-2</v>
      </c>
      <c r="X33" s="221">
        <f t="shared" si="6"/>
        <v>4.886664267200317E-2</v>
      </c>
      <c r="Y33" s="221">
        <f t="shared" si="6"/>
        <v>4.5779067542896346E-2</v>
      </c>
      <c r="Z33" s="221">
        <f t="shared" si="6"/>
        <v>0.12855067387489952</v>
      </c>
      <c r="AA33" s="221">
        <f t="shared" si="6"/>
        <v>0.12893020361067342</v>
      </c>
      <c r="AB33" s="221">
        <f t="shared" si="6"/>
        <v>0.22814569848064559</v>
      </c>
      <c r="AC33" s="221">
        <f t="shared" si="6"/>
        <v>3.0190920374753873E-2</v>
      </c>
      <c r="AD33" s="221"/>
    </row>
    <row r="34" spans="1:30" s="100" customFormat="1" ht="12" customHeight="1">
      <c r="A34" s="101" t="s">
        <v>1830</v>
      </c>
      <c r="H34" s="101" t="s">
        <v>1831</v>
      </c>
    </row>
    <row r="35" spans="1:30" s="102" customFormat="1" ht="12" customHeight="1">
      <c r="A35" s="104"/>
      <c r="B35" s="732"/>
      <c r="C35" s="103"/>
      <c r="D35" s="103"/>
      <c r="E35" s="103"/>
      <c r="F35" s="103"/>
      <c r="G35" s="103"/>
    </row>
    <row r="36" spans="1:30" ht="12" customHeight="1">
      <c r="A36" s="105"/>
      <c r="B36" s="106"/>
      <c r="C36" s="106"/>
      <c r="D36" s="106"/>
      <c r="E36" s="106"/>
      <c r="F36" s="106"/>
      <c r="G36" s="107"/>
      <c r="H36" s="238"/>
    </row>
    <row r="37" spans="1:30" ht="12" customHeight="1">
      <c r="A37" s="110" t="s">
        <v>1841</v>
      </c>
      <c r="H37" s="238"/>
      <c r="I37" s="108" t="s">
        <v>1840</v>
      </c>
      <c r="J37" s="106">
        <v>2009</v>
      </c>
      <c r="K37" s="106">
        <v>2010</v>
      </c>
      <c r="L37" s="106">
        <v>2011</v>
      </c>
      <c r="M37" s="106">
        <v>2012</v>
      </c>
      <c r="N37" s="109">
        <v>2013</v>
      </c>
      <c r="O37" s="109">
        <v>2014</v>
      </c>
      <c r="Q37" s="108"/>
      <c r="R37" s="106"/>
      <c r="S37" s="106"/>
      <c r="T37" s="106"/>
      <c r="U37" s="106"/>
      <c r="V37" s="109"/>
      <c r="W37" s="109"/>
    </row>
    <row r="38" spans="1:30" ht="12" customHeight="1">
      <c r="B38" s="106">
        <v>2009</v>
      </c>
      <c r="C38" s="106">
        <v>2010</v>
      </c>
      <c r="D38" s="106">
        <v>2011</v>
      </c>
      <c r="E38" s="106">
        <v>2012</v>
      </c>
      <c r="F38" s="106">
        <v>2013</v>
      </c>
      <c r="G38" s="106">
        <v>2014</v>
      </c>
      <c r="H38" s="239"/>
      <c r="I38" s="110" t="s">
        <v>525</v>
      </c>
      <c r="J38" s="111">
        <v>52563.696877989074</v>
      </c>
      <c r="K38" s="111">
        <v>52363.451891943267</v>
      </c>
      <c r="L38" s="111">
        <v>54416.651061214608</v>
      </c>
      <c r="M38" s="111">
        <v>54288.547510943594</v>
      </c>
      <c r="N38" s="111">
        <v>55227.492036003227</v>
      </c>
      <c r="O38" s="112">
        <v>55937.915864576884</v>
      </c>
      <c r="Q38" s="110"/>
      <c r="R38" s="111"/>
      <c r="S38" s="111"/>
      <c r="T38" s="111"/>
      <c r="U38" s="111"/>
      <c r="V38" s="111"/>
      <c r="W38" s="112"/>
    </row>
    <row r="39" spans="1:30" ht="12" customHeight="1">
      <c r="A39" s="110" t="s">
        <v>1834</v>
      </c>
      <c r="B39" s="111">
        <v>219262.0477039495</v>
      </c>
      <c r="C39" s="111">
        <v>225165.722898117</v>
      </c>
      <c r="D39" s="111">
        <v>235357.20789589701</v>
      </c>
      <c r="E39" s="111">
        <v>237266.2940567779</v>
      </c>
      <c r="F39" s="111">
        <v>240201.16918987641</v>
      </c>
      <c r="G39" s="111">
        <v>244048.93898821151</v>
      </c>
      <c r="H39" s="239"/>
      <c r="I39" s="110" t="s">
        <v>74</v>
      </c>
      <c r="J39" s="111">
        <v>85613.328158132979</v>
      </c>
      <c r="K39" s="111">
        <v>87778.377687311906</v>
      </c>
      <c r="L39" s="111">
        <v>91840.910031115025</v>
      </c>
      <c r="M39" s="111">
        <v>92901.706059100077</v>
      </c>
      <c r="N39" s="111">
        <v>93139.501125294133</v>
      </c>
      <c r="O39" s="112">
        <v>94357.90241778559</v>
      </c>
      <c r="Q39" s="110"/>
      <c r="R39" s="111"/>
      <c r="S39" s="111"/>
      <c r="T39" s="111"/>
      <c r="U39" s="111"/>
      <c r="V39" s="111"/>
      <c r="W39" s="112"/>
    </row>
    <row r="40" spans="1:30" ht="12" customHeight="1">
      <c r="A40" s="110" t="s">
        <v>788</v>
      </c>
      <c r="B40" s="111">
        <v>80428.573372374653</v>
      </c>
      <c r="C40" s="111">
        <v>81299.450683662886</v>
      </c>
      <c r="D40" s="111">
        <v>85011.055111262016</v>
      </c>
      <c r="E40" s="111">
        <v>86154.197563286274</v>
      </c>
      <c r="F40" s="111">
        <v>87600.593102600338</v>
      </c>
      <c r="G40" s="111">
        <v>89467.994498370928</v>
      </c>
      <c r="H40" s="239"/>
      <c r="I40" s="110" t="s">
        <v>527</v>
      </c>
      <c r="J40" s="111">
        <v>80428.573372374653</v>
      </c>
      <c r="K40" s="111">
        <v>81299.450683662886</v>
      </c>
      <c r="L40" s="111">
        <v>85011.055111262016</v>
      </c>
      <c r="M40" s="111">
        <v>86154.197563286274</v>
      </c>
      <c r="N40" s="111">
        <v>87600.593102600338</v>
      </c>
      <c r="O40" s="112">
        <v>89467.994498370928</v>
      </c>
      <c r="Q40" s="110"/>
      <c r="R40" s="111"/>
      <c r="S40" s="111"/>
      <c r="T40" s="111"/>
      <c r="U40" s="111"/>
      <c r="V40" s="111"/>
      <c r="W40" s="112"/>
    </row>
    <row r="41" spans="1:30" ht="12" customHeight="1">
      <c r="A41" s="110" t="s">
        <v>1835</v>
      </c>
      <c r="B41" s="111">
        <v>143018.05909614442</v>
      </c>
      <c r="C41" s="111">
        <v>142866.82203058086</v>
      </c>
      <c r="D41" s="111">
        <v>148739.08742265339</v>
      </c>
      <c r="E41" s="111">
        <v>147276.09809149438</v>
      </c>
      <c r="F41" s="111">
        <v>149011.22941709531</v>
      </c>
      <c r="G41" s="111">
        <v>150344.88357937842</v>
      </c>
      <c r="H41" s="239"/>
      <c r="I41" s="110" t="s">
        <v>520</v>
      </c>
      <c r="J41" s="111">
        <v>61904.396321424269</v>
      </c>
      <c r="K41" s="111">
        <v>62745.508648263625</v>
      </c>
      <c r="L41" s="111">
        <v>65422.622715669313</v>
      </c>
      <c r="M41" s="111">
        <v>65826.715011012784</v>
      </c>
      <c r="N41" s="111">
        <v>66018.659940679965</v>
      </c>
      <c r="O41" s="112">
        <v>66959.660727375158</v>
      </c>
      <c r="Q41" s="110"/>
      <c r="R41" s="111"/>
      <c r="S41" s="111"/>
      <c r="T41" s="111"/>
      <c r="U41" s="111"/>
      <c r="V41" s="111"/>
      <c r="W41" s="112"/>
    </row>
    <row r="42" spans="1:30" ht="12" customHeight="1">
      <c r="A42" s="110" t="s">
        <v>1836</v>
      </c>
      <c r="B42" s="111">
        <v>143212.29718300558</v>
      </c>
      <c r="C42" s="111">
        <v>144983.73963221101</v>
      </c>
      <c r="D42" s="111">
        <v>150222.93317743883</v>
      </c>
      <c r="E42" s="111">
        <v>150400.28753204766</v>
      </c>
      <c r="F42" s="111">
        <v>152133.18433447671</v>
      </c>
      <c r="G42" s="111">
        <v>153861.94836056733</v>
      </c>
      <c r="H42" s="239"/>
      <c r="I42" s="110" t="s">
        <v>521</v>
      </c>
      <c r="J42" s="111">
        <v>77411.910734751815</v>
      </c>
      <c r="K42" s="111">
        <v>77438.225197538428</v>
      </c>
      <c r="L42" s="111">
        <v>81134.224460729762</v>
      </c>
      <c r="M42" s="111">
        <v>83826.448087839875</v>
      </c>
      <c r="N42" s="111">
        <v>85723.157009315604</v>
      </c>
      <c r="O42" s="112">
        <v>86692.70035141772</v>
      </c>
      <c r="Q42" s="110"/>
      <c r="R42" s="111"/>
      <c r="S42" s="111"/>
      <c r="T42" s="111"/>
      <c r="U42" s="111"/>
      <c r="V42" s="111"/>
      <c r="W42" s="112"/>
    </row>
    <row r="43" spans="1:30" ht="12" customHeight="1">
      <c r="A43" s="110" t="s">
        <v>1837</v>
      </c>
      <c r="B43" s="111">
        <v>83502.938125481742</v>
      </c>
      <c r="C43" s="111">
        <v>85549.671843471413</v>
      </c>
      <c r="D43" s="111">
        <v>88601.974141223385</v>
      </c>
      <c r="E43" s="111">
        <v>88929.911653012037</v>
      </c>
      <c r="F43" s="111">
        <v>89839.720705864776</v>
      </c>
      <c r="G43" s="111">
        <v>90346.900579204113</v>
      </c>
      <c r="H43" s="239"/>
      <c r="I43" s="110" t="s">
        <v>526</v>
      </c>
      <c r="J43" s="111">
        <v>99077.458585720058</v>
      </c>
      <c r="K43" s="111">
        <v>99967.969843187399</v>
      </c>
      <c r="L43" s="111">
        <v>103810.58325261937</v>
      </c>
      <c r="M43" s="111">
        <v>103516.87066548124</v>
      </c>
      <c r="N43" s="111">
        <v>105101.79936201019</v>
      </c>
      <c r="O43" s="112">
        <v>106797.93780399679</v>
      </c>
      <c r="Q43" s="110"/>
      <c r="R43" s="111"/>
      <c r="S43" s="111"/>
      <c r="T43" s="111"/>
      <c r="U43" s="111"/>
      <c r="V43" s="111"/>
      <c r="W43" s="112"/>
    </row>
    <row r="44" spans="1:30" ht="12" customHeight="1">
      <c r="A44" s="110" t="s">
        <v>1838</v>
      </c>
      <c r="B44" s="111">
        <v>145298.78593604892</v>
      </c>
      <c r="C44" s="111">
        <v>148172.23962077498</v>
      </c>
      <c r="D44" s="111">
        <v>154505.32671581634</v>
      </c>
      <c r="E44" s="111">
        <v>156646.62014894219</v>
      </c>
      <c r="F44" s="111">
        <v>157717.59423720569</v>
      </c>
      <c r="G44" s="111">
        <v>159789.82985310262</v>
      </c>
      <c r="H44" s="239"/>
      <c r="I44" s="98" t="s">
        <v>1087</v>
      </c>
      <c r="J44" s="111">
        <v>47622.99544214287</v>
      </c>
      <c r="K44" s="111">
        <v>49009.393483742082</v>
      </c>
      <c r="L44" s="111">
        <v>50687.99124329746</v>
      </c>
      <c r="M44" s="111">
        <v>51297.370160865074</v>
      </c>
      <c r="N44" s="111">
        <v>51765.936559491063</v>
      </c>
      <c r="O44" s="112">
        <v>52145.835220629386</v>
      </c>
      <c r="Q44" s="98"/>
      <c r="R44" s="111"/>
      <c r="S44" s="111"/>
      <c r="T44" s="111"/>
      <c r="U44" s="111"/>
      <c r="V44" s="111"/>
      <c r="W44" s="112"/>
    </row>
    <row r="45" spans="1:30" ht="12" customHeight="1">
      <c r="A45" s="110" t="s">
        <v>1839</v>
      </c>
      <c r="B45" s="111">
        <v>139316.30705617607</v>
      </c>
      <c r="C45" s="111">
        <v>140183.73384580205</v>
      </c>
      <c r="D45" s="111">
        <v>146556.84717639908</v>
      </c>
      <c r="E45" s="111">
        <v>149653.16309885267</v>
      </c>
      <c r="F45" s="111">
        <v>151741.81694999558</v>
      </c>
      <c r="G45" s="111">
        <v>153652.36107879289</v>
      </c>
      <c r="H45" s="239"/>
      <c r="I45" s="110" t="s">
        <v>522</v>
      </c>
      <c r="J45" s="111">
        <v>95402.973480669971</v>
      </c>
      <c r="K45" s="111">
        <v>96709.073745455316</v>
      </c>
      <c r="L45" s="111">
        <v>101976.38446339349</v>
      </c>
      <c r="M45" s="111">
        <v>103234.64848960459</v>
      </c>
      <c r="N45" s="111">
        <v>104948.39804015009</v>
      </c>
      <c r="O45" s="112">
        <v>106695.75879412482</v>
      </c>
      <c r="Q45" s="110"/>
      <c r="R45" s="111"/>
      <c r="S45" s="111"/>
      <c r="T45" s="111"/>
      <c r="U45" s="111"/>
      <c r="V45" s="111"/>
      <c r="W45" s="112"/>
    </row>
    <row r="46" spans="1:30" ht="12" customHeight="1">
      <c r="A46" s="110" t="s">
        <v>790</v>
      </c>
      <c r="B46" s="111">
        <v>95402.973480669971</v>
      </c>
      <c r="C46" s="111">
        <v>96709.073745455316</v>
      </c>
      <c r="D46" s="111">
        <v>101976.38446339349</v>
      </c>
      <c r="E46" s="111">
        <v>103234.6484896046</v>
      </c>
      <c r="F46" s="111">
        <v>104948.39804015009</v>
      </c>
      <c r="G46" s="111">
        <v>106695.75879412482</v>
      </c>
      <c r="H46" s="239"/>
      <c r="I46" s="110" t="s">
        <v>523</v>
      </c>
      <c r="J46" s="111">
        <v>137276.24037871</v>
      </c>
      <c r="K46" s="111">
        <v>143112.57586563969</v>
      </c>
      <c r="L46" s="111">
        <v>146235.11180931996</v>
      </c>
      <c r="M46" s="111">
        <v>150297.76814202944</v>
      </c>
      <c r="N46" s="111">
        <v>149988.49172422304</v>
      </c>
      <c r="O46" s="112">
        <v>151050.46253524956</v>
      </c>
      <c r="Q46" s="110"/>
      <c r="R46" s="111"/>
      <c r="S46" s="111"/>
      <c r="T46" s="111"/>
      <c r="U46" s="111"/>
      <c r="V46" s="111"/>
      <c r="W46" s="112"/>
    </row>
    <row r="47" spans="1:30" ht="12" customHeight="1">
      <c r="A47" s="110" t="s">
        <v>523</v>
      </c>
      <c r="B47" s="111">
        <v>137276.24037871</v>
      </c>
      <c r="C47" s="111">
        <v>143112.57586563969</v>
      </c>
      <c r="D47" s="111">
        <v>146235.11180931996</v>
      </c>
      <c r="E47" s="111">
        <v>150297.76814202947</v>
      </c>
      <c r="F47" s="111">
        <v>149988.49172422304</v>
      </c>
      <c r="G47" s="111">
        <v>151050.46253524956</v>
      </c>
      <c r="H47" s="239"/>
      <c r="I47" s="110" t="s">
        <v>524</v>
      </c>
      <c r="J47" s="111">
        <v>186627.39121625258</v>
      </c>
      <c r="K47" s="111">
        <v>191886.82736487748</v>
      </c>
      <c r="L47" s="111">
        <v>200629.3571217343</v>
      </c>
      <c r="M47" s="111">
        <v>202463.82975154967</v>
      </c>
      <c r="N47" s="111">
        <v>204733.33917824281</v>
      </c>
      <c r="O47" s="112">
        <v>208109.68958635116</v>
      </c>
      <c r="Q47" s="110"/>
      <c r="R47" s="111"/>
      <c r="S47" s="111"/>
      <c r="T47" s="111"/>
      <c r="U47" s="111"/>
      <c r="V47" s="111"/>
      <c r="W47" s="112"/>
    </row>
    <row r="48" spans="1:30" ht="12" customHeight="1">
      <c r="A48" s="110" t="s">
        <v>1833</v>
      </c>
      <c r="B48" s="111">
        <v>1903563.7508552847</v>
      </c>
      <c r="C48" s="111">
        <v>1961745.8167142775</v>
      </c>
      <c r="D48" s="111">
        <v>2021626.1964378688</v>
      </c>
      <c r="E48" s="111">
        <v>2047447.3805673025</v>
      </c>
      <c r="F48" s="111">
        <v>2075862.4509124449</v>
      </c>
      <c r="G48" s="111">
        <v>2099414.6516705519</v>
      </c>
      <c r="H48" s="239"/>
      <c r="I48" s="110" t="s">
        <v>1479</v>
      </c>
      <c r="J48" s="111">
        <v>1903563.7508552847</v>
      </c>
      <c r="K48" s="111">
        <v>1961745.8167142775</v>
      </c>
      <c r="L48" s="111">
        <v>2021626.1964378688</v>
      </c>
      <c r="M48" s="111">
        <v>2047447.3805673025</v>
      </c>
      <c r="N48" s="111">
        <v>2075862.4509124449</v>
      </c>
      <c r="O48" s="112">
        <v>2099414.6516705519</v>
      </c>
      <c r="Q48" s="110"/>
      <c r="R48" s="111"/>
      <c r="S48" s="111"/>
      <c r="T48" s="111"/>
      <c r="U48" s="111"/>
      <c r="V48" s="111"/>
      <c r="W48" s="112"/>
    </row>
    <row r="50" spans="1:15" ht="12" customHeight="1">
      <c r="I50" s="96" t="s">
        <v>1840</v>
      </c>
    </row>
    <row r="51" spans="1:15" ht="12" customHeight="1">
      <c r="A51" s="96" t="s">
        <v>1841</v>
      </c>
      <c r="B51" s="96">
        <v>2009</v>
      </c>
      <c r="C51" s="96">
        <v>2010</v>
      </c>
      <c r="D51" s="96">
        <v>2011</v>
      </c>
      <c r="E51" s="96">
        <v>2012</v>
      </c>
      <c r="F51" s="96">
        <v>2013</v>
      </c>
      <c r="G51" s="96">
        <v>2014</v>
      </c>
      <c r="J51" s="96">
        <v>2009</v>
      </c>
      <c r="K51" s="96">
        <v>2010</v>
      </c>
      <c r="L51" s="96">
        <v>2011</v>
      </c>
      <c r="M51" s="96">
        <v>2012</v>
      </c>
      <c r="N51" s="96">
        <v>2013</v>
      </c>
      <c r="O51" s="96">
        <v>2014</v>
      </c>
    </row>
    <row r="52" spans="1:15" ht="12" customHeight="1">
      <c r="A52" s="96" t="s">
        <v>1834</v>
      </c>
      <c r="B52" s="96">
        <v>100</v>
      </c>
      <c r="C52" s="221">
        <f>C39/$B39</f>
        <v>1.0269252032259533</v>
      </c>
      <c r="D52" s="221">
        <f t="shared" ref="D52:G52" si="7">D39/$B39</f>
        <v>1.0734060470587203</v>
      </c>
      <c r="E52" s="221">
        <f t="shared" si="7"/>
        <v>1.0821129171298169</v>
      </c>
      <c r="F52" s="221">
        <f t="shared" si="7"/>
        <v>1.0954981571375233</v>
      </c>
      <c r="G52" s="221">
        <f t="shared" si="7"/>
        <v>1.1130468840541414</v>
      </c>
      <c r="I52" s="96" t="s">
        <v>525</v>
      </c>
      <c r="J52" s="96">
        <v>100</v>
      </c>
      <c r="K52" s="221">
        <f>K38/$J38</f>
        <v>0.99619043183909584</v>
      </c>
      <c r="L52" s="221">
        <f t="shared" ref="L52:O52" si="8">L38/$J38</f>
        <v>1.035251595555134</v>
      </c>
      <c r="M52" s="221">
        <f t="shared" si="8"/>
        <v>1.0328144848136964</v>
      </c>
      <c r="N52" s="221">
        <f t="shared" si="8"/>
        <v>1.0506774697410906</v>
      </c>
      <c r="O52" s="221">
        <f t="shared" si="8"/>
        <v>1.0641929542060189</v>
      </c>
    </row>
    <row r="53" spans="1:15" ht="12" customHeight="1">
      <c r="A53" s="96" t="s">
        <v>788</v>
      </c>
      <c r="B53" s="96">
        <v>100</v>
      </c>
      <c r="C53" s="221">
        <f t="shared" ref="C53:G53" si="9">C40/$B40</f>
        <v>1.0108279592037046</v>
      </c>
      <c r="D53" s="221">
        <f t="shared" si="9"/>
        <v>1.0569757928898107</v>
      </c>
      <c r="E53" s="221">
        <f t="shared" si="9"/>
        <v>1.0711889313814218</v>
      </c>
      <c r="F53" s="221">
        <f t="shared" si="9"/>
        <v>1.0891725344551382</v>
      </c>
      <c r="G53" s="221">
        <f t="shared" si="9"/>
        <v>1.112390668477294</v>
      </c>
      <c r="I53" s="96" t="s">
        <v>74</v>
      </c>
      <c r="J53" s="96">
        <v>100</v>
      </c>
      <c r="K53" s="221">
        <f t="shared" ref="K53:O53" si="10">K39/$J39</f>
        <v>1.0252886971661697</v>
      </c>
      <c r="L53" s="221">
        <f t="shared" si="10"/>
        <v>1.0727407987396462</v>
      </c>
      <c r="M53" s="221">
        <f t="shared" si="10"/>
        <v>1.0851313464593391</v>
      </c>
      <c r="N53" s="221">
        <f t="shared" si="10"/>
        <v>1.0879088937327592</v>
      </c>
      <c r="O53" s="221">
        <f t="shared" si="10"/>
        <v>1.1021403378163368</v>
      </c>
    </row>
    <row r="54" spans="1:15" ht="12" customHeight="1">
      <c r="A54" s="96" t="s">
        <v>1835</v>
      </c>
      <c r="B54" s="96">
        <v>100</v>
      </c>
      <c r="C54" s="221">
        <f t="shared" ref="C54:G54" si="11">C41/$B41</f>
        <v>0.99894253168782066</v>
      </c>
      <c r="D54" s="221">
        <f t="shared" si="11"/>
        <v>1.040002139328873</v>
      </c>
      <c r="E54" s="221">
        <f t="shared" si="11"/>
        <v>1.029772736549917</v>
      </c>
      <c r="F54" s="221">
        <f t="shared" si="11"/>
        <v>1.0419049898930732</v>
      </c>
      <c r="G54" s="221">
        <f t="shared" si="11"/>
        <v>1.0512300651367987</v>
      </c>
      <c r="I54" s="96" t="s">
        <v>527</v>
      </c>
      <c r="J54" s="96">
        <v>100</v>
      </c>
      <c r="K54" s="221">
        <f t="shared" ref="K54:O54" si="12">K40/$J40</f>
        <v>1.0108279592037046</v>
      </c>
      <c r="L54" s="221">
        <f t="shared" si="12"/>
        <v>1.0569757928898107</v>
      </c>
      <c r="M54" s="221">
        <f t="shared" si="12"/>
        <v>1.0711889313814218</v>
      </c>
      <c r="N54" s="221">
        <f t="shared" si="12"/>
        <v>1.0891725344551382</v>
      </c>
      <c r="O54" s="221">
        <f t="shared" si="12"/>
        <v>1.112390668477294</v>
      </c>
    </row>
    <row r="55" spans="1:15" ht="12" customHeight="1">
      <c r="A55" s="96" t="s">
        <v>1836</v>
      </c>
      <c r="B55" s="96">
        <v>100</v>
      </c>
      <c r="C55" s="221">
        <f t="shared" ref="C55:G55" si="13">C42/$B42</f>
        <v>1.0123693459573642</v>
      </c>
      <c r="D55" s="221">
        <f t="shared" si="13"/>
        <v>1.0489527514908488</v>
      </c>
      <c r="E55" s="221">
        <f t="shared" si="13"/>
        <v>1.0501911532070241</v>
      </c>
      <c r="F55" s="221">
        <f t="shared" si="13"/>
        <v>1.0622913487664503</v>
      </c>
      <c r="G55" s="221">
        <f t="shared" si="13"/>
        <v>1.0743626866340463</v>
      </c>
      <c r="I55" s="96" t="s">
        <v>520</v>
      </c>
      <c r="J55" s="96">
        <v>100</v>
      </c>
      <c r="K55" s="221">
        <f t="shared" ref="K55:O55" si="14">K41/$J41</f>
        <v>1.013587279366591</v>
      </c>
      <c r="L55" s="221">
        <f t="shared" si="14"/>
        <v>1.0568332235400126</v>
      </c>
      <c r="M55" s="221">
        <f t="shared" si="14"/>
        <v>1.0633609068606822</v>
      </c>
      <c r="N55" s="221">
        <f t="shared" si="14"/>
        <v>1.0664615740357652</v>
      </c>
      <c r="O55" s="221">
        <f t="shared" si="14"/>
        <v>1.0816624457446058</v>
      </c>
    </row>
    <row r="56" spans="1:15" ht="12" customHeight="1">
      <c r="A56" s="96" t="s">
        <v>1837</v>
      </c>
      <c r="B56" s="96">
        <v>100</v>
      </c>
      <c r="C56" s="221">
        <f t="shared" ref="C56:G56" si="15">C43/$B43</f>
        <v>1.0245109185848527</v>
      </c>
      <c r="D56" s="221">
        <f t="shared" si="15"/>
        <v>1.061064150917411</v>
      </c>
      <c r="E56" s="221">
        <f t="shared" si="15"/>
        <v>1.0649914080792591</v>
      </c>
      <c r="F56" s="221">
        <f t="shared" si="15"/>
        <v>1.0758869414973233</v>
      </c>
      <c r="G56" s="221">
        <f t="shared" si="15"/>
        <v>1.0819607382369922</v>
      </c>
      <c r="I56" s="96" t="s">
        <v>521</v>
      </c>
      <c r="J56" s="96">
        <v>100</v>
      </c>
      <c r="K56" s="221">
        <f t="shared" ref="K56:O56" si="16">K42/$J42</f>
        <v>1.0003399278294109</v>
      </c>
      <c r="L56" s="221">
        <f t="shared" si="16"/>
        <v>1.0480845090974731</v>
      </c>
      <c r="M56" s="221">
        <f t="shared" si="16"/>
        <v>1.0828624082806477</v>
      </c>
      <c r="N56" s="221">
        <f t="shared" si="16"/>
        <v>1.1073639210772341</v>
      </c>
      <c r="O56" s="221">
        <f t="shared" si="16"/>
        <v>1.1198883935117696</v>
      </c>
    </row>
    <row r="57" spans="1:15" ht="12" customHeight="1">
      <c r="A57" s="96" t="s">
        <v>1838</v>
      </c>
      <c r="B57" s="96">
        <v>100</v>
      </c>
      <c r="C57" s="221">
        <f t="shared" ref="C57:G57" si="17">C44/$B44</f>
        <v>1.0197761713300948</v>
      </c>
      <c r="D57" s="221">
        <f t="shared" si="17"/>
        <v>1.0633628197266529</v>
      </c>
      <c r="E57" s="221">
        <f t="shared" si="17"/>
        <v>1.0780999933329647</v>
      </c>
      <c r="F57" s="221">
        <f t="shared" si="17"/>
        <v>1.0854708332292791</v>
      </c>
      <c r="G57" s="221">
        <f t="shared" si="17"/>
        <v>1.0997327253885776</v>
      </c>
      <c r="I57" s="96" t="s">
        <v>526</v>
      </c>
      <c r="J57" s="96">
        <v>100</v>
      </c>
      <c r="K57" s="221">
        <f t="shared" ref="K57:O57" si="18">K43/$J43</f>
        <v>1.008988030881887</v>
      </c>
      <c r="L57" s="221">
        <f t="shared" si="18"/>
        <v>1.0477719628103328</v>
      </c>
      <c r="M57" s="221">
        <f t="shared" si="18"/>
        <v>1.0448074884351246</v>
      </c>
      <c r="N57" s="221">
        <f t="shared" si="18"/>
        <v>1.0608043531019518</v>
      </c>
      <c r="O57" s="221">
        <f t="shared" si="18"/>
        <v>1.0779236703129311</v>
      </c>
    </row>
    <row r="58" spans="1:15" ht="12" customHeight="1">
      <c r="A58" s="96" t="s">
        <v>1839</v>
      </c>
      <c r="B58" s="96">
        <v>100</v>
      </c>
      <c r="C58" s="221">
        <f t="shared" ref="C58:G58" si="19">C45/$B45</f>
        <v>1.0062263119655921</v>
      </c>
      <c r="D58" s="221">
        <f t="shared" si="19"/>
        <v>1.051971949825683</v>
      </c>
      <c r="E58" s="221">
        <f t="shared" si="19"/>
        <v>1.0741970287692775</v>
      </c>
      <c r="F58" s="221">
        <f t="shared" si="19"/>
        <v>1.0891891994295342</v>
      </c>
      <c r="G58" s="221">
        <f t="shared" si="19"/>
        <v>1.1029029144221871</v>
      </c>
      <c r="I58" s="96" t="s">
        <v>1087</v>
      </c>
      <c r="J58" s="96">
        <v>100</v>
      </c>
      <c r="K58" s="221">
        <f t="shared" ref="K58:O58" si="20">K44/$J44</f>
        <v>1.0291119453685678</v>
      </c>
      <c r="L58" s="221">
        <f t="shared" si="20"/>
        <v>1.0643595761396036</v>
      </c>
      <c r="M58" s="221">
        <f t="shared" si="20"/>
        <v>1.0771554725738788</v>
      </c>
      <c r="N58" s="221">
        <f t="shared" si="20"/>
        <v>1.0869945512432424</v>
      </c>
      <c r="O58" s="221">
        <f t="shared" si="20"/>
        <v>1.094971761782211</v>
      </c>
    </row>
    <row r="59" spans="1:15" ht="12" customHeight="1">
      <c r="A59" s="96" t="s">
        <v>790</v>
      </c>
      <c r="B59" s="96">
        <v>100</v>
      </c>
      <c r="C59" s="221">
        <f t="shared" ref="C59:G59" si="21">C46/$B46</f>
        <v>1.0136903517483129</v>
      </c>
      <c r="D59" s="221">
        <f t="shared" si="21"/>
        <v>1.068901531502636</v>
      </c>
      <c r="E59" s="221">
        <f t="shared" si="21"/>
        <v>1.082090470801955</v>
      </c>
      <c r="F59" s="221">
        <f t="shared" si="21"/>
        <v>1.1000537426793533</v>
      </c>
      <c r="G59" s="221">
        <f t="shared" si="21"/>
        <v>1.1183693222700541</v>
      </c>
      <c r="I59" s="96" t="s">
        <v>522</v>
      </c>
      <c r="J59" s="96">
        <v>100</v>
      </c>
      <c r="K59" s="221">
        <f t="shared" ref="K59:O59" si="22">K45/$J45</f>
        <v>1.0136903517483129</v>
      </c>
      <c r="L59" s="221">
        <f t="shared" si="22"/>
        <v>1.068901531502636</v>
      </c>
      <c r="M59" s="221">
        <f t="shared" si="22"/>
        <v>1.082090470801955</v>
      </c>
      <c r="N59" s="221">
        <f t="shared" si="22"/>
        <v>1.1000537426793533</v>
      </c>
      <c r="O59" s="221">
        <f t="shared" si="22"/>
        <v>1.1183693222700541</v>
      </c>
    </row>
    <row r="60" spans="1:15" ht="12" customHeight="1">
      <c r="A60" s="96" t="s">
        <v>523</v>
      </c>
      <c r="B60" s="96">
        <v>100</v>
      </c>
      <c r="C60" s="221">
        <f t="shared" ref="C60:G60" si="23">C47/$B47</f>
        <v>1.0425152631717531</v>
      </c>
      <c r="D60" s="221">
        <f t="shared" si="23"/>
        <v>1.0652616316260901</v>
      </c>
      <c r="E60" s="221">
        <f t="shared" si="23"/>
        <v>1.0948563839408509</v>
      </c>
      <c r="F60" s="221">
        <f t="shared" si="23"/>
        <v>1.0926034345815647</v>
      </c>
      <c r="G60" s="221">
        <f t="shared" si="23"/>
        <v>1.1003394478064086</v>
      </c>
      <c r="I60" s="96" t="s">
        <v>523</v>
      </c>
      <c r="J60" s="96">
        <v>100</v>
      </c>
      <c r="K60" s="221">
        <f t="shared" ref="K60:O60" si="24">K46/$J46</f>
        <v>1.0425152631717531</v>
      </c>
      <c r="L60" s="221">
        <f t="shared" si="24"/>
        <v>1.0652616316260901</v>
      </c>
      <c r="M60" s="221">
        <f t="shared" si="24"/>
        <v>1.0948563839408507</v>
      </c>
      <c r="N60" s="221">
        <f t="shared" si="24"/>
        <v>1.0926034345815647</v>
      </c>
      <c r="O60" s="221">
        <f t="shared" si="24"/>
        <v>1.1003394478064086</v>
      </c>
    </row>
    <row r="61" spans="1:15" ht="12" customHeight="1">
      <c r="A61" s="96" t="s">
        <v>1479</v>
      </c>
      <c r="B61" s="96">
        <v>100</v>
      </c>
      <c r="C61" s="221">
        <f t="shared" ref="C61:G61" si="25">C48/$B48</f>
        <v>1.03056481078338</v>
      </c>
      <c r="D61" s="221">
        <f t="shared" si="25"/>
        <v>1.0620217975518487</v>
      </c>
      <c r="E61" s="221">
        <f t="shared" si="25"/>
        <v>1.0755864518051312</v>
      </c>
      <c r="F61" s="221">
        <f t="shared" si="25"/>
        <v>1.0905137534688529</v>
      </c>
      <c r="G61" s="221">
        <f t="shared" si="25"/>
        <v>1.1028864416688278</v>
      </c>
      <c r="I61" s="96" t="s">
        <v>524</v>
      </c>
      <c r="J61" s="96">
        <v>100</v>
      </c>
      <c r="K61" s="221">
        <f t="shared" ref="K61:O61" si="26">K47/$J47</f>
        <v>1.0281814802979836</v>
      </c>
      <c r="L61" s="221">
        <f t="shared" si="26"/>
        <v>1.0750263174887178</v>
      </c>
      <c r="M61" s="221">
        <f t="shared" si="26"/>
        <v>1.0848559176232966</v>
      </c>
      <c r="N61" s="221">
        <f t="shared" si="26"/>
        <v>1.097016562488462</v>
      </c>
      <c r="O61" s="221">
        <f t="shared" si="26"/>
        <v>1.115107960466565</v>
      </c>
    </row>
    <row r="62" spans="1:15" ht="12" customHeight="1">
      <c r="C62" s="221"/>
      <c r="D62" s="221"/>
      <c r="E62" s="221"/>
      <c r="F62" s="221"/>
      <c r="G62" s="221"/>
      <c r="I62" s="96" t="s">
        <v>1479</v>
      </c>
      <c r="J62" s="96">
        <v>100</v>
      </c>
      <c r="K62" s="221">
        <f t="shared" ref="K62:O62" si="27">K48/$J48</f>
        <v>1.03056481078338</v>
      </c>
      <c r="L62" s="221">
        <f t="shared" si="27"/>
        <v>1.0620217975518487</v>
      </c>
      <c r="M62" s="221">
        <f t="shared" si="27"/>
        <v>1.0755864518051312</v>
      </c>
      <c r="N62" s="221">
        <f t="shared" si="27"/>
        <v>1.0905137534688529</v>
      </c>
      <c r="O62" s="221">
        <f t="shared" si="27"/>
        <v>1.1028864416688278</v>
      </c>
    </row>
    <row r="65" spans="1:7" s="115" customFormat="1" ht="12" customHeight="1">
      <c r="A65" s="116" t="s">
        <v>541</v>
      </c>
    </row>
    <row r="66" spans="1:7" ht="12" customHeight="1">
      <c r="A66" s="114" t="s">
        <v>542</v>
      </c>
    </row>
    <row r="68" spans="1:7" ht="12" customHeight="1">
      <c r="C68" s="96" t="s">
        <v>543</v>
      </c>
      <c r="D68" s="96" t="s">
        <v>544</v>
      </c>
      <c r="E68" s="96" t="s">
        <v>545</v>
      </c>
      <c r="F68" s="96" t="s">
        <v>544</v>
      </c>
      <c r="G68" s="96" t="s">
        <v>546</v>
      </c>
    </row>
    <row r="69" spans="1:7" ht="12" customHeight="1">
      <c r="A69" s="96" t="s">
        <v>547</v>
      </c>
      <c r="C69" s="24">
        <v>63813756</v>
      </c>
      <c r="D69" s="96">
        <v>2.8</v>
      </c>
      <c r="E69" s="96">
        <v>8972069</v>
      </c>
      <c r="F69" s="96">
        <v>22.2</v>
      </c>
      <c r="G69" s="24">
        <f>C69-E69</f>
        <v>54841687</v>
      </c>
    </row>
    <row r="70" spans="1:7" ht="12" customHeight="1">
      <c r="A70" s="96" t="s">
        <v>548</v>
      </c>
      <c r="C70" s="24">
        <v>28862586</v>
      </c>
      <c r="D70" s="96">
        <v>2.1</v>
      </c>
      <c r="E70" s="96">
        <v>6605046</v>
      </c>
      <c r="F70" s="96">
        <v>25.3</v>
      </c>
      <c r="G70" s="24">
        <f t="shared" ref="G70:G81" si="28">C70-E70</f>
        <v>22257540</v>
      </c>
    </row>
    <row r="71" spans="1:7" ht="12" customHeight="1">
      <c r="G71" s="24"/>
    </row>
    <row r="72" spans="1:7" ht="12" customHeight="1">
      <c r="A72" s="96" t="s">
        <v>549</v>
      </c>
      <c r="C72" s="24">
        <v>11660208</v>
      </c>
      <c r="D72" s="96">
        <v>0.9</v>
      </c>
      <c r="E72" s="96">
        <v>4486863</v>
      </c>
      <c r="F72" s="96">
        <v>7</v>
      </c>
      <c r="G72" s="24">
        <f t="shared" si="28"/>
        <v>7173345</v>
      </c>
    </row>
    <row r="73" spans="1:7" ht="12" customHeight="1">
      <c r="A73" s="96" t="s">
        <v>550</v>
      </c>
      <c r="C73" s="24">
        <v>8467093</v>
      </c>
      <c r="D73" s="96">
        <v>-1.1000000000000001</v>
      </c>
      <c r="E73" s="96">
        <v>2200529</v>
      </c>
      <c r="F73" s="96">
        <v>8</v>
      </c>
      <c r="G73" s="24">
        <f t="shared" si="28"/>
        <v>6266564</v>
      </c>
    </row>
    <row r="74" spans="1:7" ht="12" customHeight="1">
      <c r="A74" s="96" t="s">
        <v>551</v>
      </c>
      <c r="C74" s="24">
        <v>8182237</v>
      </c>
      <c r="D74" s="96">
        <v>-0.9</v>
      </c>
      <c r="E74" s="96">
        <v>2000504</v>
      </c>
      <c r="F74" s="96">
        <v>0.1</v>
      </c>
      <c r="G74" s="24">
        <f t="shared" si="28"/>
        <v>6181733</v>
      </c>
    </row>
    <row r="75" spans="1:7" ht="12" customHeight="1">
      <c r="A75" s="96" t="s">
        <v>552</v>
      </c>
      <c r="C75" s="24">
        <v>7517736</v>
      </c>
      <c r="D75" s="96">
        <v>-0.7</v>
      </c>
      <c r="E75" s="96">
        <v>2000089</v>
      </c>
      <c r="F75" s="96">
        <v>0.5</v>
      </c>
      <c r="G75" s="24">
        <f t="shared" si="28"/>
        <v>5517647</v>
      </c>
    </row>
    <row r="76" spans="1:7" ht="12" customHeight="1">
      <c r="A76" s="96" t="s">
        <v>553</v>
      </c>
      <c r="C76" s="24">
        <v>6519393</v>
      </c>
      <c r="D76" s="96">
        <v>10.9</v>
      </c>
      <c r="E76" s="96">
        <v>3892901</v>
      </c>
      <c r="F76" s="96">
        <v>14.8</v>
      </c>
      <c r="G76" s="24">
        <f t="shared" si="28"/>
        <v>2626492</v>
      </c>
    </row>
    <row r="77" spans="1:7" ht="12" customHeight="1">
      <c r="A77" s="96" t="s">
        <v>554</v>
      </c>
      <c r="C77" s="24">
        <v>4945029</v>
      </c>
      <c r="D77" s="96">
        <v>7.1</v>
      </c>
      <c r="E77" s="96">
        <v>1972731</v>
      </c>
      <c r="F77" s="96">
        <v>24.6</v>
      </c>
      <c r="G77" s="24">
        <f t="shared" si="28"/>
        <v>2972298</v>
      </c>
    </row>
    <row r="78" spans="1:7" ht="12" customHeight="1">
      <c r="A78" s="96" t="s">
        <v>555</v>
      </c>
      <c r="C78" s="24">
        <v>4157284</v>
      </c>
      <c r="D78" s="96">
        <v>5.8</v>
      </c>
      <c r="E78" s="96">
        <v>182374</v>
      </c>
      <c r="F78" s="96">
        <v>18.899999999999999</v>
      </c>
      <c r="G78" s="24">
        <f t="shared" si="28"/>
        <v>3974910</v>
      </c>
    </row>
    <row r="79" spans="1:7" ht="12" customHeight="1">
      <c r="A79" s="96" t="s">
        <v>556</v>
      </c>
      <c r="C79" s="24">
        <v>4024201</v>
      </c>
      <c r="D79" s="96">
        <v>1.8</v>
      </c>
      <c r="E79" s="96">
        <v>3997938</v>
      </c>
      <c r="F79" s="96">
        <v>1.5</v>
      </c>
      <c r="G79" s="24">
        <f t="shared" si="28"/>
        <v>26263</v>
      </c>
    </row>
    <row r="80" spans="1:7" ht="12" customHeight="1">
      <c r="A80" s="96" t="s">
        <v>557</v>
      </c>
      <c r="C80" s="24">
        <v>1596700</v>
      </c>
      <c r="D80" s="96">
        <v>-3.9</v>
      </c>
      <c r="E80" s="24">
        <v>553243</v>
      </c>
      <c r="F80" s="96">
        <v>-9.5</v>
      </c>
      <c r="G80" s="24">
        <f t="shared" si="28"/>
        <v>1043457</v>
      </c>
    </row>
    <row r="81" spans="1:7" ht="12" customHeight="1">
      <c r="A81" s="96" t="s">
        <v>558</v>
      </c>
      <c r="C81" s="24">
        <v>1445273</v>
      </c>
      <c r="D81" s="96">
        <v>1.6</v>
      </c>
      <c r="E81" s="24">
        <v>464172</v>
      </c>
      <c r="F81" s="96">
        <v>5.2</v>
      </c>
      <c r="G81" s="24">
        <f t="shared" si="28"/>
        <v>981101</v>
      </c>
    </row>
    <row r="85" spans="1:7" ht="12" customHeight="1">
      <c r="B85" s="96">
        <v>2010</v>
      </c>
      <c r="C85" s="96">
        <v>2011</v>
      </c>
      <c r="D85" s="96">
        <v>2012</v>
      </c>
      <c r="E85" s="96">
        <v>2013</v>
      </c>
      <c r="F85" s="96" t="s">
        <v>559</v>
      </c>
    </row>
    <row r="86" spans="1:7" ht="12" customHeight="1">
      <c r="A86" s="96" t="s">
        <v>560</v>
      </c>
      <c r="B86" s="96">
        <v>58167062</v>
      </c>
      <c r="C86" s="96">
        <v>60970551</v>
      </c>
      <c r="D86" s="96">
        <v>61556202</v>
      </c>
      <c r="E86" s="96">
        <v>62052917</v>
      </c>
      <c r="F86" s="96">
        <v>63813756</v>
      </c>
    </row>
    <row r="87" spans="1:7" ht="12" customHeight="1">
      <c r="A87" s="96" t="s">
        <v>561</v>
      </c>
      <c r="B87" s="96">
        <v>25203969</v>
      </c>
      <c r="C87" s="96">
        <v>27139076</v>
      </c>
      <c r="D87" s="96">
        <v>27232263</v>
      </c>
      <c r="E87" s="96">
        <v>28274154</v>
      </c>
      <c r="F87" s="96">
        <v>28862586</v>
      </c>
    </row>
    <row r="88" spans="1:7" ht="12" customHeight="1">
      <c r="A88" s="96" t="s">
        <v>549</v>
      </c>
      <c r="B88" s="96">
        <v>9603014</v>
      </c>
      <c r="C88" s="96">
        <v>10422073</v>
      </c>
      <c r="D88" s="96">
        <v>11189896</v>
      </c>
      <c r="E88" s="96">
        <v>11554251</v>
      </c>
      <c r="F88" s="96">
        <v>11660208</v>
      </c>
    </row>
    <row r="89" spans="1:7" ht="12" customHeight="1">
      <c r="A89" s="96" t="s">
        <v>550</v>
      </c>
      <c r="B89" s="96">
        <v>7979228</v>
      </c>
      <c r="C89" s="96">
        <v>8437141</v>
      </c>
      <c r="D89" s="96">
        <v>8451039</v>
      </c>
      <c r="E89" s="96">
        <v>8562298</v>
      </c>
      <c r="F89" s="96">
        <v>8467093</v>
      </c>
    </row>
    <row r="90" spans="1:7" ht="12" customHeight="1">
      <c r="A90" s="96" t="s">
        <v>562</v>
      </c>
      <c r="B90" s="96">
        <v>7522167</v>
      </c>
      <c r="C90" s="96">
        <v>7363068</v>
      </c>
      <c r="D90" s="96">
        <v>8295479</v>
      </c>
      <c r="E90" s="96">
        <v>8260619</v>
      </c>
      <c r="F90" s="96">
        <v>8182237</v>
      </c>
    </row>
    <row r="91" spans="1:7" ht="12" customHeight="1">
      <c r="A91" s="96" t="s">
        <v>563</v>
      </c>
      <c r="B91" s="96">
        <v>6405906</v>
      </c>
      <c r="C91" s="96">
        <v>6988140</v>
      </c>
      <c r="D91" s="96">
        <v>7559350</v>
      </c>
      <c r="E91" s="96">
        <v>7567634</v>
      </c>
      <c r="F91" s="96">
        <v>7517736</v>
      </c>
    </row>
    <row r="92" spans="1:7" ht="12" customHeight="1">
      <c r="A92" s="96" t="s">
        <v>564</v>
      </c>
      <c r="B92" s="96">
        <v>4125525</v>
      </c>
      <c r="C92" s="96">
        <v>5048428</v>
      </c>
      <c r="D92" s="96">
        <v>5349872</v>
      </c>
      <c r="E92" s="96">
        <v>5876129</v>
      </c>
      <c r="F92" s="96">
        <v>6519393</v>
      </c>
    </row>
    <row r="93" spans="1:7" ht="12" customHeight="1">
      <c r="A93" s="96" t="s">
        <v>565</v>
      </c>
      <c r="B93" s="96">
        <v>3660042</v>
      </c>
      <c r="C93" s="96">
        <v>4112575</v>
      </c>
      <c r="D93" s="96">
        <v>4428072</v>
      </c>
      <c r="E93" s="96">
        <v>4617608</v>
      </c>
      <c r="F93" s="96">
        <v>4945029</v>
      </c>
    </row>
    <row r="94" spans="1:7" ht="12" customHeight="1">
      <c r="A94" s="96" t="s">
        <v>566</v>
      </c>
      <c r="B94" s="96">
        <v>3031510</v>
      </c>
      <c r="C94" s="96">
        <v>3246226</v>
      </c>
      <c r="D94" s="96">
        <v>3631693</v>
      </c>
      <c r="E94" s="96">
        <v>3930849</v>
      </c>
      <c r="F94" s="96">
        <v>4157284</v>
      </c>
    </row>
    <row r="95" spans="1:7" ht="12" customHeight="1">
      <c r="A95" s="96" t="s">
        <v>556</v>
      </c>
      <c r="B95" s="96">
        <v>2931796</v>
      </c>
      <c r="C95" s="96">
        <v>3677794</v>
      </c>
      <c r="D95" s="96">
        <v>3862562</v>
      </c>
      <c r="E95" s="96">
        <v>3952908</v>
      </c>
      <c r="F95" s="96">
        <v>4024201</v>
      </c>
    </row>
    <row r="97" spans="1:8" ht="12" customHeight="1">
      <c r="B97" s="96">
        <v>2010</v>
      </c>
      <c r="C97" s="96">
        <v>2011</v>
      </c>
      <c r="D97" s="96">
        <v>2012</v>
      </c>
      <c r="E97" s="96">
        <v>2013</v>
      </c>
      <c r="F97" s="96" t="s">
        <v>559</v>
      </c>
    </row>
    <row r="98" spans="1:8" ht="12" customHeight="1">
      <c r="A98" s="96" t="s">
        <v>560</v>
      </c>
      <c r="B98" s="96">
        <v>100</v>
      </c>
      <c r="C98" s="96">
        <v>1.0481971910494636</v>
      </c>
      <c r="D98" s="96">
        <v>1.0582656211860932</v>
      </c>
      <c r="E98" s="96">
        <v>1.0668050760411452</v>
      </c>
      <c r="F98" s="96">
        <v>1.0970771740198946</v>
      </c>
    </row>
    <row r="99" spans="1:8" ht="12" customHeight="1">
      <c r="A99" s="96" t="s">
        <v>561</v>
      </c>
      <c r="B99" s="96">
        <v>100</v>
      </c>
      <c r="C99" s="96">
        <v>1.0767778678032813</v>
      </c>
      <c r="D99" s="96">
        <v>1.0804751823016447</v>
      </c>
      <c r="E99" s="96">
        <v>1.1218135524607256</v>
      </c>
      <c r="F99" s="96">
        <v>1.1451603515303483</v>
      </c>
    </row>
    <row r="100" spans="1:8" ht="12" customHeight="1">
      <c r="A100" s="96" t="s">
        <v>549</v>
      </c>
      <c r="B100" s="96">
        <v>100</v>
      </c>
      <c r="C100" s="96">
        <v>1.0852918677406906</v>
      </c>
      <c r="D100" s="96">
        <v>1.1652483272439258</v>
      </c>
      <c r="E100" s="96">
        <v>1.2031900609537798</v>
      </c>
      <c r="F100" s="96">
        <v>1.2142237843243797</v>
      </c>
    </row>
    <row r="101" spans="1:8" ht="12" customHeight="1">
      <c r="A101" s="96" t="s">
        <v>550</v>
      </c>
      <c r="B101" s="96">
        <v>100</v>
      </c>
      <c r="C101" s="96">
        <v>1.0573881332880826</v>
      </c>
      <c r="D101" s="96">
        <v>1.0591299058004107</v>
      </c>
      <c r="E101" s="96">
        <v>1.0730734853045933</v>
      </c>
      <c r="F101" s="96">
        <v>1.0611418798911374</v>
      </c>
    </row>
    <row r="102" spans="1:8" ht="12" customHeight="1">
      <c r="A102" s="96" t="s">
        <v>562</v>
      </c>
      <c r="B102" s="96">
        <v>100</v>
      </c>
      <c r="C102" s="96">
        <v>0.9788493129705842</v>
      </c>
      <c r="D102" s="96">
        <v>1.1028044179290357</v>
      </c>
      <c r="E102" s="96">
        <v>1.0981701150745524</v>
      </c>
      <c r="F102" s="96">
        <v>1.0877499794939411</v>
      </c>
    </row>
    <row r="103" spans="1:8" ht="12" customHeight="1">
      <c r="A103" s="96" t="s">
        <v>563</v>
      </c>
      <c r="B103" s="96">
        <v>100</v>
      </c>
      <c r="C103" s="96">
        <v>1.09089018789848</v>
      </c>
      <c r="D103" s="96">
        <v>1.180059463875992</v>
      </c>
      <c r="E103" s="96">
        <v>1.1813526455118137</v>
      </c>
      <c r="F103" s="96">
        <v>1.1735632711438475</v>
      </c>
    </row>
    <row r="104" spans="1:8" ht="12" customHeight="1">
      <c r="A104" s="96" t="s">
        <v>564</v>
      </c>
      <c r="B104" s="96">
        <v>100</v>
      </c>
      <c r="C104" s="96">
        <v>1.2237055889856443</v>
      </c>
      <c r="D104" s="96">
        <v>1.2967736227510438</v>
      </c>
      <c r="E104" s="96">
        <v>1.4243348422322009</v>
      </c>
      <c r="F104" s="96">
        <v>1.5802577853727708</v>
      </c>
    </row>
    <row r="105" spans="1:8" ht="12" customHeight="1">
      <c r="A105" s="96" t="s">
        <v>565</v>
      </c>
      <c r="B105" s="96">
        <v>100</v>
      </c>
      <c r="C105" s="96">
        <v>1.1236414773382382</v>
      </c>
      <c r="D105" s="96">
        <v>1.2098418542738034</v>
      </c>
      <c r="E105" s="96">
        <v>1.2616270523671587</v>
      </c>
      <c r="F105" s="96">
        <v>1.3510853154144133</v>
      </c>
    </row>
    <row r="106" spans="1:8" ht="12" customHeight="1">
      <c r="A106" s="96" t="s">
        <v>566</v>
      </c>
      <c r="B106" s="96">
        <v>100</v>
      </c>
      <c r="C106" s="96">
        <v>1.0708280691800456</v>
      </c>
      <c r="D106" s="96">
        <v>1.1979815339550257</v>
      </c>
      <c r="E106" s="96">
        <v>1.2966637088447672</v>
      </c>
      <c r="F106" s="96">
        <v>1.3713575083044423</v>
      </c>
    </row>
    <row r="107" spans="1:8" ht="12" customHeight="1">
      <c r="A107" s="96" t="s">
        <v>556</v>
      </c>
      <c r="B107" s="96">
        <v>100</v>
      </c>
      <c r="C107" s="96">
        <v>1.254450855380115</v>
      </c>
      <c r="D107" s="96">
        <v>1.3174729756094898</v>
      </c>
      <c r="E107" s="96">
        <v>1.3482888986819002</v>
      </c>
      <c r="F107" s="96">
        <v>1.3726060749110784</v>
      </c>
    </row>
    <row r="109" spans="1:8" s="132" customFormat="1" ht="12" customHeight="1">
      <c r="A109" s="133" t="s">
        <v>679</v>
      </c>
      <c r="H109" s="752" t="s">
        <v>1878</v>
      </c>
    </row>
    <row r="111" spans="1:8" ht="12" customHeight="1">
      <c r="A111" s="96" t="s">
        <v>665</v>
      </c>
      <c r="C111" s="150" t="s">
        <v>666</v>
      </c>
    </row>
    <row r="112" spans="1:8" ht="12" customHeight="1">
      <c r="A112" s="96" t="s">
        <v>667</v>
      </c>
      <c r="C112" s="96" t="s">
        <v>668</v>
      </c>
    </row>
    <row r="113" spans="1:18" ht="12" customHeight="1">
      <c r="A113" s="96" t="s">
        <v>540</v>
      </c>
      <c r="B113" s="96" t="s">
        <v>107</v>
      </c>
      <c r="C113" s="96" t="s">
        <v>568</v>
      </c>
      <c r="D113" s="96" t="s">
        <v>669</v>
      </c>
      <c r="E113" s="96" t="s">
        <v>670</v>
      </c>
      <c r="F113" s="96" t="s">
        <v>671</v>
      </c>
      <c r="G113" s="96" t="s">
        <v>672</v>
      </c>
      <c r="H113" s="96" t="s">
        <v>673</v>
      </c>
      <c r="I113" s="96" t="s">
        <v>674</v>
      </c>
      <c r="J113" s="96" t="s">
        <v>675</v>
      </c>
      <c r="K113" s="96" t="s">
        <v>676</v>
      </c>
      <c r="L113" s="96" t="s">
        <v>103</v>
      </c>
      <c r="M113" s="96" t="s">
        <v>104</v>
      </c>
      <c r="N113" s="96" t="s">
        <v>105</v>
      </c>
      <c r="O113" s="96" t="s">
        <v>106</v>
      </c>
      <c r="P113" s="96" t="s">
        <v>107</v>
      </c>
      <c r="Q113" s="96" t="s">
        <v>108</v>
      </c>
      <c r="R113" s="96" t="s">
        <v>109</v>
      </c>
    </row>
    <row r="114" spans="1:18" customFormat="1" ht="15">
      <c r="A114" s="143" t="s">
        <v>647</v>
      </c>
      <c r="B114" s="151">
        <v>2299770.9700000002</v>
      </c>
      <c r="C114" s="144" t="s">
        <v>648</v>
      </c>
      <c r="D114" s="145">
        <v>2002189.11</v>
      </c>
      <c r="E114" s="145">
        <v>2039077.51</v>
      </c>
      <c r="F114" s="145">
        <v>2060541.41</v>
      </c>
      <c r="G114" s="145">
        <v>2074779.82</v>
      </c>
      <c r="H114" s="145">
        <v>2131811.9500000002</v>
      </c>
      <c r="I114" s="145">
        <v>2164075.0499999998</v>
      </c>
      <c r="J114" s="145">
        <v>2212868.13</v>
      </c>
      <c r="K114" s="145">
        <v>2265098.25</v>
      </c>
      <c r="L114" s="145">
        <v>2268555.4900000002</v>
      </c>
      <c r="M114" s="145">
        <v>2200410.5299999998</v>
      </c>
      <c r="N114" s="145">
        <v>2244407.83</v>
      </c>
      <c r="O114" s="145">
        <v>2292535.14</v>
      </c>
      <c r="P114" s="145">
        <v>2299770.9700000002</v>
      </c>
      <c r="Q114" s="145">
        <v>2305011.13</v>
      </c>
      <c r="R114" s="145" t="s">
        <v>649</v>
      </c>
    </row>
    <row r="115" spans="1:18" customFormat="1" ht="15">
      <c r="A115" s="143" t="s">
        <v>650</v>
      </c>
      <c r="B115" s="151">
        <v>707134.27</v>
      </c>
      <c r="C115" s="144" t="s">
        <v>648</v>
      </c>
      <c r="D115" s="146">
        <v>583195.48</v>
      </c>
      <c r="E115" s="146">
        <v>591293.81000000006</v>
      </c>
      <c r="F115" s="146">
        <v>600583.04</v>
      </c>
      <c r="G115" s="146">
        <v>601265.66</v>
      </c>
      <c r="H115" s="146">
        <v>611894.1</v>
      </c>
      <c r="I115" s="146">
        <v>626182.53</v>
      </c>
      <c r="J115" s="146">
        <v>635773.84</v>
      </c>
      <c r="K115" s="146">
        <v>664164.26</v>
      </c>
      <c r="L115" s="146">
        <v>698461.18</v>
      </c>
      <c r="M115" s="146">
        <v>671949.25</v>
      </c>
      <c r="N115" s="146">
        <v>706856.84</v>
      </c>
      <c r="O115" s="146">
        <v>706596.93</v>
      </c>
      <c r="P115" s="146">
        <v>707134.27</v>
      </c>
      <c r="Q115" s="146" t="s">
        <v>649</v>
      </c>
      <c r="R115" s="146" t="s">
        <v>649</v>
      </c>
    </row>
    <row r="116" spans="1:18" customFormat="1" ht="15">
      <c r="A116" s="143" t="s">
        <v>651</v>
      </c>
      <c r="B116" s="151">
        <v>87804.33</v>
      </c>
      <c r="C116" s="144">
        <v>1</v>
      </c>
      <c r="D116" s="145">
        <v>72085.350000000006</v>
      </c>
      <c r="E116" s="145">
        <v>73127.72</v>
      </c>
      <c r="F116" s="145">
        <v>72596.08</v>
      </c>
      <c r="G116" s="145">
        <v>73248.38</v>
      </c>
      <c r="H116" s="145">
        <v>76559.47</v>
      </c>
      <c r="I116" s="145">
        <v>77647.81</v>
      </c>
      <c r="J116" s="145">
        <v>81011.990000000005</v>
      </c>
      <c r="K116" s="145">
        <v>81871.45</v>
      </c>
      <c r="L116" s="145">
        <v>85104.92</v>
      </c>
      <c r="M116" s="145">
        <v>82219.199999999997</v>
      </c>
      <c r="N116" s="145">
        <v>84704.41</v>
      </c>
      <c r="O116" s="145">
        <v>87023.29</v>
      </c>
      <c r="P116" s="145">
        <v>87804.33</v>
      </c>
      <c r="Q116" s="145" t="s">
        <v>649</v>
      </c>
      <c r="R116" s="145" t="s">
        <v>649</v>
      </c>
    </row>
    <row r="117" spans="1:18" customFormat="1" ht="15">
      <c r="A117" s="143" t="s">
        <v>652</v>
      </c>
      <c r="B117" s="151">
        <v>65518.12</v>
      </c>
      <c r="C117" s="144">
        <v>2</v>
      </c>
      <c r="D117" s="146">
        <v>53303.79</v>
      </c>
      <c r="E117" s="146">
        <v>54861.49</v>
      </c>
      <c r="F117" s="146">
        <v>54726</v>
      </c>
      <c r="G117" s="146">
        <v>55701.15</v>
      </c>
      <c r="H117" s="146">
        <v>58358.1</v>
      </c>
      <c r="I117" s="146">
        <v>60080.02</v>
      </c>
      <c r="J117" s="146">
        <v>61793.01</v>
      </c>
      <c r="K117" s="146">
        <v>62001.33</v>
      </c>
      <c r="L117" s="146">
        <v>62037.49</v>
      </c>
      <c r="M117" s="146">
        <v>61253.85</v>
      </c>
      <c r="N117" s="146">
        <v>63748.800000000003</v>
      </c>
      <c r="O117" s="146">
        <v>64117.63</v>
      </c>
      <c r="P117" s="146">
        <v>65518.12</v>
      </c>
      <c r="Q117" s="146" t="s">
        <v>649</v>
      </c>
      <c r="R117" s="146" t="s">
        <v>649</v>
      </c>
    </row>
    <row r="118" spans="1:18" customFormat="1" ht="15">
      <c r="A118" s="143" t="s">
        <v>653</v>
      </c>
      <c r="B118" s="151">
        <v>51905.7</v>
      </c>
      <c r="C118" s="144">
        <v>3</v>
      </c>
      <c r="D118" s="145">
        <v>36993.58</v>
      </c>
      <c r="E118" s="145">
        <v>39638.230000000003</v>
      </c>
      <c r="F118" s="145">
        <v>40216.89</v>
      </c>
      <c r="G118" s="145">
        <v>40743.65</v>
      </c>
      <c r="H118" s="145">
        <v>41797.300000000003</v>
      </c>
      <c r="I118" s="145">
        <v>43865.48</v>
      </c>
      <c r="J118" s="145">
        <v>47491.39</v>
      </c>
      <c r="K118" s="145">
        <v>46668.84</v>
      </c>
      <c r="L118" s="145">
        <v>48010.09</v>
      </c>
      <c r="M118" s="145">
        <v>48169.85</v>
      </c>
      <c r="N118" s="145">
        <v>47904.49</v>
      </c>
      <c r="O118" s="145">
        <v>50195.18</v>
      </c>
      <c r="P118" s="145">
        <v>51905.7</v>
      </c>
      <c r="Q118" s="145" t="s">
        <v>649</v>
      </c>
      <c r="R118" s="145" t="s">
        <v>649</v>
      </c>
    </row>
    <row r="119" spans="1:18" customFormat="1" ht="15">
      <c r="A119" s="143" t="s">
        <v>657</v>
      </c>
      <c r="B119" s="151">
        <v>43117.69</v>
      </c>
      <c r="C119" s="144">
        <v>4</v>
      </c>
      <c r="D119" s="145">
        <v>37439.129999999997</v>
      </c>
      <c r="E119" s="145">
        <v>37793</v>
      </c>
      <c r="F119" s="145">
        <v>38529.839999999997</v>
      </c>
      <c r="G119" s="145">
        <v>39348.230000000003</v>
      </c>
      <c r="H119" s="145">
        <v>40244.559999999998</v>
      </c>
      <c r="I119" s="145">
        <v>40766.07</v>
      </c>
      <c r="J119" s="145">
        <v>41993.2</v>
      </c>
      <c r="K119" s="145">
        <v>42854.55</v>
      </c>
      <c r="L119" s="145">
        <v>43080.53</v>
      </c>
      <c r="M119" s="145">
        <v>41843.279999999999</v>
      </c>
      <c r="N119" s="145">
        <v>41855.46</v>
      </c>
      <c r="O119" s="145">
        <v>43237.67</v>
      </c>
      <c r="P119" s="145">
        <v>43117.69</v>
      </c>
      <c r="Q119" s="145" t="s">
        <v>649</v>
      </c>
      <c r="R119" s="145" t="s">
        <v>649</v>
      </c>
    </row>
    <row r="120" spans="1:18" customFormat="1" ht="15">
      <c r="A120" s="143" t="s">
        <v>655</v>
      </c>
      <c r="B120" s="151">
        <v>42193.65</v>
      </c>
      <c r="C120" s="144">
        <v>5</v>
      </c>
      <c r="D120" s="145">
        <v>34091.39</v>
      </c>
      <c r="E120" s="145">
        <v>36051.879999999997</v>
      </c>
      <c r="F120" s="145">
        <v>36129.97</v>
      </c>
      <c r="G120" s="145">
        <v>36486.25</v>
      </c>
      <c r="H120" s="145">
        <v>37424.19</v>
      </c>
      <c r="I120" s="145">
        <v>38134.089999999997</v>
      </c>
      <c r="J120" s="145">
        <v>39617.120000000003</v>
      </c>
      <c r="K120" s="145">
        <v>40159.660000000003</v>
      </c>
      <c r="L120" s="145">
        <v>39108.61</v>
      </c>
      <c r="M120" s="145">
        <v>39302.699999999997</v>
      </c>
      <c r="N120" s="145">
        <v>40233.86</v>
      </c>
      <c r="O120" s="145">
        <v>41648.949999999997</v>
      </c>
      <c r="P120" s="145">
        <v>42193.65</v>
      </c>
      <c r="Q120" s="145" t="s">
        <v>649</v>
      </c>
      <c r="R120" s="145" t="s">
        <v>649</v>
      </c>
    </row>
    <row r="121" spans="1:18" customFormat="1" ht="15">
      <c r="A121" s="143" t="s">
        <v>656</v>
      </c>
      <c r="B121" s="151">
        <v>32996.1</v>
      </c>
      <c r="C121" s="144">
        <v>6</v>
      </c>
      <c r="D121" s="146">
        <v>26466.03</v>
      </c>
      <c r="E121" s="146">
        <v>27296.17</v>
      </c>
      <c r="F121" s="146">
        <v>27465.64</v>
      </c>
      <c r="G121" s="146">
        <v>28069.4</v>
      </c>
      <c r="H121" s="146">
        <v>28893.93</v>
      </c>
      <c r="I121" s="146">
        <v>29570.77</v>
      </c>
      <c r="J121" s="146">
        <v>30400.15</v>
      </c>
      <c r="K121" s="146">
        <v>31040.51</v>
      </c>
      <c r="L121" s="146">
        <v>31488.86</v>
      </c>
      <c r="M121" s="146">
        <v>30775.42</v>
      </c>
      <c r="N121" s="146">
        <v>30696.33</v>
      </c>
      <c r="O121" s="146">
        <v>32273.26</v>
      </c>
      <c r="P121" s="146">
        <v>32996.1</v>
      </c>
      <c r="Q121" s="146" t="s">
        <v>649</v>
      </c>
      <c r="R121" s="146" t="s">
        <v>649</v>
      </c>
    </row>
    <row r="122" spans="1:18" customFormat="1" ht="15">
      <c r="A122" s="143" t="s">
        <v>663</v>
      </c>
      <c r="B122" s="151">
        <v>31753.93</v>
      </c>
      <c r="C122" s="144">
        <v>7</v>
      </c>
      <c r="D122" s="145">
        <v>26992.45</v>
      </c>
      <c r="E122" s="145">
        <v>28090.79</v>
      </c>
      <c r="F122" s="145">
        <v>28218.36</v>
      </c>
      <c r="G122" s="145">
        <v>28688.91</v>
      </c>
      <c r="H122" s="145">
        <v>29773.14</v>
      </c>
      <c r="I122" s="145">
        <v>30391.69</v>
      </c>
      <c r="J122" s="145">
        <v>31237.23</v>
      </c>
      <c r="K122" s="145">
        <v>31509.58</v>
      </c>
      <c r="L122" s="145">
        <v>30795.42</v>
      </c>
      <c r="M122" s="145">
        <v>30042.69</v>
      </c>
      <c r="N122" s="145">
        <v>31217.58</v>
      </c>
      <c r="O122" s="145">
        <v>31555.360000000001</v>
      </c>
      <c r="P122" s="145">
        <v>31753.93</v>
      </c>
      <c r="Q122" s="145" t="s">
        <v>649</v>
      </c>
      <c r="R122" s="145" t="s">
        <v>649</v>
      </c>
    </row>
    <row r="123" spans="1:18" customFormat="1" ht="15">
      <c r="A123" s="143" t="s">
        <v>654</v>
      </c>
      <c r="B123" s="151">
        <v>27757.48</v>
      </c>
      <c r="C123" s="144">
        <v>8</v>
      </c>
      <c r="D123" s="146">
        <v>25628.36</v>
      </c>
      <c r="E123" s="146">
        <v>25633.84</v>
      </c>
      <c r="F123" s="146">
        <v>25599.18</v>
      </c>
      <c r="G123" s="146">
        <v>26044.83</v>
      </c>
      <c r="H123" s="146">
        <v>26706.75</v>
      </c>
      <c r="I123" s="146">
        <v>26326.54</v>
      </c>
      <c r="J123" s="146">
        <v>26854.92</v>
      </c>
      <c r="K123" s="146">
        <v>27621.040000000001</v>
      </c>
      <c r="L123" s="146">
        <v>28073.61</v>
      </c>
      <c r="M123" s="146">
        <v>27383.42</v>
      </c>
      <c r="N123" s="146">
        <v>27133.39</v>
      </c>
      <c r="O123" s="146">
        <v>27856.18</v>
      </c>
      <c r="P123" s="146">
        <v>27757.48</v>
      </c>
      <c r="Q123" s="146" t="s">
        <v>649</v>
      </c>
      <c r="R123" s="146" t="s">
        <v>649</v>
      </c>
    </row>
    <row r="124" spans="1:18" customFormat="1" ht="15">
      <c r="A124" s="143" t="s">
        <v>660</v>
      </c>
      <c r="B124" s="151">
        <v>24768.93</v>
      </c>
      <c r="C124" s="144">
        <v>9</v>
      </c>
      <c r="D124" s="146">
        <v>19537.28</v>
      </c>
      <c r="E124" s="146">
        <v>19824.439999999999</v>
      </c>
      <c r="F124" s="146">
        <v>20202.77</v>
      </c>
      <c r="G124" s="146">
        <v>20774.5</v>
      </c>
      <c r="H124" s="146">
        <v>22045.03</v>
      </c>
      <c r="I124" s="146">
        <v>22965.02</v>
      </c>
      <c r="J124" s="146">
        <v>23431.21</v>
      </c>
      <c r="K124" s="146">
        <v>23661.66</v>
      </c>
      <c r="L124" s="146">
        <v>23702.37</v>
      </c>
      <c r="M124" s="146">
        <v>23199.040000000001</v>
      </c>
      <c r="N124" s="146">
        <v>23448.84</v>
      </c>
      <c r="O124" s="146">
        <v>24441.43</v>
      </c>
      <c r="P124" s="146">
        <v>24768.93</v>
      </c>
      <c r="Q124" s="146" t="s">
        <v>649</v>
      </c>
      <c r="R124" s="146" t="s">
        <v>649</v>
      </c>
    </row>
    <row r="125" spans="1:18" customFormat="1" ht="15">
      <c r="A125" s="143" t="s">
        <v>664</v>
      </c>
      <c r="B125" s="151">
        <v>23618.86</v>
      </c>
      <c r="C125" s="144">
        <v>10</v>
      </c>
      <c r="D125" s="146">
        <v>21586.79</v>
      </c>
      <c r="E125" s="146">
        <v>21745.919999999998</v>
      </c>
      <c r="F125" s="146">
        <v>21755.08</v>
      </c>
      <c r="G125" s="146">
        <v>22053.32</v>
      </c>
      <c r="H125" s="146">
        <v>22583.62</v>
      </c>
      <c r="I125" s="146">
        <v>22784.400000000001</v>
      </c>
      <c r="J125" s="146">
        <v>23133.75</v>
      </c>
      <c r="K125" s="146">
        <v>23880.880000000001</v>
      </c>
      <c r="L125" s="146">
        <v>23091.47</v>
      </c>
      <c r="M125" s="146">
        <v>22236.84</v>
      </c>
      <c r="N125" s="146">
        <v>22688.240000000002</v>
      </c>
      <c r="O125" s="146">
        <v>23310.73</v>
      </c>
      <c r="P125" s="146">
        <v>23618.86</v>
      </c>
      <c r="Q125" s="146" t="s">
        <v>649</v>
      </c>
      <c r="R125" s="146" t="s">
        <v>649</v>
      </c>
    </row>
    <row r="126" spans="1:18" customFormat="1" ht="15">
      <c r="A126" s="143" t="s">
        <v>661</v>
      </c>
      <c r="B126" s="151">
        <v>22931.16</v>
      </c>
      <c r="C126" s="144">
        <v>11</v>
      </c>
      <c r="D126" s="145">
        <v>21139.46</v>
      </c>
      <c r="E126" s="145">
        <v>21252.07</v>
      </c>
      <c r="F126" s="145">
        <v>21085.75</v>
      </c>
      <c r="G126" s="145">
        <v>21134.85</v>
      </c>
      <c r="H126" s="145">
        <v>21956.91</v>
      </c>
      <c r="I126" s="145">
        <v>22069.52</v>
      </c>
      <c r="J126" s="145">
        <v>22767.73</v>
      </c>
      <c r="K126" s="145">
        <v>22944.07</v>
      </c>
      <c r="L126" s="145">
        <v>23026.52</v>
      </c>
      <c r="M126" s="145">
        <v>22258.5</v>
      </c>
      <c r="N126" s="145">
        <v>22620.98</v>
      </c>
      <c r="O126" s="145">
        <v>23147.02</v>
      </c>
      <c r="P126" s="145">
        <v>22931.16</v>
      </c>
      <c r="Q126" s="145" t="s">
        <v>649</v>
      </c>
      <c r="R126" s="145" t="s">
        <v>649</v>
      </c>
    </row>
    <row r="127" spans="1:18" customFormat="1" ht="15">
      <c r="A127" s="143" t="s">
        <v>658</v>
      </c>
      <c r="B127" s="151">
        <v>21106.69</v>
      </c>
      <c r="C127" s="144">
        <v>12</v>
      </c>
      <c r="D127" s="146">
        <v>15628.4</v>
      </c>
      <c r="E127" s="146">
        <v>16298.05</v>
      </c>
      <c r="F127" s="146">
        <v>16363.35</v>
      </c>
      <c r="G127" s="146">
        <v>16806.060000000001</v>
      </c>
      <c r="H127" s="146">
        <v>17473.36</v>
      </c>
      <c r="I127" s="146">
        <v>18078.23</v>
      </c>
      <c r="J127" s="146">
        <v>18733.060000000001</v>
      </c>
      <c r="K127" s="146">
        <v>19064.849999999999</v>
      </c>
      <c r="L127" s="146">
        <v>20139.16</v>
      </c>
      <c r="M127" s="146">
        <v>20049.43</v>
      </c>
      <c r="N127" s="146">
        <v>20398.689999999999</v>
      </c>
      <c r="O127" s="146">
        <v>20977.1</v>
      </c>
      <c r="P127" s="146">
        <v>21106.69</v>
      </c>
      <c r="Q127" s="146" t="s">
        <v>649</v>
      </c>
      <c r="R127" s="146" t="s">
        <v>649</v>
      </c>
    </row>
    <row r="128" spans="1:18" customFormat="1" ht="15">
      <c r="A128" s="143" t="s">
        <v>659</v>
      </c>
      <c r="B128" s="151">
        <v>15620.49</v>
      </c>
      <c r="C128" s="144">
        <v>13</v>
      </c>
      <c r="D128" s="145">
        <v>13843.83</v>
      </c>
      <c r="E128" s="145">
        <v>14084.34</v>
      </c>
      <c r="F128" s="145">
        <v>14161</v>
      </c>
      <c r="G128" s="145">
        <v>14007.99</v>
      </c>
      <c r="H128" s="145">
        <v>14554.26</v>
      </c>
      <c r="I128" s="145">
        <v>14830.82</v>
      </c>
      <c r="J128" s="145">
        <v>15301.83</v>
      </c>
      <c r="K128" s="145">
        <v>15528.21</v>
      </c>
      <c r="L128" s="145">
        <v>15766.57</v>
      </c>
      <c r="M128" s="145">
        <v>15227.7</v>
      </c>
      <c r="N128" s="145">
        <v>14966.03</v>
      </c>
      <c r="O128" s="145">
        <v>15493.03</v>
      </c>
      <c r="P128" s="145">
        <v>15620.49</v>
      </c>
      <c r="Q128" s="145" t="s">
        <v>649</v>
      </c>
      <c r="R128" s="145" t="s">
        <v>649</v>
      </c>
    </row>
    <row r="129" spans="1:18" customFormat="1" ht="15">
      <c r="A129" s="143" t="s">
        <v>662</v>
      </c>
      <c r="B129" s="151">
        <v>15205.29</v>
      </c>
      <c r="C129" s="144">
        <v>14</v>
      </c>
      <c r="D129" s="146">
        <v>14000.55</v>
      </c>
      <c r="E129" s="146">
        <v>14422.39</v>
      </c>
      <c r="F129" s="146">
        <v>14791.95</v>
      </c>
      <c r="G129" s="146">
        <v>15108.96</v>
      </c>
      <c r="H129" s="146">
        <v>15609.06</v>
      </c>
      <c r="I129" s="146">
        <v>16109.17</v>
      </c>
      <c r="J129" s="146">
        <v>16398.96</v>
      </c>
      <c r="K129" s="146">
        <v>16493.900000000001</v>
      </c>
      <c r="L129" s="146">
        <v>14966.97</v>
      </c>
      <c r="M129" s="146">
        <v>14714.72</v>
      </c>
      <c r="N129" s="146">
        <v>14906.71</v>
      </c>
      <c r="O129" s="146">
        <v>15151.55</v>
      </c>
      <c r="P129" s="146">
        <v>15205.29</v>
      </c>
      <c r="Q129" s="146" t="s">
        <v>649</v>
      </c>
      <c r="R129" s="146" t="s">
        <v>649</v>
      </c>
    </row>
    <row r="133" spans="1:18" ht="12" customHeight="1">
      <c r="A133" s="96" t="s">
        <v>665</v>
      </c>
      <c r="C133" s="150" t="s">
        <v>677</v>
      </c>
    </row>
    <row r="134" spans="1:18" ht="12" customHeight="1">
      <c r="A134" s="96" t="s">
        <v>667</v>
      </c>
      <c r="C134" s="96" t="s">
        <v>678</v>
      </c>
    </row>
    <row r="135" spans="1:18" s="149" customFormat="1" ht="12" customHeight="1">
      <c r="A135" s="149" t="s">
        <v>540</v>
      </c>
      <c r="B135" s="153" t="s">
        <v>107</v>
      </c>
      <c r="C135" s="149" t="s">
        <v>568</v>
      </c>
      <c r="D135" s="149" t="s">
        <v>669</v>
      </c>
      <c r="E135" s="149" t="s">
        <v>670</v>
      </c>
      <c r="F135" s="149" t="s">
        <v>671</v>
      </c>
      <c r="G135" s="149" t="s">
        <v>672</v>
      </c>
      <c r="H135" s="149" t="s">
        <v>673</v>
      </c>
      <c r="I135" s="149" t="s">
        <v>674</v>
      </c>
      <c r="J135" s="149" t="s">
        <v>675</v>
      </c>
      <c r="K135" s="149" t="s">
        <v>676</v>
      </c>
      <c r="L135" s="149" t="s">
        <v>103</v>
      </c>
      <c r="M135" s="149" t="s">
        <v>104</v>
      </c>
      <c r="N135" s="149" t="s">
        <v>105</v>
      </c>
      <c r="O135" s="149" t="s">
        <v>106</v>
      </c>
      <c r="P135" s="149" t="s">
        <v>107</v>
      </c>
      <c r="Q135" s="149" t="s">
        <v>108</v>
      </c>
      <c r="R135" s="149" t="s">
        <v>109</v>
      </c>
    </row>
    <row r="136" spans="1:18" customFormat="1" ht="15">
      <c r="A136" s="143" t="s">
        <v>1058</v>
      </c>
      <c r="B136" s="151">
        <v>59611.07</v>
      </c>
      <c r="C136" s="152"/>
      <c r="D136" s="148">
        <v>53385.15</v>
      </c>
      <c r="E136" s="148">
        <v>53772.99</v>
      </c>
      <c r="F136" s="148">
        <v>54258.15</v>
      </c>
      <c r="G136" s="148">
        <v>53959.46</v>
      </c>
      <c r="H136" s="148">
        <v>54546.09</v>
      </c>
      <c r="I136" s="148">
        <v>55443.64</v>
      </c>
      <c r="J136" s="148">
        <v>55910</v>
      </c>
      <c r="K136" s="148">
        <v>58006.13</v>
      </c>
      <c r="L136" s="148">
        <v>60579.46</v>
      </c>
      <c r="M136" s="148">
        <v>57872.88</v>
      </c>
      <c r="N136" s="148">
        <v>60450.15</v>
      </c>
      <c r="O136" s="148">
        <v>59997.53</v>
      </c>
      <c r="P136" s="148">
        <v>59611.07</v>
      </c>
      <c r="Q136" s="148"/>
      <c r="R136" s="148" t="s">
        <v>649</v>
      </c>
    </row>
    <row r="137" spans="1:18" customFormat="1" ht="15">
      <c r="A137" s="143" t="s">
        <v>731</v>
      </c>
      <c r="B137" s="151">
        <v>45554.71</v>
      </c>
      <c r="C137" s="152">
        <v>1</v>
      </c>
      <c r="D137" s="147">
        <v>41315.46</v>
      </c>
      <c r="E137" s="147">
        <v>41575.800000000003</v>
      </c>
      <c r="F137" s="147">
        <v>40939.86</v>
      </c>
      <c r="G137" s="147">
        <v>40972.04</v>
      </c>
      <c r="H137" s="147">
        <v>42474.47</v>
      </c>
      <c r="I137" s="147">
        <v>42725.09</v>
      </c>
      <c r="J137" s="147">
        <v>44208.98</v>
      </c>
      <c r="K137" s="147">
        <v>44307.58</v>
      </c>
      <c r="L137" s="147">
        <v>45674.27</v>
      </c>
      <c r="M137" s="147">
        <v>43756.45</v>
      </c>
      <c r="N137" s="147">
        <v>44700.19</v>
      </c>
      <c r="O137" s="147">
        <v>45536.14</v>
      </c>
      <c r="P137" s="147">
        <v>45554.71</v>
      </c>
      <c r="Q137" s="147"/>
      <c r="R137" s="147" t="s">
        <v>649</v>
      </c>
    </row>
    <row r="138" spans="1:18" customFormat="1" ht="15">
      <c r="A138" s="143" t="s">
        <v>732</v>
      </c>
      <c r="B138" s="151">
        <v>41131.480000000003</v>
      </c>
      <c r="C138" s="152">
        <v>2</v>
      </c>
      <c r="D138" s="147">
        <v>36022.870000000003</v>
      </c>
      <c r="E138" s="147">
        <v>37973.51</v>
      </c>
      <c r="F138" s="147">
        <v>37898.980000000003</v>
      </c>
      <c r="G138" s="147">
        <v>37763.360000000001</v>
      </c>
      <c r="H138" s="147">
        <v>38095.660000000003</v>
      </c>
      <c r="I138" s="147">
        <v>39310.07</v>
      </c>
      <c r="J138" s="147">
        <v>41838.800000000003</v>
      </c>
      <c r="K138" s="147">
        <v>40411.800000000003</v>
      </c>
      <c r="L138" s="147">
        <v>40856.32</v>
      </c>
      <c r="M138" s="147">
        <v>40278.620000000003</v>
      </c>
      <c r="N138" s="147">
        <v>39352.550000000003</v>
      </c>
      <c r="O138" s="147">
        <v>40502.089999999997</v>
      </c>
      <c r="P138" s="147">
        <v>41131.480000000003</v>
      </c>
      <c r="Q138" s="147"/>
      <c r="R138" s="147" t="s">
        <v>649</v>
      </c>
    </row>
    <row r="139" spans="1:18" customFormat="1" ht="15">
      <c r="A139" s="143" t="s">
        <v>1</v>
      </c>
      <c r="B139" s="151">
        <v>37492.160000000003</v>
      </c>
      <c r="C139" s="152">
        <v>3</v>
      </c>
      <c r="D139" s="148">
        <v>33207.19</v>
      </c>
      <c r="E139" s="148">
        <v>33943.67</v>
      </c>
      <c r="F139" s="148">
        <v>33626.94</v>
      </c>
      <c r="G139" s="148">
        <v>33989.69</v>
      </c>
      <c r="H139" s="148">
        <v>35363.379999999997</v>
      </c>
      <c r="I139" s="148">
        <v>36152.19</v>
      </c>
      <c r="J139" s="148">
        <v>36921.68</v>
      </c>
      <c r="K139" s="148">
        <v>36784.36</v>
      </c>
      <c r="L139" s="148">
        <v>36543.949999999997</v>
      </c>
      <c r="M139" s="148">
        <v>35824.269999999997</v>
      </c>
      <c r="N139" s="148">
        <v>37015.14</v>
      </c>
      <c r="O139" s="148">
        <v>36959.9</v>
      </c>
      <c r="P139" s="148">
        <v>37492.160000000003</v>
      </c>
      <c r="Q139" s="148"/>
      <c r="R139" s="148" t="s">
        <v>649</v>
      </c>
    </row>
    <row r="140" spans="1:18" customFormat="1" ht="15">
      <c r="A140" s="143" t="s">
        <v>738</v>
      </c>
      <c r="B140" s="151">
        <v>37137.410000000003</v>
      </c>
      <c r="C140" s="152">
        <v>4</v>
      </c>
      <c r="D140" s="147">
        <v>33733.480000000003</v>
      </c>
      <c r="E140" s="147">
        <v>34922.769999999997</v>
      </c>
      <c r="F140" s="147">
        <v>34895.9</v>
      </c>
      <c r="G140" s="147">
        <v>35288.93</v>
      </c>
      <c r="H140" s="147">
        <v>36425.85</v>
      </c>
      <c r="I140" s="147">
        <v>36980.5</v>
      </c>
      <c r="J140" s="147">
        <v>37801.089999999997</v>
      </c>
      <c r="K140" s="147">
        <v>37919.26</v>
      </c>
      <c r="L140" s="147">
        <v>36852.800000000003</v>
      </c>
      <c r="M140" s="147">
        <v>35749.440000000002</v>
      </c>
      <c r="N140" s="147">
        <v>36935.75</v>
      </c>
      <c r="O140" s="147">
        <v>37120.76</v>
      </c>
      <c r="P140" s="147">
        <v>37137.410000000003</v>
      </c>
      <c r="Q140" s="147"/>
      <c r="R140" s="147" t="s">
        <v>649</v>
      </c>
    </row>
    <row r="141" spans="1:18" customFormat="1" ht="15">
      <c r="A141" s="143" t="s">
        <v>737</v>
      </c>
      <c r="B141" s="151">
        <v>37081.599999999999</v>
      </c>
      <c r="C141" s="152">
        <v>5</v>
      </c>
      <c r="D141" s="148">
        <v>33804.639999999999</v>
      </c>
      <c r="E141" s="148">
        <v>34516.07</v>
      </c>
      <c r="F141" s="148">
        <v>34378.639999999999</v>
      </c>
      <c r="G141" s="148">
        <v>34775.08</v>
      </c>
      <c r="H141" s="148">
        <v>35426.68</v>
      </c>
      <c r="I141" s="148">
        <v>35878.19</v>
      </c>
      <c r="J141" s="148">
        <v>36495.53</v>
      </c>
      <c r="K141" s="148">
        <v>36867.360000000001</v>
      </c>
      <c r="L141" s="148">
        <v>36997.050000000003</v>
      </c>
      <c r="M141" s="148">
        <v>35765.410000000003</v>
      </c>
      <c r="N141" s="148">
        <v>35281.279999999999</v>
      </c>
      <c r="O141" s="148">
        <v>36681.42</v>
      </c>
      <c r="P141" s="148">
        <v>37081.599999999999</v>
      </c>
      <c r="Q141" s="148"/>
      <c r="R141" s="148" t="s">
        <v>649</v>
      </c>
    </row>
    <row r="142" spans="1:18" customFormat="1" ht="15">
      <c r="A142" s="143" t="s">
        <v>2</v>
      </c>
      <c r="B142" s="151">
        <v>36744.800000000003</v>
      </c>
      <c r="C142" s="152">
        <v>6</v>
      </c>
      <c r="D142" s="147">
        <v>33917.839999999997</v>
      </c>
      <c r="E142" s="147">
        <v>35490.67</v>
      </c>
      <c r="F142" s="147">
        <v>35189.839999999997</v>
      </c>
      <c r="G142" s="147">
        <v>35157.07</v>
      </c>
      <c r="H142" s="147">
        <v>35671.03</v>
      </c>
      <c r="I142" s="147">
        <v>35952.160000000003</v>
      </c>
      <c r="J142" s="147">
        <v>36940.28</v>
      </c>
      <c r="K142" s="147">
        <v>37031.360000000001</v>
      </c>
      <c r="L142" s="147">
        <v>35659.32</v>
      </c>
      <c r="M142" s="147">
        <v>35432.26</v>
      </c>
      <c r="N142" s="147">
        <v>35859.599999999999</v>
      </c>
      <c r="O142" s="147">
        <v>36695.08</v>
      </c>
      <c r="P142" s="147">
        <v>36744.800000000003</v>
      </c>
      <c r="Q142" s="147"/>
      <c r="R142" s="147" t="s">
        <v>649</v>
      </c>
    </row>
    <row r="143" spans="1:18" customFormat="1" ht="15">
      <c r="A143" s="143" t="s">
        <v>503</v>
      </c>
      <c r="B143" s="151">
        <v>36286.269999999997</v>
      </c>
      <c r="C143" s="152">
        <v>7</v>
      </c>
      <c r="D143" s="147">
        <v>34017.17</v>
      </c>
      <c r="E143" s="147">
        <v>34405.19</v>
      </c>
      <c r="F143" s="147">
        <v>34523.089999999997</v>
      </c>
      <c r="G143" s="147">
        <v>34521.07</v>
      </c>
      <c r="H143" s="147">
        <v>35233.4</v>
      </c>
      <c r="I143" s="147">
        <v>35498.019999999997</v>
      </c>
      <c r="J143" s="147">
        <v>36040.35</v>
      </c>
      <c r="K143" s="147">
        <v>36654.9</v>
      </c>
      <c r="L143" s="147">
        <v>36510.19</v>
      </c>
      <c r="M143" s="147">
        <v>35225.9</v>
      </c>
      <c r="N143" s="147">
        <v>35758.769999999997</v>
      </c>
      <c r="O143" s="147">
        <v>36348.86</v>
      </c>
      <c r="P143" s="147">
        <v>36286.269999999997</v>
      </c>
      <c r="Q143" s="147">
        <v>36208.379999999997</v>
      </c>
      <c r="R143" s="147" t="s">
        <v>649</v>
      </c>
    </row>
    <row r="144" spans="1:18" customFormat="1" ht="15">
      <c r="A144" s="143" t="s">
        <v>736</v>
      </c>
      <c r="B144" s="151">
        <v>36164.11</v>
      </c>
      <c r="C144" s="152">
        <v>8</v>
      </c>
      <c r="D144" s="148">
        <v>35701.06</v>
      </c>
      <c r="E144" s="148">
        <v>35517.760000000002</v>
      </c>
      <c r="F144" s="148">
        <v>35279.050000000003</v>
      </c>
      <c r="G144" s="148">
        <v>35698.44</v>
      </c>
      <c r="H144" s="148">
        <v>36406.1</v>
      </c>
      <c r="I144" s="148">
        <v>35690.17</v>
      </c>
      <c r="J144" s="148">
        <v>36204.61</v>
      </c>
      <c r="K144" s="148">
        <v>37029.839999999997</v>
      </c>
      <c r="L144" s="148">
        <v>37425.199999999997</v>
      </c>
      <c r="M144" s="148">
        <v>36298.33</v>
      </c>
      <c r="N144" s="148">
        <v>35761.870000000003</v>
      </c>
      <c r="O144" s="148">
        <v>36503.69</v>
      </c>
      <c r="P144" s="148">
        <v>36164.11</v>
      </c>
      <c r="Q144" s="148"/>
      <c r="R144" s="148" t="s">
        <v>649</v>
      </c>
    </row>
    <row r="145" spans="1:18" customFormat="1" ht="15">
      <c r="A145" s="143" t="s">
        <v>748</v>
      </c>
      <c r="B145" s="151">
        <v>35778.300000000003</v>
      </c>
      <c r="C145" s="152">
        <v>9</v>
      </c>
      <c r="D145" s="148">
        <v>33410.54</v>
      </c>
      <c r="E145" s="148">
        <v>33458.01</v>
      </c>
      <c r="F145" s="148">
        <v>33646.559999999998</v>
      </c>
      <c r="G145" s="148">
        <v>34135.24</v>
      </c>
      <c r="H145" s="148">
        <v>35732.28</v>
      </c>
      <c r="I145" s="148">
        <v>36713.43</v>
      </c>
      <c r="J145" s="148">
        <v>36938.629999999997</v>
      </c>
      <c r="K145" s="148">
        <v>36778.019999999997</v>
      </c>
      <c r="L145" s="148">
        <v>36318.06</v>
      </c>
      <c r="M145" s="148">
        <v>35036.03</v>
      </c>
      <c r="N145" s="148">
        <v>34897.79</v>
      </c>
      <c r="O145" s="148">
        <v>35839.5</v>
      </c>
      <c r="P145" s="148">
        <v>35778.300000000003</v>
      </c>
      <c r="Q145" s="148"/>
      <c r="R145" s="148" t="s">
        <v>649</v>
      </c>
    </row>
    <row r="146" spans="1:18" customFormat="1" ht="15">
      <c r="A146" s="143" t="s">
        <v>749</v>
      </c>
      <c r="B146" s="151">
        <v>34952.04</v>
      </c>
      <c r="C146" s="152">
        <v>10</v>
      </c>
      <c r="D146" s="147">
        <v>34167.480000000003</v>
      </c>
      <c r="E146" s="147">
        <v>34193.160000000003</v>
      </c>
      <c r="F146" s="147">
        <v>33769.949999999997</v>
      </c>
      <c r="G146" s="147">
        <v>33690.699999999997</v>
      </c>
      <c r="H146" s="147">
        <v>34835.870000000003</v>
      </c>
      <c r="I146" s="147">
        <v>34847.449999999997</v>
      </c>
      <c r="J146" s="147">
        <v>35776.050000000003</v>
      </c>
      <c r="K146" s="147">
        <v>35875.96</v>
      </c>
      <c r="L146" s="147">
        <v>35826.06</v>
      </c>
      <c r="M146" s="147">
        <v>34456.949999999997</v>
      </c>
      <c r="N146" s="147">
        <v>34839.83</v>
      </c>
      <c r="O146" s="147">
        <v>35466.31</v>
      </c>
      <c r="P146" s="147">
        <v>34952.04</v>
      </c>
      <c r="Q146" s="147" t="s">
        <v>649</v>
      </c>
      <c r="R146" s="147" t="s">
        <v>649</v>
      </c>
    </row>
    <row r="147" spans="1:18" customFormat="1" ht="15">
      <c r="A147" s="143" t="s">
        <v>111</v>
      </c>
      <c r="B147" s="151">
        <v>33490.53</v>
      </c>
      <c r="C147" s="152">
        <v>11</v>
      </c>
      <c r="D147" s="148">
        <v>32195.49</v>
      </c>
      <c r="E147" s="148">
        <v>32318.639999999999</v>
      </c>
      <c r="F147" s="148">
        <v>32215</v>
      </c>
      <c r="G147" s="148">
        <v>32534.51</v>
      </c>
      <c r="H147" s="148">
        <v>33188.410000000003</v>
      </c>
      <c r="I147" s="148">
        <v>33349.54</v>
      </c>
      <c r="J147" s="148">
        <v>33721.93</v>
      </c>
      <c r="K147" s="148">
        <v>34662.67</v>
      </c>
      <c r="L147" s="148">
        <v>33370.239999999998</v>
      </c>
      <c r="M147" s="148">
        <v>31989.7</v>
      </c>
      <c r="N147" s="148">
        <v>32486.720000000001</v>
      </c>
      <c r="O147" s="148">
        <v>33217.99</v>
      </c>
      <c r="P147" s="148">
        <v>33490.53</v>
      </c>
      <c r="Q147" s="148" t="s">
        <v>649</v>
      </c>
      <c r="R147" s="148" t="s">
        <v>649</v>
      </c>
    </row>
    <row r="148" spans="1:18" customFormat="1" ht="15">
      <c r="A148" s="143" t="s">
        <v>735</v>
      </c>
      <c r="B148" s="151">
        <v>32273.919999999998</v>
      </c>
      <c r="C148" s="152">
        <v>12</v>
      </c>
      <c r="D148" s="148">
        <v>28181.16</v>
      </c>
      <c r="E148" s="148">
        <v>28996.22</v>
      </c>
      <c r="F148" s="148">
        <v>28722.15</v>
      </c>
      <c r="G148" s="148">
        <v>29101.96</v>
      </c>
      <c r="H148" s="148">
        <v>29848.73</v>
      </c>
      <c r="I148" s="148">
        <v>30463.759999999998</v>
      </c>
      <c r="J148" s="148">
        <v>31137.119999999999</v>
      </c>
      <c r="K148" s="148">
        <v>31255.7</v>
      </c>
      <c r="L148" s="148">
        <v>32563.71</v>
      </c>
      <c r="M148" s="148">
        <v>31971.67</v>
      </c>
      <c r="N148" s="148">
        <v>32078.6</v>
      </c>
      <c r="O148" s="148">
        <v>32529.85</v>
      </c>
      <c r="P148" s="148">
        <v>32273.919999999998</v>
      </c>
      <c r="Q148" s="148" t="s">
        <v>649</v>
      </c>
      <c r="R148" s="148" t="s">
        <v>649</v>
      </c>
    </row>
    <row r="149" spans="1:18" customFormat="1" ht="15">
      <c r="A149" s="143" t="s">
        <v>733</v>
      </c>
      <c r="B149" s="151">
        <v>31792.59</v>
      </c>
      <c r="C149" s="152">
        <v>13</v>
      </c>
      <c r="D149" s="147">
        <v>28423.4</v>
      </c>
      <c r="E149" s="147">
        <v>28627.31</v>
      </c>
      <c r="F149" s="147">
        <v>29118.75</v>
      </c>
      <c r="G149" s="147">
        <v>29668.36</v>
      </c>
      <c r="H149" s="147">
        <v>30272.93</v>
      </c>
      <c r="I149" s="147">
        <v>30592.15</v>
      </c>
      <c r="J149" s="147">
        <v>31436.98</v>
      </c>
      <c r="K149" s="147">
        <v>32003.32</v>
      </c>
      <c r="L149" s="147">
        <v>32092.58</v>
      </c>
      <c r="M149" s="147">
        <v>31092.560000000001</v>
      </c>
      <c r="N149" s="147">
        <v>31022.560000000001</v>
      </c>
      <c r="O149" s="147">
        <v>31964.48</v>
      </c>
      <c r="P149" s="147">
        <v>31792.59</v>
      </c>
      <c r="Q149" s="147" t="s">
        <v>649</v>
      </c>
      <c r="R149" s="147" t="s">
        <v>649</v>
      </c>
    </row>
    <row r="150" spans="1:18" customFormat="1" ht="15">
      <c r="A150" s="143" t="s">
        <v>1059</v>
      </c>
      <c r="B150" s="151">
        <v>29869.09</v>
      </c>
      <c r="C150" s="152">
        <v>14</v>
      </c>
      <c r="D150" s="147">
        <v>27025.11</v>
      </c>
      <c r="E150" s="147">
        <v>27460.68</v>
      </c>
      <c r="F150" s="147">
        <v>27574.2</v>
      </c>
      <c r="G150" s="147">
        <v>27238.59</v>
      </c>
      <c r="H150" s="147">
        <v>28258.79</v>
      </c>
      <c r="I150" s="147">
        <v>28750.32</v>
      </c>
      <c r="J150" s="147">
        <v>29613.91</v>
      </c>
      <c r="K150" s="147">
        <v>29999.19</v>
      </c>
      <c r="L150" s="147">
        <v>30402.83</v>
      </c>
      <c r="M150" s="147">
        <v>29306.639999999999</v>
      </c>
      <c r="N150" s="147">
        <v>28743.96</v>
      </c>
      <c r="O150" s="147">
        <v>29691.97</v>
      </c>
      <c r="P150" s="147">
        <v>29869.09</v>
      </c>
      <c r="Q150" s="147" t="s">
        <v>649</v>
      </c>
      <c r="R150" s="147" t="s">
        <v>649</v>
      </c>
    </row>
    <row r="151" spans="1:18" customFormat="1" ht="15">
      <c r="A151" s="143" t="s">
        <v>1060</v>
      </c>
      <c r="B151" s="151">
        <v>27426.52</v>
      </c>
      <c r="C151" s="152">
        <v>15</v>
      </c>
      <c r="D151" s="148">
        <v>27071.31</v>
      </c>
      <c r="E151" s="148">
        <v>27734.25</v>
      </c>
      <c r="F151" s="148">
        <v>28287.64</v>
      </c>
      <c r="G151" s="148">
        <v>28732.51</v>
      </c>
      <c r="H151" s="148">
        <v>29516.49</v>
      </c>
      <c r="I151" s="148">
        <v>30288.77</v>
      </c>
      <c r="J151" s="148">
        <v>30656.79</v>
      </c>
      <c r="K151" s="148">
        <v>30655.31</v>
      </c>
      <c r="L151" s="148">
        <v>27654.6</v>
      </c>
      <c r="M151" s="148">
        <v>27027.55</v>
      </c>
      <c r="N151" s="148">
        <v>27216.78</v>
      </c>
      <c r="O151" s="148">
        <v>27496.98</v>
      </c>
      <c r="P151" s="148">
        <v>27426.52</v>
      </c>
      <c r="Q151" s="148" t="s">
        <v>649</v>
      </c>
      <c r="R151" s="148" t="s">
        <v>649</v>
      </c>
    </row>
    <row r="155" spans="1:18" ht="12" customHeight="1">
      <c r="A155" s="96" t="s">
        <v>1068</v>
      </c>
    </row>
    <row r="156" spans="1:18" ht="12" customHeight="1">
      <c r="A156" t="s">
        <v>1061</v>
      </c>
      <c r="B156" t="s">
        <v>1062</v>
      </c>
      <c r="C156"/>
    </row>
    <row r="157" spans="1:18" ht="12" customHeight="1">
      <c r="A157" t="s">
        <v>1063</v>
      </c>
      <c r="B157" t="s">
        <v>1064</v>
      </c>
      <c r="C157"/>
    </row>
    <row r="158" spans="1:18" ht="12" customHeight="1">
      <c r="A158" t="s">
        <v>1065</v>
      </c>
      <c r="B158" s="62" t="s">
        <v>1455</v>
      </c>
      <c r="C158"/>
    </row>
    <row r="159" spans="1:18" ht="12" customHeight="1">
      <c r="A159" t="s">
        <v>1066</v>
      </c>
      <c r="B159" t="s">
        <v>1067</v>
      </c>
      <c r="C159"/>
    </row>
    <row r="161" spans="1:13" ht="12" customHeight="1">
      <c r="A161" s="96" t="s">
        <v>1454</v>
      </c>
      <c r="B161" s="96" t="s">
        <v>670</v>
      </c>
      <c r="C161" s="96" t="s">
        <v>671</v>
      </c>
      <c r="D161" s="96" t="s">
        <v>672</v>
      </c>
      <c r="E161" s="96" t="s">
        <v>673</v>
      </c>
      <c r="F161" s="96" t="s">
        <v>674</v>
      </c>
      <c r="G161" s="96" t="s">
        <v>675</v>
      </c>
      <c r="H161" s="96" t="s">
        <v>676</v>
      </c>
      <c r="I161" s="96" t="s">
        <v>103</v>
      </c>
      <c r="J161" s="96" t="s">
        <v>104</v>
      </c>
      <c r="K161" s="96" t="s">
        <v>105</v>
      </c>
      <c r="L161" s="96" t="s">
        <v>106</v>
      </c>
      <c r="M161" s="96" t="s">
        <v>107</v>
      </c>
    </row>
    <row r="162" spans="1:13" ht="12" customHeight="1">
      <c r="A162" s="96" t="s">
        <v>1070</v>
      </c>
      <c r="B162" s="96">
        <v>93.9</v>
      </c>
      <c r="C162" s="96">
        <v>93.4</v>
      </c>
      <c r="D162" s="96">
        <v>94.3</v>
      </c>
      <c r="E162" s="96">
        <v>96</v>
      </c>
      <c r="F162" s="96">
        <v>97.1</v>
      </c>
      <c r="G162" s="96">
        <v>98.7</v>
      </c>
      <c r="H162" s="96">
        <v>100</v>
      </c>
      <c r="I162" s="96">
        <v>100.7</v>
      </c>
      <c r="J162" s="96">
        <v>97.5</v>
      </c>
      <c r="K162" s="96">
        <v>96.3</v>
      </c>
      <c r="L162" s="96">
        <v>100.5</v>
      </c>
      <c r="M162" s="96">
        <v>101.7</v>
      </c>
    </row>
    <row r="163" spans="1:13" ht="12" customHeight="1">
      <c r="A163" s="96" t="s">
        <v>116</v>
      </c>
      <c r="B163" s="96">
        <v>96.2</v>
      </c>
      <c r="C163" s="96">
        <v>95.3</v>
      </c>
      <c r="D163" s="96">
        <v>95.1</v>
      </c>
      <c r="E163" s="96">
        <v>96.4</v>
      </c>
      <c r="F163" s="96">
        <v>97</v>
      </c>
      <c r="G163" s="96">
        <v>99.6</v>
      </c>
      <c r="H163" s="96">
        <v>100</v>
      </c>
      <c r="I163" s="96">
        <v>96.5</v>
      </c>
      <c r="J163" s="96">
        <v>96</v>
      </c>
      <c r="K163" s="96">
        <v>97.4</v>
      </c>
      <c r="L163" s="96">
        <v>100</v>
      </c>
      <c r="M163" s="96">
        <v>100.2</v>
      </c>
    </row>
    <row r="164" spans="1:13" ht="12" customHeight="1">
      <c r="A164" s="96" t="s">
        <v>467</v>
      </c>
      <c r="B164" s="96">
        <v>94.7</v>
      </c>
      <c r="C164" s="96">
        <v>94.2</v>
      </c>
      <c r="D164" s="96">
        <v>93.5</v>
      </c>
      <c r="E164" s="96">
        <v>94</v>
      </c>
      <c r="F164" s="96">
        <v>96.8</v>
      </c>
      <c r="G164" s="96">
        <v>103.3</v>
      </c>
      <c r="H164" s="96">
        <v>100</v>
      </c>
      <c r="I164" s="96">
        <v>101.9</v>
      </c>
      <c r="J164" s="96">
        <v>101</v>
      </c>
      <c r="K164" s="96">
        <v>99.4</v>
      </c>
      <c r="L164" s="96">
        <v>103.3</v>
      </c>
      <c r="M164" s="96">
        <v>105.2</v>
      </c>
    </row>
    <row r="165" spans="1:13" ht="12" customHeight="1">
      <c r="A165" s="96" t="s">
        <v>474</v>
      </c>
      <c r="B165" s="96">
        <v>93.1</v>
      </c>
      <c r="C165" s="96">
        <v>91.7</v>
      </c>
      <c r="D165" s="96">
        <v>91.9</v>
      </c>
      <c r="E165" s="96">
        <v>95.3</v>
      </c>
      <c r="F165" s="96">
        <v>95.9</v>
      </c>
      <c r="G165" s="96">
        <v>99.6</v>
      </c>
      <c r="H165" s="96">
        <v>100</v>
      </c>
      <c r="I165" s="96">
        <v>103.6</v>
      </c>
      <c r="J165" s="96">
        <v>99.1</v>
      </c>
      <c r="K165" s="96">
        <v>101.5</v>
      </c>
      <c r="L165" s="96">
        <v>103.4</v>
      </c>
      <c r="M165" s="96">
        <v>103.3</v>
      </c>
    </row>
    <row r="166" spans="1:13" ht="12" customHeight="1">
      <c r="A166" s="96" t="s">
        <v>1071</v>
      </c>
      <c r="B166" s="96">
        <v>93.5</v>
      </c>
      <c r="C166" s="96">
        <v>93.1</v>
      </c>
      <c r="D166" s="96">
        <v>93.9</v>
      </c>
      <c r="E166" s="96">
        <v>96.6</v>
      </c>
      <c r="F166" s="96">
        <v>97.7</v>
      </c>
      <c r="G166" s="96">
        <v>99.6</v>
      </c>
      <c r="H166" s="96">
        <v>100</v>
      </c>
      <c r="I166" s="96">
        <v>97.9</v>
      </c>
      <c r="J166" s="96">
        <v>95.8</v>
      </c>
      <c r="K166" s="96">
        <v>99.5</v>
      </c>
      <c r="L166" s="96">
        <v>100.3</v>
      </c>
      <c r="M166" s="96">
        <v>101.1</v>
      </c>
    </row>
    <row r="167" spans="1:13" ht="12" customHeight="1">
      <c r="A167" s="96" t="s">
        <v>1072</v>
      </c>
      <c r="B167" s="96">
        <v>93.2</v>
      </c>
      <c r="C167" s="96">
        <v>92</v>
      </c>
      <c r="D167" s="96">
        <v>92.9</v>
      </c>
      <c r="E167" s="96">
        <v>96.6</v>
      </c>
      <c r="F167" s="96">
        <v>98.6</v>
      </c>
      <c r="G167" s="96">
        <v>100.5</v>
      </c>
      <c r="H167" s="96">
        <v>100</v>
      </c>
      <c r="I167" s="96">
        <v>100.1</v>
      </c>
      <c r="J167" s="96">
        <v>98.7</v>
      </c>
      <c r="K167" s="96">
        <v>102.6</v>
      </c>
      <c r="L167" s="96">
        <v>102.8</v>
      </c>
      <c r="M167" s="96">
        <v>105</v>
      </c>
    </row>
    <row r="168" spans="1:13" ht="12" customHeight="1">
      <c r="A168" s="96" t="s">
        <v>1069</v>
      </c>
      <c r="B168" s="96">
        <v>89.2</v>
      </c>
      <c r="C168" s="96">
        <v>90.7</v>
      </c>
      <c r="D168" s="96">
        <v>92.5</v>
      </c>
      <c r="E168" s="96">
        <v>94.4</v>
      </c>
      <c r="F168" s="96">
        <v>95.4</v>
      </c>
      <c r="G168" s="96">
        <v>98.1</v>
      </c>
      <c r="H168" s="96">
        <v>100</v>
      </c>
      <c r="I168" s="96">
        <v>100.3</v>
      </c>
      <c r="J168" s="96">
        <v>97</v>
      </c>
      <c r="K168" s="96">
        <v>96.7</v>
      </c>
      <c r="L168" s="96">
        <v>99.7</v>
      </c>
      <c r="M168" s="96">
        <v>99.1</v>
      </c>
    </row>
    <row r="170" spans="1:13" ht="12" customHeight="1">
      <c r="B170" s="353" t="s">
        <v>1803</v>
      </c>
    </row>
  </sheetData>
  <sortState ref="A134:R149">
    <sortCondition descending="1" ref="A134:A149"/>
  </sortState>
  <hyperlinks>
    <hyperlink ref="H3" r:id="rId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2</vt:i4>
      </vt:variant>
    </vt:vector>
  </HeadingPairs>
  <TitlesOfParts>
    <vt:vector size="31" baseType="lpstr">
      <vt:lpstr>Emploi-old</vt:lpstr>
      <vt:lpstr>Glossaire_old</vt:lpstr>
      <vt:lpstr>D_Ch-1</vt:lpstr>
      <vt:lpstr>D_Ch-2-1</vt:lpstr>
      <vt:lpstr>G_Ch2-2</vt:lpstr>
      <vt:lpstr>D_Ch2-2</vt:lpstr>
      <vt:lpstr>D_Ch2-2_det-BMO</vt:lpstr>
      <vt:lpstr>D_Ch-3</vt:lpstr>
      <vt:lpstr>D_Ch4-1</vt:lpstr>
      <vt:lpstr>D_Ch4-2</vt:lpstr>
      <vt:lpstr>D_Ch4-3</vt:lpstr>
      <vt:lpstr>D_Ch-5-1</vt:lpstr>
      <vt:lpstr>D_Ch5-2</vt:lpstr>
      <vt:lpstr>D_ch5-3</vt:lpstr>
      <vt:lpstr>D_Ch6-1</vt:lpstr>
      <vt:lpstr>D_Ch6-2</vt:lpstr>
      <vt:lpstr>D_Ch6-3</vt:lpstr>
      <vt:lpstr>D_Ch7-1</vt:lpstr>
      <vt:lpstr>D_Annexe</vt:lpstr>
      <vt:lpstr>Sommaire</vt:lpstr>
      <vt:lpstr>Dynamique de l'emploi</vt:lpstr>
      <vt:lpstr>Marché du travail</vt:lpstr>
      <vt:lpstr>Population active</vt:lpstr>
      <vt:lpstr>Entreprises</vt:lpstr>
      <vt:lpstr>Richesse et échanges</vt:lpstr>
      <vt:lpstr>E.S.R.I.</vt:lpstr>
      <vt:lpstr>Tourisme</vt:lpstr>
      <vt:lpstr>Annexe</vt:lpstr>
      <vt:lpstr>Glossaire</vt:lpstr>
      <vt:lpstr>'Emploi-old'!Zone_d_impression</vt:lpstr>
      <vt:lpstr>Glossaire_old!Zone_d_impression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DELAGE</dc:creator>
  <cp:lastModifiedBy>Thibaut LURCIN</cp:lastModifiedBy>
  <cp:lastPrinted>2017-03-21T10:59:23Z</cp:lastPrinted>
  <dcterms:created xsi:type="dcterms:W3CDTF">2016-01-07T09:17:18Z</dcterms:created>
  <dcterms:modified xsi:type="dcterms:W3CDTF">2017-03-28T10:04:53Z</dcterms:modified>
</cp:coreProperties>
</file>